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180" windowWidth="19440" windowHeight="547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基准地价修正" sheetId="43" r:id="rId20"/>
    <sheet name="比较法-商业" sheetId="33" state="hidden" r:id="rId21"/>
    <sheet name="比较案例" sheetId="80" state="hidden" r:id="rId22"/>
    <sheet name="比较法-租金" sheetId="82" state="hidden" r:id="rId23"/>
    <sheet name="成本法 (元)" sheetId="69" r:id="rId24"/>
    <sheet name="假设开发法" sheetId="12" state="hidden" r:id="rId25"/>
    <sheet name="收益法" sheetId="15" state="hidden"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收益法 (元)" sheetId="67"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Sheet1" sheetId="81" state="hidden" r:id="rId48"/>
  </sheets>
  <externalReferences>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0" hidden="1">'比较法-商业'!$A$1:$L$49</definedName>
    <definedName name="_xlnm._FilterDatabase" localSheetId="28" hidden="1">'比较法-住宅'!$A$1:$L$49</definedName>
    <definedName name="_xlnm._FilterDatabase" localSheetId="22" hidden="1">'比较法-租金'!$A$1:$L$49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0">'比较法-商业'!$A$1:$K$54,'比较法-商业'!$A$57:$M$131</definedName>
    <definedName name="_xlnm.Print_Area" localSheetId="28">'比较法-住宅'!$A$1:$K$54,'比较法-住宅'!$A$57:$M$131</definedName>
    <definedName name="_xlnm.Print_Area" localSheetId="22">'比较法-租金'!$A$1:$K$54,'比较法-租金'!$A$57:$M$131</definedName>
    <definedName name="_xlnm.Print_Area" localSheetId="18">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19">基准地价修正!$A$1:$J$44,基准地价修正!$A$47:$H$101,基准地价修正!$R$1:$V$16</definedName>
    <definedName name="_xlnm.Print_Area" localSheetId="24">假设开发法!$A$1:$K$32</definedName>
    <definedName name="_xlnm.Print_Area" localSheetId="17">结果表!$A$1:$I$127</definedName>
    <definedName name="_xlnm.Print_Area" localSheetId="25">收益法!$A$1:$F$43,收益法!$H$3:$M$29,收益法!$A$46:$F$71,收益法!$I$46:$N$65</definedName>
    <definedName name="_xlnm.Print_Area" localSheetId="3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2">'比较法-租金'!$B$116:$M$116</definedName>
    <definedName name="商业层高">'比较法-商业'!$B$116:$M$116</definedName>
    <definedName name="商业成新度" localSheetId="22">'比较法-租金'!$B$109:$M$109</definedName>
    <definedName name="商业成新度">'比较法-商业'!$B$109:$M$109</definedName>
    <definedName name="商业繁华度">定义!$L$1:$L$6</definedName>
    <definedName name="商业公共部分装修" localSheetId="22">'比较法-租金'!$B$107:$M$107</definedName>
    <definedName name="商业公共部分装修">'比较法-商业'!$B$107:$M$107</definedName>
    <definedName name="商业基础设施水平" localSheetId="22">'比较法-租金'!$B$112:$M$112</definedName>
    <definedName name="商业基础设施水平">'比较法-商业'!$B$112:$M$112</definedName>
    <definedName name="商业建筑结构" localSheetId="22">'比较法-租金'!$B$105:$M$105</definedName>
    <definedName name="商业建筑结构">'比较法-商业'!$B$105:$M$105</definedName>
    <definedName name="商业交易情况" localSheetId="22">'比较法-租金'!$A$61:$M$61</definedName>
    <definedName name="商业交易情况">'比较法-商业'!$A$61:$M$61</definedName>
    <definedName name="商业街名称">修正!$C$71:$C$138</definedName>
    <definedName name="商业进深比" localSheetId="22">'比较法-租金'!$B$120:$M$120</definedName>
    <definedName name="商业进深比">'比较法-商业'!$B$120:$M$120</definedName>
    <definedName name="商业类型" localSheetId="22">'比较法-租金'!$B$100:$M$100</definedName>
    <definedName name="商业类型">'比较法-商业'!$B$100:$M$100</definedName>
    <definedName name="商业临街状况" localSheetId="22">'比较法-租金'!$B$86:$M$86</definedName>
    <definedName name="商业临街状况">'比较法-商业'!$B$86:$M$86</definedName>
    <definedName name="商业楼层" localSheetId="22">'比较法-租金'!$B$92:$M$92</definedName>
    <definedName name="商业楼层">'比较法-商业'!$B$92:$M$92</definedName>
    <definedName name="商业内部装修" localSheetId="22">'比较法-租金'!$B$122:$M$122</definedName>
    <definedName name="商业内部装修">'比较法-商业'!$B$122:$M$122</definedName>
    <definedName name="商业人流量" localSheetId="22">'比较法-租金'!$B$90:$M$90</definedName>
    <definedName name="商业人流量">'比较法-商业'!$B$90:$M$90</definedName>
    <definedName name="商业业态" localSheetId="22">'比较法-租金'!$B$114:$M$114</definedName>
    <definedName name="商业业态">'比较法-商业'!$B$114:$M$114</definedName>
    <definedName name="商业用途" localSheetId="22">'比较法-租金'!$B$63:$M$63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20" i="81" l="1"/>
  <c r="E21" i="81"/>
  <c r="E22" i="81"/>
  <c r="E23" i="81"/>
  <c r="E19" i="81"/>
  <c r="D20" i="81"/>
  <c r="D21" i="81"/>
  <c r="D22" i="81"/>
  <c r="D23" i="81"/>
  <c r="D19" i="81"/>
  <c r="I12" i="81"/>
  <c r="C12" i="81"/>
  <c r="F12" i="81"/>
  <c r="I11" i="81"/>
  <c r="I10" i="81"/>
  <c r="I3" i="81"/>
  <c r="I4" i="81"/>
  <c r="I5" i="81"/>
  <c r="I6" i="81"/>
  <c r="I7" i="81"/>
  <c r="I8" i="81"/>
  <c r="I9" i="81"/>
  <c r="I2" i="81"/>
  <c r="B130" i="82" l="1"/>
  <c r="B128" i="82"/>
  <c r="B126" i="82"/>
  <c r="D125" i="82"/>
  <c r="E125" i="82" s="1"/>
  <c r="F125" i="82" s="1"/>
  <c r="G125" i="82" s="1"/>
  <c r="E123" i="82"/>
  <c r="F123" i="82" s="1"/>
  <c r="G123" i="82" s="1"/>
  <c r="H123" i="82" s="1"/>
  <c r="I123" i="82" s="1"/>
  <c r="J123" i="82" s="1"/>
  <c r="K123" i="82" s="1"/>
  <c r="L123" i="82" s="1"/>
  <c r="M123" i="82" s="1"/>
  <c r="D123" i="82"/>
  <c r="D121" i="82"/>
  <c r="E121" i="82" s="1"/>
  <c r="F121" i="82" s="1"/>
  <c r="G121" i="82" s="1"/>
  <c r="H121" i="82" s="1"/>
  <c r="I121" i="82" s="1"/>
  <c r="J121" i="82" s="1"/>
  <c r="K121" i="82" s="1"/>
  <c r="L121" i="82" s="1"/>
  <c r="M121" i="82" s="1"/>
  <c r="D117" i="82"/>
  <c r="E117" i="82" s="1"/>
  <c r="F117" i="82" s="1"/>
  <c r="G117" i="82" s="1"/>
  <c r="E115" i="82"/>
  <c r="F115" i="82" s="1"/>
  <c r="G115" i="82" s="1"/>
  <c r="H115" i="82" s="1"/>
  <c r="I115" i="82" s="1"/>
  <c r="J115" i="82" s="1"/>
  <c r="K115" i="82" s="1"/>
  <c r="L115" i="82" s="1"/>
  <c r="M115" i="82" s="1"/>
  <c r="D115" i="82"/>
  <c r="D113" i="82"/>
  <c r="E113" i="82" s="1"/>
  <c r="F113" i="82" s="1"/>
  <c r="G113" i="82" s="1"/>
  <c r="H113" i="82" s="1"/>
  <c r="I113" i="82" s="1"/>
  <c r="J113" i="82" s="1"/>
  <c r="K113" i="82" s="1"/>
  <c r="L113" i="82" s="1"/>
  <c r="M113" i="82" s="1"/>
  <c r="E111" i="82"/>
  <c r="F111" i="82" s="1"/>
  <c r="D111" i="82"/>
  <c r="G109" i="82"/>
  <c r="F109" i="82"/>
  <c r="E109" i="82"/>
  <c r="D109" i="82"/>
  <c r="C109" i="82"/>
  <c r="D108" i="82"/>
  <c r="E108" i="82" s="1"/>
  <c r="F108" i="82" s="1"/>
  <c r="G108" i="82" s="1"/>
  <c r="H108" i="82" s="1"/>
  <c r="I108" i="82" s="1"/>
  <c r="J108" i="82" s="1"/>
  <c r="K108" i="82" s="1"/>
  <c r="L108" i="82" s="1"/>
  <c r="M108" i="82" s="1"/>
  <c r="D106" i="82"/>
  <c r="E106" i="82" s="1"/>
  <c r="F106" i="82" s="1"/>
  <c r="G106" i="82" s="1"/>
  <c r="H106" i="82" s="1"/>
  <c r="I106" i="82" s="1"/>
  <c r="J106" i="82" s="1"/>
  <c r="K106" i="82" s="1"/>
  <c r="L106" i="82" s="1"/>
  <c r="M106" i="82" s="1"/>
  <c r="D104" i="82"/>
  <c r="E104" i="82" s="1"/>
  <c r="M102" i="82"/>
  <c r="L102" i="82"/>
  <c r="K102" i="82"/>
  <c r="J102" i="82"/>
  <c r="I102" i="82"/>
  <c r="H102" i="82"/>
  <c r="G102" i="82"/>
  <c r="F102" i="82"/>
  <c r="E102" i="82"/>
  <c r="D102" i="82"/>
  <c r="C102" i="82"/>
  <c r="D101" i="82"/>
  <c r="E101" i="82" s="1"/>
  <c r="F101" i="82" s="1"/>
  <c r="B98" i="82"/>
  <c r="B96" i="82"/>
  <c r="B94" i="82"/>
  <c r="B92" i="82"/>
  <c r="D91" i="82"/>
  <c r="E91" i="82" s="1"/>
  <c r="B90" i="82"/>
  <c r="B88" i="82"/>
  <c r="D87" i="82"/>
  <c r="E87" i="82" s="1"/>
  <c r="F87" i="82" s="1"/>
  <c r="G87" i="82" s="1"/>
  <c r="H87" i="82" s="1"/>
  <c r="I87" i="82" s="1"/>
  <c r="J87" i="82" s="1"/>
  <c r="K87" i="82" s="1"/>
  <c r="L87" i="82" s="1"/>
  <c r="M87" i="82" s="1"/>
  <c r="D85" i="82"/>
  <c r="E85" i="82" s="1"/>
  <c r="F85" i="82" s="1"/>
  <c r="G85" i="82" s="1"/>
  <c r="D83" i="82"/>
  <c r="E83" i="82" s="1"/>
  <c r="F83" i="82" s="1"/>
  <c r="G83" i="82" s="1"/>
  <c r="D81" i="82"/>
  <c r="E81" i="82" s="1"/>
  <c r="F81" i="82" s="1"/>
  <c r="G81" i="82" s="1"/>
  <c r="D79" i="82"/>
  <c r="E79" i="82" s="1"/>
  <c r="F79" i="82" s="1"/>
  <c r="G79" i="82" s="1"/>
  <c r="D77" i="82"/>
  <c r="E77" i="82" s="1"/>
  <c r="F77" i="82" s="1"/>
  <c r="G77" i="82" s="1"/>
  <c r="B74" i="82"/>
  <c r="B72" i="82"/>
  <c r="B70" i="82"/>
  <c r="D69" i="82"/>
  <c r="E69" i="82" s="1"/>
  <c r="F69" i="82" s="1"/>
  <c r="G69" i="82" s="1"/>
  <c r="H69" i="82" s="1"/>
  <c r="I69" i="82" s="1"/>
  <c r="J69" i="82" s="1"/>
  <c r="K69" i="82" s="1"/>
  <c r="L69" i="82" s="1"/>
  <c r="M69" i="82" s="1"/>
  <c r="M67" i="82"/>
  <c r="L67" i="82"/>
  <c r="K67" i="82"/>
  <c r="J67" i="82"/>
  <c r="I67" i="82"/>
  <c r="H67" i="82"/>
  <c r="G67" i="82"/>
  <c r="F67" i="82"/>
  <c r="E67" i="82"/>
  <c r="D67" i="82"/>
  <c r="C67" i="82"/>
  <c r="C63" i="82"/>
  <c r="I54" i="82"/>
  <c r="J54" i="82" s="1"/>
  <c r="G54" i="82"/>
  <c r="H54" i="82" s="1"/>
  <c r="E54" i="82"/>
  <c r="F54" i="82" s="1"/>
  <c r="P49" i="82"/>
  <c r="P48" i="82"/>
  <c r="K48" i="82"/>
  <c r="V47" i="82"/>
  <c r="T47" i="82"/>
  <c r="R47" i="82"/>
  <c r="P47" i="82"/>
  <c r="Q46" i="82"/>
  <c r="Z46" i="82" s="1"/>
  <c r="J46" i="82"/>
  <c r="AC46" i="82" s="1"/>
  <c r="H46" i="82"/>
  <c r="AB46" i="82" s="1"/>
  <c r="F46" i="82"/>
  <c r="AA46" i="82" s="1"/>
  <c r="Q45" i="82"/>
  <c r="Z45" i="82" s="1"/>
  <c r="J45" i="82"/>
  <c r="AC45" i="82" s="1"/>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J37" i="82"/>
  <c r="AC37" i="82" s="1"/>
  <c r="H37" i="82"/>
  <c r="AB37" i="82" s="1"/>
  <c r="F37" i="82"/>
  <c r="AA37" i="82" s="1"/>
  <c r="Q36" i="82"/>
  <c r="Z36" i="82" s="1"/>
  <c r="Q35" i="82"/>
  <c r="Z35" i="82" s="1"/>
  <c r="J35" i="82"/>
  <c r="AC35" i="82" s="1"/>
  <c r="H35" i="82"/>
  <c r="AB35" i="82" s="1"/>
  <c r="F35" i="82"/>
  <c r="AA35" i="82" s="1"/>
  <c r="Q34" i="82"/>
  <c r="Z34" i="82" s="1"/>
  <c r="J34" i="82"/>
  <c r="AC34" i="82" s="1"/>
  <c r="H34" i="82"/>
  <c r="AB34" i="82" s="1"/>
  <c r="F34" i="82"/>
  <c r="AA34" i="82" s="1"/>
  <c r="Q33" i="82"/>
  <c r="Z33" i="82" s="1"/>
  <c r="C33" i="82"/>
  <c r="J33" i="82" s="1"/>
  <c r="Q32" i="82"/>
  <c r="Z32" i="82" s="1"/>
  <c r="Q31" i="82"/>
  <c r="Z31" i="82" s="1"/>
  <c r="J31" i="82"/>
  <c r="AC31" i="82" s="1"/>
  <c r="H31" i="82"/>
  <c r="AB31" i="82" s="1"/>
  <c r="F31" i="82"/>
  <c r="AA31" i="82" s="1"/>
  <c r="Q30" i="82"/>
  <c r="Z30" i="82" s="1"/>
  <c r="J30" i="82"/>
  <c r="AC30" i="82" s="1"/>
  <c r="H30" i="82"/>
  <c r="AB30" i="82" s="1"/>
  <c r="F30" i="82"/>
  <c r="AA30" i="82" s="1"/>
  <c r="Q29" i="82"/>
  <c r="Z29" i="82" s="1"/>
  <c r="J29" i="82"/>
  <c r="AC29" i="82" s="1"/>
  <c r="H29" i="82"/>
  <c r="AB29" i="82" s="1"/>
  <c r="F29" i="82"/>
  <c r="AA29" i="82" s="1"/>
  <c r="Q28" i="82"/>
  <c r="Z28" i="82" s="1"/>
  <c r="J28" i="82"/>
  <c r="AC28" i="82" s="1"/>
  <c r="H28" i="82"/>
  <c r="AB28" i="82" s="1"/>
  <c r="F28" i="82"/>
  <c r="AA28" i="82" s="1"/>
  <c r="Q27" i="82"/>
  <c r="Z27" i="82" s="1"/>
  <c r="H27" i="82"/>
  <c r="AB27" i="82" s="1"/>
  <c r="F27" i="82"/>
  <c r="AA27" i="82" s="1"/>
  <c r="Q26" i="82"/>
  <c r="Z26" i="82" s="1"/>
  <c r="J26" i="82"/>
  <c r="AC26" i="82" s="1"/>
  <c r="H26" i="82"/>
  <c r="AB26" i="82" s="1"/>
  <c r="F26" i="82"/>
  <c r="AA26" i="82" s="1"/>
  <c r="Q25" i="82"/>
  <c r="Z25" i="82" s="1"/>
  <c r="J25" i="82"/>
  <c r="AC25" i="82" s="1"/>
  <c r="H25" i="82"/>
  <c r="AB25" i="82" s="1"/>
  <c r="F25" i="82"/>
  <c r="AA25" i="82" s="1"/>
  <c r="AC23" i="82"/>
  <c r="Z23" i="82"/>
  <c r="Q23" i="82"/>
  <c r="J23" i="82"/>
  <c r="W23" i="82" s="1"/>
  <c r="H23" i="82"/>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W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AC8" i="82"/>
  <c r="W8" i="82"/>
  <c r="U8" i="82"/>
  <c r="J8" i="82"/>
  <c r="H8" i="82"/>
  <c r="AB8" i="82" s="1"/>
  <c r="F8" i="82"/>
  <c r="S8" i="82" s="1"/>
  <c r="D2" i="82"/>
  <c r="S10" i="82" l="1"/>
  <c r="U11" i="82"/>
  <c r="S23" i="82"/>
  <c r="AC33" i="82"/>
  <c r="W33" i="82"/>
  <c r="H36" i="82"/>
  <c r="G111" i="82"/>
  <c r="H111" i="82" s="1"/>
  <c r="I111" i="82" s="1"/>
  <c r="J111" i="82" s="1"/>
  <c r="K111" i="82" s="1"/>
  <c r="L111" i="82" s="1"/>
  <c r="M111" i="82" s="1"/>
  <c r="F36" i="82"/>
  <c r="J36" i="82"/>
  <c r="S15" i="82"/>
  <c r="S21" i="82"/>
  <c r="S9" i="82"/>
  <c r="U10" i="82"/>
  <c r="W11" i="82"/>
  <c r="S13" i="82"/>
  <c r="U14" i="82"/>
  <c r="U15" i="82"/>
  <c r="U17" i="82"/>
  <c r="U19" i="82"/>
  <c r="U21" i="82"/>
  <c r="AB23" i="82"/>
  <c r="U23" i="82"/>
  <c r="U25" i="82"/>
  <c r="F91" i="82"/>
  <c r="G91" i="82" s="1"/>
  <c r="H91" i="82" s="1"/>
  <c r="I91" i="82" s="1"/>
  <c r="J91" i="82" s="1"/>
  <c r="K91" i="82" s="1"/>
  <c r="L91" i="82" s="1"/>
  <c r="M91" i="82" s="1"/>
  <c r="J27" i="82"/>
  <c r="AC12" i="82"/>
  <c r="S14" i="82"/>
  <c r="S19" i="82"/>
  <c r="W10" i="82"/>
  <c r="U13" i="82"/>
  <c r="W15" i="82"/>
  <c r="W19" i="82"/>
  <c r="W21" i="82"/>
  <c r="S17" i="82"/>
  <c r="AA8" i="82"/>
  <c r="U9" i="82"/>
  <c r="S12" i="82"/>
  <c r="W14" i="82"/>
  <c r="W17" i="82"/>
  <c r="W9" i="82"/>
  <c r="S11" i="82"/>
  <c r="U12" i="82"/>
  <c r="W13" i="82"/>
  <c r="J32" i="82"/>
  <c r="H32" i="82"/>
  <c r="F32" i="82"/>
  <c r="G101" i="82"/>
  <c r="H101" i="82" s="1"/>
  <c r="I101" i="82" s="1"/>
  <c r="J101" i="82" s="1"/>
  <c r="K101" i="82" s="1"/>
  <c r="L101" i="82" s="1"/>
  <c r="M101" i="82" s="1"/>
  <c r="F33" i="82"/>
  <c r="F104" i="82"/>
  <c r="G104" i="82" s="1"/>
  <c r="S25" i="82"/>
  <c r="U26" i="82"/>
  <c r="S29" i="82"/>
  <c r="U30" i="82"/>
  <c r="W31" i="82"/>
  <c r="S34" i="82"/>
  <c r="U35" i="82"/>
  <c r="S38" i="82"/>
  <c r="U39" i="82"/>
  <c r="W40" i="82"/>
  <c r="S42" i="82"/>
  <c r="U43" i="82"/>
  <c r="W44" i="82"/>
  <c r="S46" i="82"/>
  <c r="W26" i="82"/>
  <c r="S28" i="82"/>
  <c r="U29" i="82"/>
  <c r="W30" i="82"/>
  <c r="U34" i="82"/>
  <c r="W35" i="82"/>
  <c r="S37" i="82"/>
  <c r="U38" i="82"/>
  <c r="W39" i="82"/>
  <c r="S41" i="82"/>
  <c r="U42" i="82"/>
  <c r="W43" i="82"/>
  <c r="S45" i="82"/>
  <c r="U46" i="82"/>
  <c r="W25" i="82"/>
  <c r="S27" i="82"/>
  <c r="U28" i="82"/>
  <c r="W29" i="82"/>
  <c r="S31" i="82"/>
  <c r="H33" i="82"/>
  <c r="W34" i="82"/>
  <c r="U37" i="82"/>
  <c r="W38" i="82"/>
  <c r="S40" i="82"/>
  <c r="U41" i="82"/>
  <c r="W42" i="82"/>
  <c r="S44" i="82"/>
  <c r="U45" i="82"/>
  <c r="W46" i="82"/>
  <c r="S26" i="82"/>
  <c r="U27" i="82"/>
  <c r="W28" i="82"/>
  <c r="S30" i="82"/>
  <c r="U31" i="82"/>
  <c r="S35" i="82"/>
  <c r="W37" i="82"/>
  <c r="S39" i="82"/>
  <c r="U40" i="82"/>
  <c r="W41" i="82"/>
  <c r="S43" i="82"/>
  <c r="U44" i="82"/>
  <c r="W45" i="82"/>
  <c r="AB32" i="82" l="1"/>
  <c r="U32" i="82"/>
  <c r="AB36" i="82"/>
  <c r="U36" i="82"/>
  <c r="AA33" i="82"/>
  <c r="S33" i="82"/>
  <c r="AC27" i="82"/>
  <c r="W27" i="82"/>
  <c r="AC36" i="82"/>
  <c r="W36" i="82"/>
  <c r="AC32" i="82"/>
  <c r="W32" i="82"/>
  <c r="AB33" i="82"/>
  <c r="U33" i="82"/>
  <c r="AA36" i="82"/>
  <c r="S36" i="82"/>
  <c r="AA32" i="82"/>
  <c r="S32" i="82"/>
  <c r="A26" i="31"/>
  <c r="A27" i="31"/>
  <c r="A28" i="31"/>
  <c r="A25" i="31"/>
  <c r="A24" i="31"/>
  <c r="B26" i="31"/>
  <c r="B27" i="31"/>
  <c r="B28" i="31"/>
  <c r="B25" i="31"/>
  <c r="B24" i="31"/>
  <c r="E104" i="33"/>
  <c r="F104" i="33" s="1"/>
  <c r="G104" i="33" s="1"/>
  <c r="D104" i="33"/>
  <c r="D3" i="4"/>
  <c r="C33" i="33" l="1"/>
  <c r="U2" i="43"/>
  <c r="U3" i="43" s="1"/>
  <c r="N19" i="1"/>
  <c r="F19" i="6"/>
  <c r="D33" i="43" s="1"/>
  <c r="N21" i="1" l="1"/>
  <c r="I29" i="79"/>
  <c r="I28" i="79"/>
  <c r="N28" i="79"/>
  <c r="M28" i="79"/>
  <c r="P28" i="79" s="1"/>
  <c r="L28" i="79"/>
  <c r="N29" i="79"/>
  <c r="M29" i="79"/>
  <c r="L29" i="79"/>
  <c r="O6" i="79"/>
  <c r="N6" i="79"/>
  <c r="M6" i="79"/>
  <c r="P6" i="79" s="1"/>
  <c r="L6" i="79"/>
  <c r="K6" i="79"/>
  <c r="O7" i="79"/>
  <c r="N7" i="79"/>
  <c r="M7" i="79"/>
  <c r="P7" i="79" s="1"/>
  <c r="L7" i="79"/>
  <c r="K7" i="79"/>
  <c r="Y6" i="1" l="1"/>
  <c r="P29" i="79"/>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U25" i="79" s="1"/>
  <c r="M27" i="79"/>
  <c r="L27" i="79"/>
  <c r="I27" i="79"/>
  <c r="AD27" i="79" s="1"/>
  <c r="AA25" i="79"/>
  <c r="AD25" i="79" s="1"/>
  <c r="N25" i="79"/>
  <c r="L25" i="79"/>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M16" i="79"/>
  <c r="T16" i="79" s="1"/>
  <c r="W16" i="79" s="1"/>
  <c r="L16" i="79"/>
  <c r="K16" i="79"/>
  <c r="R16" i="79" s="1"/>
  <c r="I16" i="79"/>
  <c r="AC15" i="79"/>
  <c r="AB15" i="79"/>
  <c r="AA15" i="79"/>
  <c r="AD15" i="79" s="1"/>
  <c r="Z15" i="79"/>
  <c r="Y15" i="79"/>
  <c r="O15" i="79"/>
  <c r="N15" i="79"/>
  <c r="U15" i="79" s="1"/>
  <c r="M15" i="79"/>
  <c r="L15" i="79"/>
  <c r="S15" i="79" s="1"/>
  <c r="K15" i="79"/>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U13" i="79" s="1"/>
  <c r="M13" i="79"/>
  <c r="L13" i="79"/>
  <c r="S13" i="79" s="1"/>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M11" i="79"/>
  <c r="L11" i="79"/>
  <c r="S3" i="79" s="1"/>
  <c r="K11" i="79"/>
  <c r="I11" i="79"/>
  <c r="AC5" i="79"/>
  <c r="AB5" i="79"/>
  <c r="AB3" i="79" s="1"/>
  <c r="AA5" i="79"/>
  <c r="AD5" i="79" s="1"/>
  <c r="Z5" i="79"/>
  <c r="Z3" i="79" s="1"/>
  <c r="Y5" i="79"/>
  <c r="O5" i="79"/>
  <c r="O3" i="79" s="1"/>
  <c r="N5" i="79"/>
  <c r="M5" i="79"/>
  <c r="P5" i="79" s="1"/>
  <c r="L5" i="79"/>
  <c r="K5" i="79"/>
  <c r="K3" i="79" s="1"/>
  <c r="I5" i="79"/>
  <c r="V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Y3" i="79"/>
  <c r="S12" i="79"/>
  <c r="U12" i="79"/>
  <c r="R13" i="79"/>
  <c r="V13" i="79"/>
  <c r="S14" i="79"/>
  <c r="U14" i="79"/>
  <c r="R15" i="79"/>
  <c r="V15" i="79"/>
  <c r="S16" i="79"/>
  <c r="U16" i="79"/>
  <c r="M25" i="79"/>
  <c r="P25" i="79" s="1"/>
  <c r="T25" i="79"/>
  <c r="W25" i="79" s="1"/>
  <c r="U3" i="79"/>
  <c r="AC3" i="79"/>
  <c r="T27" i="79"/>
  <c r="S28" i="79"/>
  <c r="U28" i="79"/>
  <c r="AD34" i="79"/>
  <c r="T34" i="79"/>
  <c r="S35" i="79"/>
  <c r="U35" i="79"/>
  <c r="AD36" i="79"/>
  <c r="S37" i="79"/>
  <c r="U37" i="79"/>
  <c r="AD38" i="79"/>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D7" i="77" l="1"/>
  <c r="C26" i="77" s="1"/>
  <c r="R14" i="77"/>
  <c r="R24" i="77" s="1"/>
  <c r="D29" i="77"/>
  <c r="E23" i="77"/>
  <c r="D26" i="77"/>
  <c r="D32" i="77" s="1"/>
  <c r="C29" i="77"/>
  <c r="C32" i="77" s="1"/>
  <c r="C38" i="77" s="1"/>
  <c r="C39" i="77" s="1"/>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Q24" i="71"/>
  <c r="P24" i="71"/>
  <c r="O24" i="71"/>
  <c r="C24" i="71"/>
  <c r="C23" i="71" s="1"/>
  <c r="Q25" i="71"/>
  <c r="F24" i="71"/>
  <c r="F23" i="71" s="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B14" i="74" s="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E68" i="71"/>
  <c r="P68" i="71" s="1"/>
  <c r="C68" i="71"/>
  <c r="B68" i="71"/>
  <c r="S68" i="71" s="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O39" i="7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Y36" i="71" s="1"/>
  <c r="Z36" i="71" s="1"/>
  <c r="N36" i="71"/>
  <c r="Q35" i="71"/>
  <c r="AB35" i="71" s="1"/>
  <c r="P35" i="71"/>
  <c r="O35" i="71"/>
  <c r="Y35" i="71" s="1"/>
  <c r="Z35" i="71" s="1"/>
  <c r="N35" i="71"/>
  <c r="X33" i="71" s="1"/>
  <c r="Q34" i="71"/>
  <c r="AB34" i="71"/>
  <c r="P34" i="71"/>
  <c r="O34" i="71"/>
  <c r="Y34" i="71" s="1"/>
  <c r="Z34" i="71" s="1"/>
  <c r="N34" i="71"/>
  <c r="Q33" i="71"/>
  <c r="F34" i="71" s="1"/>
  <c r="F35" i="71" s="1"/>
  <c r="F36" i="71" s="1"/>
  <c r="V36" i="71" s="1"/>
  <c r="P33" i="71"/>
  <c r="O33" i="71"/>
  <c r="Y33" i="71" s="1"/>
  <c r="Z33" i="71" s="1"/>
  <c r="N33" i="71"/>
  <c r="D33" i="71"/>
  <c r="Q32" i="71"/>
  <c r="AB32" i="71"/>
  <c r="P32" i="71"/>
  <c r="O32" i="71"/>
  <c r="Y32" i="71" s="1"/>
  <c r="Z32" i="71" s="1"/>
  <c r="N32" i="71"/>
  <c r="Q31" i="71"/>
  <c r="AB31" i="71" s="1"/>
  <c r="P31" i="71"/>
  <c r="O31" i="71"/>
  <c r="Y31" i="71" s="1"/>
  <c r="Z31" i="71" s="1"/>
  <c r="N31" i="71"/>
  <c r="X29" i="71" s="1"/>
  <c r="Q30" i="71"/>
  <c r="AB30" i="71"/>
  <c r="P30" i="71"/>
  <c r="O30" i="71"/>
  <c r="Y30" i="71" s="1"/>
  <c r="Z30" i="71" s="1"/>
  <c r="N30" i="71"/>
  <c r="Q29" i="71"/>
  <c r="AB29" i="71" s="1"/>
  <c r="P29" i="71"/>
  <c r="O29" i="71"/>
  <c r="Y29" i="71" s="1"/>
  <c r="Z29" i="71" s="1"/>
  <c r="N29" i="71"/>
  <c r="D29" i="71"/>
  <c r="O28" i="71"/>
  <c r="N28" i="71"/>
  <c r="B28"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s="1"/>
  <c r="E36" i="71" s="1"/>
  <c r="U36" i="71" s="1"/>
  <c r="C30" i="71"/>
  <c r="D30" i="71" s="1"/>
  <c r="X31" i="71"/>
  <c r="C34" i="71"/>
  <c r="C35" i="71" s="1"/>
  <c r="AB33" i="71"/>
  <c r="AA34" i="71"/>
  <c r="AA35" i="71"/>
  <c r="X36" i="71"/>
  <c r="AA36" i="71"/>
  <c r="Y37" i="71"/>
  <c r="Z37" i="71" s="1"/>
  <c r="X38" i="71"/>
  <c r="AA38" i="71"/>
  <c r="F51" i="71"/>
  <c r="F52" i="71" s="1"/>
  <c r="V52" i="71" s="1"/>
  <c r="C28" i="71"/>
  <c r="C27" i="71" s="1"/>
  <c r="X27" i="71"/>
  <c r="C31" i="71"/>
  <c r="D31" i="71" s="1"/>
  <c r="C51" i="71"/>
  <c r="D51" i="71" s="1"/>
  <c r="D50" i="71"/>
  <c r="P28" i="71"/>
  <c r="AA3" i="71" s="1"/>
  <c r="E55" i="71"/>
  <c r="E56" i="71"/>
  <c r="U56" i="71" s="1"/>
  <c r="E59" i="71"/>
  <c r="E60" i="71" s="1"/>
  <c r="U60" i="71" s="1"/>
  <c r="E63" i="71"/>
  <c r="E64" i="71" s="1"/>
  <c r="U64" i="71" s="1"/>
  <c r="U68" i="71"/>
  <c r="E67" i="71"/>
  <c r="E66" i="71" s="1"/>
  <c r="Q28" i="71"/>
  <c r="F28" i="71" s="1"/>
  <c r="F27" i="71" s="1"/>
  <c r="F26" i="71" s="1"/>
  <c r="C59" i="71"/>
  <c r="D59" i="71" s="1"/>
  <c r="D58" i="71"/>
  <c r="C63" i="71"/>
  <c r="C64" i="71" s="1"/>
  <c r="D62" i="71"/>
  <c r="N67" i="71"/>
  <c r="B66" i="71"/>
  <c r="N66" i="71" s="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AB26" i="71"/>
  <c r="AB28" i="71"/>
  <c r="AA25" i="71"/>
  <c r="D28" i="71"/>
  <c r="U28" i="71" s="1"/>
  <c r="D67" i="71"/>
  <c r="D63" i="71"/>
  <c r="C82" i="71"/>
  <c r="D82" i="71" s="1"/>
  <c r="N65" i="71"/>
  <c r="D87" i="71"/>
  <c r="C86" i="71"/>
  <c r="D86" i="71" s="1"/>
  <c r="D79" i="71"/>
  <c r="C60" i="71"/>
  <c r="T60" i="71" s="1"/>
  <c r="P67" i="71"/>
  <c r="C32" i="71"/>
  <c r="T32"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C21" i="37"/>
  <c r="Q21" i="34"/>
  <c r="Z21" i="34" s="1"/>
  <c r="D84" i="34"/>
  <c r="E84" i="34" s="1"/>
  <c r="F84" i="34" s="1"/>
  <c r="G84" i="34" s="1"/>
  <c r="F21" i="34"/>
  <c r="AA21" i="34" s="1"/>
  <c r="C21" i="34"/>
  <c r="Q21" i="33"/>
  <c r="Z21" i="33" s="1"/>
  <c r="D83" i="33"/>
  <c r="E83" i="33" s="1"/>
  <c r="F83" i="33" s="1"/>
  <c r="C21" i="33"/>
  <c r="C21" i="21"/>
  <c r="Q21" i="21"/>
  <c r="Z21" i="21" s="1"/>
  <c r="H19" i="21"/>
  <c r="D83" i="21"/>
  <c r="F21" i="21"/>
  <c r="AA21" i="21" s="1"/>
  <c r="D81" i="21"/>
  <c r="G20" i="20"/>
  <c r="B88" i="43"/>
  <c r="C22" i="20"/>
  <c r="B100" i="43" s="1"/>
  <c r="B77" i="43"/>
  <c r="B57" i="43"/>
  <c r="B68" i="43"/>
  <c r="C25" i="40"/>
  <c r="C29" i="39"/>
  <c r="S25" i="40"/>
  <c r="S18" i="36"/>
  <c r="H25" i="40"/>
  <c r="AB25" i="40" s="1"/>
  <c r="J25" i="40"/>
  <c r="AC25" i="40" s="1"/>
  <c r="H29" i="39"/>
  <c r="AB29" i="39" s="1"/>
  <c r="J29" i="39"/>
  <c r="AC29" i="39" s="1"/>
  <c r="J18" i="36"/>
  <c r="AC18" i="36" s="1"/>
  <c r="H18" i="35"/>
  <c r="AB18" i="35" s="1"/>
  <c r="S18" i="35"/>
  <c r="J18" i="35"/>
  <c r="F77" i="37"/>
  <c r="G77" i="37" s="1"/>
  <c r="H21" i="37"/>
  <c r="F21" i="37"/>
  <c r="AA21" i="37" s="1"/>
  <c r="H21" i="34"/>
  <c r="AB21" i="34" s="1"/>
  <c r="H21" i="33"/>
  <c r="U21" i="33" s="1"/>
  <c r="F21" i="33"/>
  <c r="S21" i="33" s="1"/>
  <c r="E83" i="21"/>
  <c r="H1" i="69"/>
  <c r="W25" i="40"/>
  <c r="U25" i="40"/>
  <c r="U29" i="39"/>
  <c r="W29" i="39"/>
  <c r="W18" i="36"/>
  <c r="AB21" i="37"/>
  <c r="U21" i="37"/>
  <c r="S21" i="37"/>
  <c r="AB21" i="33"/>
  <c r="AA21" i="33"/>
  <c r="U18" i="35"/>
  <c r="AC18" i="35"/>
  <c r="W18" i="35"/>
  <c r="J21" i="37"/>
  <c r="W21" i="37" s="1"/>
  <c r="J21" i="34"/>
  <c r="W21" i="34" s="1"/>
  <c r="G83" i="33"/>
  <c r="J21" i="33"/>
  <c r="W21" i="33" s="1"/>
  <c r="F83" i="2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C7" i="68"/>
  <c r="C5" i="68" s="1"/>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82" s="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0" i="31"/>
  <c r="R31" i="31"/>
  <c r="R32" i="31"/>
  <c r="S32" i="31" s="1"/>
  <c r="R33" i="31"/>
  <c r="R34" i="31"/>
  <c r="R35" i="31"/>
  <c r="R36" i="31"/>
  <c r="S36" i="31" s="1"/>
  <c r="R37" i="31"/>
  <c r="R38" i="31"/>
  <c r="R39" i="31"/>
  <c r="R40" i="31"/>
  <c r="S40" i="31" s="1"/>
  <c r="R41" i="31"/>
  <c r="R42" i="31"/>
  <c r="R43" i="31"/>
  <c r="R44" i="31"/>
  <c r="S44" i="31" s="1"/>
  <c r="R45" i="31"/>
  <c r="R46" i="31"/>
  <c r="R47" i="31"/>
  <c r="R48" i="31"/>
  <c r="S48" i="31" s="1"/>
  <c r="R49" i="31"/>
  <c r="R50" i="31"/>
  <c r="R51" i="31"/>
  <c r="R52" i="31"/>
  <c r="S52" i="31" s="1"/>
  <c r="R53" i="31"/>
  <c r="R54" i="31"/>
  <c r="R55" i="31"/>
  <c r="R56" i="31"/>
  <c r="S56" i="31" s="1"/>
  <c r="R57" i="31"/>
  <c r="R58" i="31"/>
  <c r="R59" i="31"/>
  <c r="R60" i="31"/>
  <c r="S60" i="31" s="1"/>
  <c r="R61" i="31"/>
  <c r="R62" i="31"/>
  <c r="R63" i="31"/>
  <c r="R64" i="31"/>
  <c r="S64" i="31" s="1"/>
  <c r="R65" i="31"/>
  <c r="R66" i="31"/>
  <c r="R67" i="31"/>
  <c r="R68" i="31"/>
  <c r="S68" i="31" s="1"/>
  <c r="R69" i="31"/>
  <c r="R70" i="31"/>
  <c r="R71" i="31"/>
  <c r="R72" i="31"/>
  <c r="S72" i="31" s="1"/>
  <c r="R73" i="31"/>
  <c r="R74" i="31"/>
  <c r="R75" i="31"/>
  <c r="R76" i="31"/>
  <c r="S76" i="31" s="1"/>
  <c r="R77" i="31"/>
  <c r="R78" i="31"/>
  <c r="R79" i="31"/>
  <c r="R80" i="31"/>
  <c r="S80" i="31" s="1"/>
  <c r="R81" i="31"/>
  <c r="R82" i="31"/>
  <c r="R83" i="31"/>
  <c r="R84" i="31"/>
  <c r="S84" i="31" s="1"/>
  <c r="R85" i="31"/>
  <c r="R86" i="31"/>
  <c r="R87" i="31"/>
  <c r="R88" i="31"/>
  <c r="S88" i="31" s="1"/>
  <c r="R89" i="31"/>
  <c r="R90" i="31"/>
  <c r="R91" i="31"/>
  <c r="R92" i="31"/>
  <c r="S92" i="31" s="1"/>
  <c r="R93" i="31"/>
  <c r="R94" i="31"/>
  <c r="R95" i="31"/>
  <c r="R96" i="31"/>
  <c r="S96" i="31" s="1"/>
  <c r="R97" i="31"/>
  <c r="R98" i="31"/>
  <c r="R99" i="31"/>
  <c r="R100" i="31"/>
  <c r="S100" i="31" s="1"/>
  <c r="R101" i="31"/>
  <c r="R102" i="31"/>
  <c r="R103" i="31"/>
  <c r="R104" i="31"/>
  <c r="S104" i="31" s="1"/>
  <c r="R105" i="31"/>
  <c r="R106" i="31"/>
  <c r="R107" i="31"/>
  <c r="R108" i="31"/>
  <c r="S108" i="31" s="1"/>
  <c r="R109" i="31"/>
  <c r="R110" i="31"/>
  <c r="R111" i="31"/>
  <c r="R112" i="31"/>
  <c r="S112" i="31" s="1"/>
  <c r="R113" i="31"/>
  <c r="R114" i="31"/>
  <c r="R115" i="31"/>
  <c r="R116" i="31"/>
  <c r="S116" i="31" s="1"/>
  <c r="R117" i="31"/>
  <c r="R118" i="31"/>
  <c r="R119" i="31"/>
  <c r="R120" i="31"/>
  <c r="S120" i="31" s="1"/>
  <c r="R121" i="31"/>
  <c r="R122" i="31"/>
  <c r="R123" i="31"/>
  <c r="R124" i="31"/>
  <c r="S124" i="31" s="1"/>
  <c r="R125" i="31"/>
  <c r="R126" i="31"/>
  <c r="R127" i="31"/>
  <c r="R128" i="31"/>
  <c r="S128" i="31" s="1"/>
  <c r="R129" i="31"/>
  <c r="R130" i="31"/>
  <c r="R131" i="31"/>
  <c r="R132" i="31"/>
  <c r="S132" i="31" s="1"/>
  <c r="R133" i="31"/>
  <c r="R134" i="31"/>
  <c r="R135" i="31"/>
  <c r="R136" i="31"/>
  <c r="S136" i="31" s="1"/>
  <c r="R137" i="31"/>
  <c r="R138" i="31"/>
  <c r="R139" i="31"/>
  <c r="R140" i="31"/>
  <c r="S140" i="31" s="1"/>
  <c r="R141" i="31"/>
  <c r="R142" i="31"/>
  <c r="R143" i="31"/>
  <c r="R144" i="31"/>
  <c r="S144" i="31" s="1"/>
  <c r="R145" i="31"/>
  <c r="R146" i="31"/>
  <c r="R147" i="31"/>
  <c r="R148" i="31"/>
  <c r="S148" i="31" s="1"/>
  <c r="R149" i="31"/>
  <c r="R150" i="31"/>
  <c r="R151" i="31"/>
  <c r="R152" i="31"/>
  <c r="S152" i="31" s="1"/>
  <c r="R153" i="31"/>
  <c r="R154" i="31"/>
  <c r="R155" i="31"/>
  <c r="R156" i="31"/>
  <c r="S156" i="31" s="1"/>
  <c r="R157" i="31"/>
  <c r="R158" i="31"/>
  <c r="R159" i="31"/>
  <c r="R160" i="31"/>
  <c r="S160" i="31" s="1"/>
  <c r="R161" i="31"/>
  <c r="R162" i="31"/>
  <c r="R163" i="31"/>
  <c r="R164" i="31"/>
  <c r="S164" i="31" s="1"/>
  <c r="R165" i="31"/>
  <c r="R166" i="31"/>
  <c r="R167" i="31"/>
  <c r="R168" i="31"/>
  <c r="S168" i="31" s="1"/>
  <c r="R169" i="31"/>
  <c r="R170" i="31"/>
  <c r="R171" i="31"/>
  <c r="R172" i="31"/>
  <c r="S172" i="31" s="1"/>
  <c r="R173" i="31"/>
  <c r="R174" i="31"/>
  <c r="R175" i="31"/>
  <c r="R176" i="31"/>
  <c r="S176" i="31" s="1"/>
  <c r="R177" i="31"/>
  <c r="R178" i="31"/>
  <c r="R179" i="31"/>
  <c r="R180" i="31"/>
  <c r="S180" i="31" s="1"/>
  <c r="R181" i="31"/>
  <c r="R182" i="31"/>
  <c r="R183" i="31"/>
  <c r="R184" i="31"/>
  <c r="S184" i="31" s="1"/>
  <c r="R185" i="31"/>
  <c r="R186" i="31"/>
  <c r="R187" i="31"/>
  <c r="R188" i="31"/>
  <c r="S188" i="31" s="1"/>
  <c r="R189" i="31"/>
  <c r="R190" i="31"/>
  <c r="R191" i="31"/>
  <c r="R192" i="31"/>
  <c r="S192" i="31" s="1"/>
  <c r="R193" i="31"/>
  <c r="R194" i="31"/>
  <c r="R195" i="31"/>
  <c r="R196" i="31"/>
  <c r="S196" i="31" s="1"/>
  <c r="R197" i="31"/>
  <c r="R198" i="31"/>
  <c r="R199" i="31"/>
  <c r="R200" i="31"/>
  <c r="S200" i="31" s="1"/>
  <c r="R201" i="31"/>
  <c r="R202" i="31"/>
  <c r="R203" i="31"/>
  <c r="R204" i="31"/>
  <c r="S204" i="31" s="1"/>
  <c r="R205" i="31"/>
  <c r="R206" i="31"/>
  <c r="R207" i="31"/>
  <c r="R208" i="31"/>
  <c r="S208" i="31" s="1"/>
  <c r="R209" i="31"/>
  <c r="R210" i="31"/>
  <c r="R211" i="31"/>
  <c r="R212" i="31"/>
  <c r="S212" i="31" s="1"/>
  <c r="R213" i="31"/>
  <c r="R214" i="31"/>
  <c r="R215" i="31"/>
  <c r="R216" i="31"/>
  <c r="S216" i="31" s="1"/>
  <c r="R217" i="31"/>
  <c r="R218" i="31"/>
  <c r="R219" i="31"/>
  <c r="R220" i="31"/>
  <c r="S220" i="31" s="1"/>
  <c r="R221" i="31"/>
  <c r="R222" i="31"/>
  <c r="R223" i="31"/>
  <c r="R224" i="31"/>
  <c r="S224" i="31" s="1"/>
  <c r="R225" i="31"/>
  <c r="R226" i="31"/>
  <c r="R227" i="31"/>
  <c r="R228" i="31"/>
  <c r="S228" i="31" s="1"/>
  <c r="R229" i="31"/>
  <c r="R230" i="31"/>
  <c r="R231" i="31"/>
  <c r="R232" i="31"/>
  <c r="S232" i="31" s="1"/>
  <c r="R233" i="31"/>
  <c r="R234" i="31"/>
  <c r="R235" i="31"/>
  <c r="R236" i="31"/>
  <c r="S236" i="31" s="1"/>
  <c r="R237" i="31"/>
  <c r="R238" i="31"/>
  <c r="R239" i="31"/>
  <c r="R240" i="31"/>
  <c r="S240" i="31" s="1"/>
  <c r="R241" i="31"/>
  <c r="R242" i="31"/>
  <c r="R243" i="31"/>
  <c r="R244" i="31"/>
  <c r="S244" i="31" s="1"/>
  <c r="R245" i="31"/>
  <c r="R246" i="31"/>
  <c r="R247" i="31"/>
  <c r="R248" i="31"/>
  <c r="S248" i="31" s="1"/>
  <c r="R249" i="31"/>
  <c r="R250" i="31"/>
  <c r="R251" i="31"/>
  <c r="R252" i="31"/>
  <c r="S252" i="31" s="1"/>
  <c r="R253" i="31"/>
  <c r="R254" i="31"/>
  <c r="R255" i="31"/>
  <c r="S255" i="31" s="1"/>
  <c r="R256" i="31"/>
  <c r="S256" i="31" s="1"/>
  <c r="R257" i="31"/>
  <c r="S257" i="31" s="1"/>
  <c r="R258" i="31"/>
  <c r="R259" i="31"/>
  <c r="S259" i="31" s="1"/>
  <c r="R260" i="31"/>
  <c r="R261" i="31"/>
  <c r="S261" i="31" s="1"/>
  <c r="R262" i="31"/>
  <c r="R263" i="31"/>
  <c r="S263" i="31" s="1"/>
  <c r="R264" i="31"/>
  <c r="S264" i="31" s="1"/>
  <c r="R265" i="31"/>
  <c r="S265" i="31" s="1"/>
  <c r="R266" i="31"/>
  <c r="R267" i="31"/>
  <c r="S267" i="31" s="1"/>
  <c r="R268" i="31"/>
  <c r="R269" i="31"/>
  <c r="S269" i="31" s="1"/>
  <c r="R270" i="31"/>
  <c r="R271" i="31"/>
  <c r="S271" i="31" s="1"/>
  <c r="R272" i="31"/>
  <c r="S272" i="31" s="1"/>
  <c r="R273" i="31"/>
  <c r="S273" i="31" s="1"/>
  <c r="R274" i="31"/>
  <c r="R275" i="31"/>
  <c r="S275" i="31" s="1"/>
  <c r="R276" i="31"/>
  <c r="R277" i="31"/>
  <c r="S277" i="31" s="1"/>
  <c r="R278" i="31"/>
  <c r="R279" i="31"/>
  <c r="S279" i="31" s="1"/>
  <c r="R280" i="31"/>
  <c r="S280" i="31" s="1"/>
  <c r="R281" i="31"/>
  <c r="S281" i="31" s="1"/>
  <c r="R282" i="31"/>
  <c r="R283" i="31"/>
  <c r="S283" i="31" s="1"/>
  <c r="R284" i="31"/>
  <c r="R285" i="31"/>
  <c r="S285" i="31" s="1"/>
  <c r="R286" i="31"/>
  <c r="R287" i="31"/>
  <c r="S287" i="31" s="1"/>
  <c r="R288" i="31"/>
  <c r="S288" i="31" s="1"/>
  <c r="R289" i="31"/>
  <c r="S289" i="31" s="1"/>
  <c r="R290" i="31"/>
  <c r="R291" i="31"/>
  <c r="S291" i="31" s="1"/>
  <c r="R292" i="31"/>
  <c r="R293" i="31"/>
  <c r="S293" i="31" s="1"/>
  <c r="R294" i="31"/>
  <c r="R295" i="31"/>
  <c r="S295" i="31" s="1"/>
  <c r="R296" i="31"/>
  <c r="S296" i="31" s="1"/>
  <c r="R297" i="31"/>
  <c r="S297" i="31" s="1"/>
  <c r="R298" i="31"/>
  <c r="R299" i="31"/>
  <c r="S299" i="31" s="1"/>
  <c r="R300" i="31"/>
  <c r="R301" i="31"/>
  <c r="S301" i="31" s="1"/>
  <c r="R302" i="31"/>
  <c r="R303" i="31"/>
  <c r="S303" i="31" s="1"/>
  <c r="R304" i="31"/>
  <c r="S304" i="31" s="1"/>
  <c r="R305" i="31"/>
  <c r="S305" i="31" s="1"/>
  <c r="R306" i="31"/>
  <c r="R307" i="31"/>
  <c r="S307" i="31" s="1"/>
  <c r="R308" i="31"/>
  <c r="R309" i="31"/>
  <c r="S309" i="31" s="1"/>
  <c r="R310" i="31"/>
  <c r="R311" i="31"/>
  <c r="S311" i="31" s="1"/>
  <c r="R312" i="31"/>
  <c r="S312" i="31" s="1"/>
  <c r="R313" i="31"/>
  <c r="S313" i="31" s="1"/>
  <c r="R314" i="31"/>
  <c r="R315" i="31"/>
  <c r="S315" i="31" s="1"/>
  <c r="R316" i="31"/>
  <c r="R317" i="31"/>
  <c r="S317" i="31" s="1"/>
  <c r="R318" i="31"/>
  <c r="R319" i="31"/>
  <c r="S319" i="31" s="1"/>
  <c r="R320" i="31"/>
  <c r="S320" i="31" s="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R426" i="31"/>
  <c r="R427" i="31"/>
  <c r="R428" i="31"/>
  <c r="R429" i="31"/>
  <c r="R430" i="31"/>
  <c r="R431" i="31"/>
  <c r="R432" i="31"/>
  <c r="S432" i="31" s="1"/>
  <c r="R433" i="31"/>
  <c r="R434" i="31"/>
  <c r="R435" i="31"/>
  <c r="R436" i="31"/>
  <c r="S436" i="31" s="1"/>
  <c r="R437" i="31"/>
  <c r="R438" i="31"/>
  <c r="R439" i="31"/>
  <c r="R440" i="31"/>
  <c r="S440" i="31" s="1"/>
  <c r="R441" i="31"/>
  <c r="R442" i="31"/>
  <c r="R443" i="31"/>
  <c r="R444" i="31"/>
  <c r="S444" i="31" s="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S468" i="31" s="1"/>
  <c r="R469" i="31"/>
  <c r="R470" i="31"/>
  <c r="R471" i="31"/>
  <c r="R472" i="31"/>
  <c r="S472" i="31" s="1"/>
  <c r="R473" i="31"/>
  <c r="R474" i="31"/>
  <c r="R475" i="31"/>
  <c r="R476" i="31"/>
  <c r="S476" i="31" s="1"/>
  <c r="R477" i="31"/>
  <c r="R478" i="31"/>
  <c r="R479" i="31"/>
  <c r="R480" i="31"/>
  <c r="S480" i="31" s="1"/>
  <c r="R481" i="31"/>
  <c r="R482" i="31"/>
  <c r="R483" i="31"/>
  <c r="R484" i="31"/>
  <c r="S484" i="31" s="1"/>
  <c r="R485" i="31"/>
  <c r="R486" i="31"/>
  <c r="R487" i="31"/>
  <c r="R488" i="31"/>
  <c r="S488" i="31" s="1"/>
  <c r="R489" i="31"/>
  <c r="R490" i="31"/>
  <c r="R491" i="31"/>
  <c r="R492" i="31"/>
  <c r="S492" i="31" s="1"/>
  <c r="R493" i="31"/>
  <c r="R494" i="31"/>
  <c r="R495" i="31"/>
  <c r="R496" i="31"/>
  <c r="S496" i="31" s="1"/>
  <c r="R497" i="31"/>
  <c r="R498" i="31"/>
  <c r="R499" i="31"/>
  <c r="R500" i="31"/>
  <c r="S500" i="31" s="1"/>
  <c r="R501" i="31"/>
  <c r="R502" i="31"/>
  <c r="R503" i="31"/>
  <c r="R504" i="31"/>
  <c r="S504" i="31" s="1"/>
  <c r="R505" i="31"/>
  <c r="R506" i="31"/>
  <c r="R507" i="31"/>
  <c r="R508" i="31"/>
  <c r="S508" i="31" s="1"/>
  <c r="R509" i="31"/>
  <c r="R510" i="31"/>
  <c r="R511" i="31"/>
  <c r="R512" i="31"/>
  <c r="S512" i="31" s="1"/>
  <c r="R513" i="31"/>
  <c r="R514" i="31"/>
  <c r="R515" i="31"/>
  <c r="R516" i="31"/>
  <c r="S516" i="31" s="1"/>
  <c r="R517" i="31"/>
  <c r="R518" i="31"/>
  <c r="R519" i="31"/>
  <c r="R520" i="31"/>
  <c r="S520" i="31" s="1"/>
  <c r="R521" i="31"/>
  <c r="R522" i="31"/>
  <c r="R523" i="31"/>
  <c r="R524" i="31"/>
  <c r="S524" i="31" s="1"/>
  <c r="C25" i="31"/>
  <c r="C26" i="31"/>
  <c r="C27" i="31"/>
  <c r="C28" i="31"/>
  <c r="C29" i="31"/>
  <c r="R29" i="31" s="1"/>
  <c r="S29" i="31" s="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D3" i="82"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4" i="31"/>
  <c r="S330" i="31"/>
  <c r="S326" i="31"/>
  <c r="S322" i="31"/>
  <c r="S318" i="31"/>
  <c r="S316" i="31"/>
  <c r="S314" i="31"/>
  <c r="S310" i="31"/>
  <c r="S308" i="31"/>
  <c r="S306" i="31"/>
  <c r="S302" i="31"/>
  <c r="S300" i="31"/>
  <c r="S298" i="31"/>
  <c r="S294" i="31"/>
  <c r="S292" i="31"/>
  <c r="S290" i="31"/>
  <c r="S286" i="31"/>
  <c r="S284" i="31"/>
  <c r="S282" i="31"/>
  <c r="S278" i="31"/>
  <c r="S276" i="31"/>
  <c r="S274" i="31"/>
  <c r="S270" i="31"/>
  <c r="S268" i="31"/>
  <c r="S266" i="31"/>
  <c r="S262" i="31"/>
  <c r="S260" i="31"/>
  <c r="S258" i="31"/>
  <c r="S254" i="31"/>
  <c r="S253" i="31"/>
  <c r="S251" i="31"/>
  <c r="S250" i="31"/>
  <c r="S249" i="31"/>
  <c r="S247" i="31"/>
  <c r="S246" i="31"/>
  <c r="S245" i="31"/>
  <c r="S243" i="31"/>
  <c r="S242" i="31"/>
  <c r="S241" i="31"/>
  <c r="S239" i="31"/>
  <c r="S238" i="31"/>
  <c r="S237" i="31"/>
  <c r="S235" i="31"/>
  <c r="S234" i="31"/>
  <c r="S233" i="31"/>
  <c r="S231" i="31"/>
  <c r="S230" i="31"/>
  <c r="S229" i="31"/>
  <c r="S227" i="31"/>
  <c r="S226" i="31"/>
  <c r="S225" i="31"/>
  <c r="S223" i="31"/>
  <c r="S429" i="31"/>
  <c r="S428" i="31"/>
  <c r="S427" i="31"/>
  <c r="S426" i="31"/>
  <c r="S425" i="31"/>
  <c r="S222" i="31"/>
  <c r="S221" i="31"/>
  <c r="S219" i="31"/>
  <c r="S218" i="31"/>
  <c r="S217" i="31"/>
  <c r="S215" i="31"/>
  <c r="S214" i="31"/>
  <c r="S213" i="31"/>
  <c r="S211" i="31"/>
  <c r="S210" i="31"/>
  <c r="S209" i="31"/>
  <c r="S207" i="31"/>
  <c r="S206" i="31"/>
  <c r="S205" i="31"/>
  <c r="S203" i="31"/>
  <c r="S202" i="31"/>
  <c r="S201" i="31"/>
  <c r="S199" i="31"/>
  <c r="S198" i="31"/>
  <c r="S197" i="31"/>
  <c r="S195" i="31"/>
  <c r="S194" i="31"/>
  <c r="S193" i="31"/>
  <c r="S191" i="31"/>
  <c r="S190" i="31"/>
  <c r="S189" i="31"/>
  <c r="S187" i="31"/>
  <c r="S186" i="31"/>
  <c r="S185" i="31"/>
  <c r="S183" i="31"/>
  <c r="S182" i="31"/>
  <c r="S181" i="31"/>
  <c r="S179" i="31"/>
  <c r="S178" i="31"/>
  <c r="S177" i="31"/>
  <c r="S175" i="31"/>
  <c r="S174" i="31"/>
  <c r="S173" i="31"/>
  <c r="S171" i="31"/>
  <c r="S170" i="31"/>
  <c r="S169" i="31"/>
  <c r="S167" i="31"/>
  <c r="S166" i="31"/>
  <c r="S165" i="31"/>
  <c r="S163" i="31"/>
  <c r="S162" i="31"/>
  <c r="S161" i="31"/>
  <c r="S159" i="31"/>
  <c r="S158" i="31"/>
  <c r="S157" i="31"/>
  <c r="S155" i="31"/>
  <c r="S154" i="31"/>
  <c r="S153" i="31"/>
  <c r="S151" i="31"/>
  <c r="S150" i="31"/>
  <c r="S149" i="31"/>
  <c r="S147" i="31"/>
  <c r="S146" i="31"/>
  <c r="S145" i="31"/>
  <c r="S143" i="31"/>
  <c r="S142" i="31"/>
  <c r="S141" i="31"/>
  <c r="S139" i="31"/>
  <c r="S138" i="31"/>
  <c r="S137" i="31"/>
  <c r="S135" i="31"/>
  <c r="S134" i="31"/>
  <c r="S133" i="31"/>
  <c r="S131" i="31"/>
  <c r="S130" i="31"/>
  <c r="S129" i="31"/>
  <c r="S127" i="31"/>
  <c r="S126" i="31"/>
  <c r="S125" i="31"/>
  <c r="S123" i="31"/>
  <c r="S497" i="31"/>
  <c r="S495" i="31"/>
  <c r="S494" i="31"/>
  <c r="S493" i="31"/>
  <c r="S491" i="31"/>
  <c r="S490" i="31"/>
  <c r="S489" i="31"/>
  <c r="S487" i="31"/>
  <c r="S486" i="31"/>
  <c r="S485" i="31"/>
  <c r="S483" i="31"/>
  <c r="S482" i="31"/>
  <c r="S481" i="31"/>
  <c r="S479" i="31"/>
  <c r="S478" i="31"/>
  <c r="S477" i="31"/>
  <c r="S475" i="31"/>
  <c r="S474" i="31"/>
  <c r="S473" i="31"/>
  <c r="S471" i="31"/>
  <c r="S470" i="31"/>
  <c r="S469" i="31"/>
  <c r="S443" i="31"/>
  <c r="S442" i="31"/>
  <c r="S441" i="31"/>
  <c r="S439" i="31"/>
  <c r="S438" i="31"/>
  <c r="S437" i="31"/>
  <c r="S435" i="31"/>
  <c r="S434" i="31"/>
  <c r="S433" i="31"/>
  <c r="S431" i="31"/>
  <c r="S430" i="31"/>
  <c r="S122" i="31"/>
  <c r="S121" i="31"/>
  <c r="S119" i="31"/>
  <c r="S118" i="31"/>
  <c r="S117" i="31"/>
  <c r="S115" i="31"/>
  <c r="S114" i="31"/>
  <c r="S113" i="31"/>
  <c r="S506" i="31"/>
  <c r="S502" i="31"/>
  <c r="S498" i="31"/>
  <c r="S467" i="31"/>
  <c r="S466" i="31"/>
  <c r="S465" i="31"/>
  <c r="S464" i="31"/>
  <c r="S463" i="31"/>
  <c r="S462" i="31"/>
  <c r="S461" i="31"/>
  <c r="S460" i="31"/>
  <c r="S459" i="31"/>
  <c r="S458" i="31"/>
  <c r="S457" i="31"/>
  <c r="S456" i="31"/>
  <c r="S455" i="31"/>
  <c r="S454" i="31"/>
  <c r="S453" i="31"/>
  <c r="S452" i="31"/>
  <c r="S451" i="31"/>
  <c r="S450" i="31"/>
  <c r="S54" i="31"/>
  <c r="S53" i="31"/>
  <c r="S51" i="31"/>
  <c r="S50" i="31"/>
  <c r="S49" i="31"/>
  <c r="S47" i="31"/>
  <c r="S46" i="31"/>
  <c r="S45" i="31"/>
  <c r="S43" i="31"/>
  <c r="S42" i="31"/>
  <c r="S41" i="31"/>
  <c r="S39" i="31"/>
  <c r="S38" i="31"/>
  <c r="S37" i="31"/>
  <c r="S35" i="31"/>
  <c r="S34" i="31"/>
  <c r="S33" i="31"/>
  <c r="S77" i="31"/>
  <c r="S75" i="31"/>
  <c r="S74" i="31"/>
  <c r="S73" i="31"/>
  <c r="S71" i="31"/>
  <c r="S70" i="31"/>
  <c r="S69" i="31"/>
  <c r="S67" i="31"/>
  <c r="S66" i="31"/>
  <c r="S65" i="31"/>
  <c r="S63" i="31"/>
  <c r="S62" i="31"/>
  <c r="S61" i="31"/>
  <c r="S59" i="31"/>
  <c r="S58" i="31"/>
  <c r="S57" i="31"/>
  <c r="S55" i="31"/>
  <c r="S97" i="31"/>
  <c r="S95" i="31"/>
  <c r="S94" i="31"/>
  <c r="S93" i="31"/>
  <c r="S91" i="31"/>
  <c r="S90" i="31"/>
  <c r="S89" i="31"/>
  <c r="S87" i="31"/>
  <c r="S86" i="31"/>
  <c r="S85" i="31"/>
  <c r="S83" i="31"/>
  <c r="S82" i="31"/>
  <c r="S81" i="31"/>
  <c r="S79" i="31"/>
  <c r="S78" i="31"/>
  <c r="S31" i="31"/>
  <c r="S30" i="31"/>
  <c r="S98" i="31"/>
  <c r="S99" i="31"/>
  <c r="S101" i="31"/>
  <c r="S102" i="31"/>
  <c r="S103" i="31"/>
  <c r="S105" i="31"/>
  <c r="S106" i="31"/>
  <c r="S107" i="31"/>
  <c r="S109" i="31"/>
  <c r="S110" i="31"/>
  <c r="S111" i="31"/>
  <c r="S445" i="31"/>
  <c r="S446" i="31"/>
  <c r="S447" i="31"/>
  <c r="S448" i="31"/>
  <c r="S449" i="31"/>
  <c r="S507" i="31"/>
  <c r="S509" i="31"/>
  <c r="S510" i="31"/>
  <c r="S511"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G111" i="33" s="1"/>
  <c r="H111" i="33" s="1"/>
  <c r="I111" i="33" s="1"/>
  <c r="J111" i="33" s="1"/>
  <c r="K111" i="33" s="1"/>
  <c r="L111" i="33" s="1"/>
  <c r="M111" i="33" s="1"/>
  <c r="S515" i="31"/>
  <c r="S517" i="31"/>
  <c r="S518" i="31"/>
  <c r="S519" i="31"/>
  <c r="S521" i="31"/>
  <c r="S522" i="31"/>
  <c r="S523"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s="1"/>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c r="F80" i="34" s="1"/>
  <c r="G80" i="34" s="1"/>
  <c r="D78" i="34"/>
  <c r="E78" i="34"/>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AC41" i="33"/>
  <c r="W41" i="33"/>
  <c r="Q41" i="33"/>
  <c r="Z41" i="33" s="1"/>
  <c r="Q40" i="33"/>
  <c r="Z40" i="33" s="1"/>
  <c r="J40" i="33"/>
  <c r="AC40" i="33" s="1"/>
  <c r="H40" i="33"/>
  <c r="AB40" i="33" s="1"/>
  <c r="AA40" i="33"/>
  <c r="Q39" i="33"/>
  <c r="Z39" i="33"/>
  <c r="Q38" i="33"/>
  <c r="Z38" i="33" s="1"/>
  <c r="J38" i="33"/>
  <c r="AC38" i="33" s="1"/>
  <c r="H38" i="33"/>
  <c r="AB38" i="33" s="1"/>
  <c r="F38" i="33"/>
  <c r="S38" i="33" s="1"/>
  <c r="Q37" i="33"/>
  <c r="Z37" i="33"/>
  <c r="Q36" i="33"/>
  <c r="Z36" i="33"/>
  <c r="Q35" i="33"/>
  <c r="Z35" i="33"/>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U14" i="37"/>
  <c r="F29" i="36"/>
  <c r="AA29" i="36" s="1"/>
  <c r="F16" i="36"/>
  <c r="AA16" i="36" s="1"/>
  <c r="W28" i="36"/>
  <c r="U31" i="36"/>
  <c r="J33" i="36"/>
  <c r="AC33" i="36" s="1"/>
  <c r="H22" i="35"/>
  <c r="AB22" i="35" s="1"/>
  <c r="AC27" i="35"/>
  <c r="W28" i="35"/>
  <c r="U31" i="35"/>
  <c r="W22" i="35"/>
  <c r="S31" i="35"/>
  <c r="F36" i="34"/>
  <c r="J35" i="34"/>
  <c r="U34" i="34"/>
  <c r="F26" i="33"/>
  <c r="AA26" i="33" s="1"/>
  <c r="S40" i="33"/>
  <c r="H39" i="37"/>
  <c r="AB39" i="37" s="1"/>
  <c r="S27" i="35"/>
  <c r="F11" i="40"/>
  <c r="AA11" i="40" s="1"/>
  <c r="H11" i="40"/>
  <c r="AB11" i="40" s="1"/>
  <c r="W8"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s="1"/>
  <c r="H36" i="40"/>
  <c r="AB36" i="40" s="1"/>
  <c r="F35" i="40"/>
  <c r="AA35" i="40" s="1"/>
  <c r="H23" i="40"/>
  <c r="AB23" i="40" s="1"/>
  <c r="H17" i="40"/>
  <c r="U17" i="40" s="1"/>
  <c r="J15" i="40"/>
  <c r="W15" i="40" s="1"/>
  <c r="J11" i="40"/>
  <c r="W11" i="40" s="1"/>
  <c r="AB8" i="39"/>
  <c r="AB12" i="33"/>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s="1"/>
  <c r="F41" i="33"/>
  <c r="AA41" i="33" s="1"/>
  <c r="E113" i="33"/>
  <c r="J19" i="33"/>
  <c r="AC19" i="33" s="1"/>
  <c r="J15" i="33"/>
  <c r="AC15" i="33" s="1"/>
  <c r="F11" i="33"/>
  <c r="AA11" i="33" s="1"/>
  <c r="S26" i="33"/>
  <c r="U40" i="33"/>
  <c r="W40" i="33"/>
  <c r="F37" i="40"/>
  <c r="AA37" i="40"/>
  <c r="F36" i="40"/>
  <c r="AA36" i="40"/>
  <c r="H28" i="40"/>
  <c r="U28" i="40"/>
  <c r="F23" i="40"/>
  <c r="AA23" i="40"/>
  <c r="F17" i="40"/>
  <c r="AA17" i="40"/>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AB23" i="34"/>
  <c r="F23" i="34"/>
  <c r="AA23" i="34" s="1"/>
  <c r="J19" i="34"/>
  <c r="AC19" i="34" s="1"/>
  <c r="F17" i="34"/>
  <c r="AA17" i="34" s="1"/>
  <c r="J17" i="34"/>
  <c r="W17" i="34" s="1"/>
  <c r="AB17" i="34"/>
  <c r="S15" i="34"/>
  <c r="S41" i="33"/>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U23" i="40"/>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U46" i="33"/>
  <c r="AA14" i="33"/>
  <c r="J36" i="37"/>
  <c r="AC36" i="37"/>
  <c r="J10" i="36"/>
  <c r="AC10" i="36" s="1"/>
  <c r="AB26" i="33"/>
  <c r="AB30" i="21"/>
  <c r="AA14" i="37"/>
  <c r="W31" i="34"/>
  <c r="AC13" i="36"/>
  <c r="W13" i="36"/>
  <c r="S11" i="36"/>
  <c r="AB46" i="34"/>
  <c r="AA14" i="34"/>
  <c r="AB45" i="33"/>
  <c r="U31"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BA524" i="3"/>
  <c r="AZ524" i="3" s="1"/>
  <c r="BA522" i="3"/>
  <c r="BA520" i="3"/>
  <c r="BA518" i="3"/>
  <c r="AZ518" i="3" s="1"/>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AZ545" i="3" s="1"/>
  <c r="BQ543" i="3"/>
  <c r="BL543" i="3" s="1"/>
  <c r="AZ543" i="3" s="1"/>
  <c r="BQ541" i="3"/>
  <c r="BL541" i="3"/>
  <c r="AZ541" i="3" s="1"/>
  <c r="BQ539" i="3"/>
  <c r="BL539" i="3" s="1"/>
  <c r="BQ537" i="3"/>
  <c r="BL537" i="3" s="1"/>
  <c r="AZ537" i="3" s="1"/>
  <c r="BQ535" i="3"/>
  <c r="BL535" i="3" s="1"/>
  <c r="AZ535" i="3" s="1"/>
  <c r="BQ533" i="3"/>
  <c r="BL533" i="3"/>
  <c r="AZ533" i="3" s="1"/>
  <c r="BQ531" i="3"/>
  <c r="BL531" i="3" s="1"/>
  <c r="BQ529" i="3"/>
  <c r="BL529" i="3" s="1"/>
  <c r="AZ529" i="3" s="1"/>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14" i="40"/>
  <c r="U35" i="35"/>
  <c r="AA12" i="35"/>
  <c r="W23" i="35"/>
  <c r="W14" i="37"/>
  <c r="AB28" i="37"/>
  <c r="U33" i="37"/>
  <c r="U39" i="37"/>
  <c r="W47" i="34"/>
  <c r="AB13" i="34"/>
  <c r="AC36" i="34"/>
  <c r="AA13" i="33"/>
  <c r="AC31" i="33"/>
  <c r="AC45" i="33"/>
  <c r="W44" i="33"/>
  <c r="U11" i="33"/>
  <c r="U19" i="21"/>
  <c r="W44" i="21"/>
  <c r="U26" i="21"/>
  <c r="AC46" i="21"/>
  <c r="U12"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s="1"/>
  <c r="F11" i="39"/>
  <c r="AA11" i="39" s="1"/>
  <c r="S11" i="39"/>
  <c r="G4" i="4"/>
  <c r="I4" i="4"/>
  <c r="A2" i="9"/>
  <c r="F61" i="43"/>
  <c r="H64" i="43" s="1"/>
  <c r="AZ24" i="3"/>
  <c r="AZ28" i="3"/>
  <c r="BL549" i="3"/>
  <c r="AZ549" i="3" s="1"/>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AZ327" i="3" s="1"/>
  <c r="G335" i="3"/>
  <c r="BL336" i="3"/>
  <c r="G337" i="3"/>
  <c r="BL338" i="3"/>
  <c r="BA340" i="3"/>
  <c r="AZ340" i="3" s="1"/>
  <c r="BA341" i="3"/>
  <c r="BL341" i="3"/>
  <c r="BA343" i="3"/>
  <c r="AZ343" i="3" s="1"/>
  <c r="BA345" i="3"/>
  <c r="BL355" i="3"/>
  <c r="G356" i="3"/>
  <c r="BL357" i="3"/>
  <c r="BA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G113" i="3"/>
  <c r="BA115" i="3"/>
  <c r="AZ115" i="3" s="1"/>
  <c r="BL116" i="3"/>
  <c r="AZ116" i="3" s="1"/>
  <c r="G117" i="3"/>
  <c r="BA119" i="3"/>
  <c r="BL120" i="3"/>
  <c r="AZ120" i="3" s="1"/>
  <c r="G121" i="3"/>
  <c r="BA123" i="3"/>
  <c r="AZ123" i="3" s="1"/>
  <c r="BL124" i="3"/>
  <c r="AZ124" i="3" s="1"/>
  <c r="G125" i="3"/>
  <c r="BA127" i="3"/>
  <c r="AZ127" i="3"/>
  <c r="BL128" i="3"/>
  <c r="G129" i="3"/>
  <c r="BA131" i="3"/>
  <c r="AZ131" i="3"/>
  <c r="BL132" i="3"/>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AZ152" i="3" s="1"/>
  <c r="G153" i="3"/>
  <c r="BA155" i="3"/>
  <c r="AZ155" i="3" s="1"/>
  <c r="BL156" i="3"/>
  <c r="G157" i="3"/>
  <c r="BA159" i="3"/>
  <c r="AZ159" i="3"/>
  <c r="BL160" i="3"/>
  <c r="G161" i="3"/>
  <c r="BA163" i="3"/>
  <c r="AZ163" i="3"/>
  <c r="BL164" i="3"/>
  <c r="AZ164" i="3"/>
  <c r="G165" i="3"/>
  <c r="BA167" i="3"/>
  <c r="AZ167" i="3" s="1"/>
  <c r="BL168" i="3"/>
  <c r="G169" i="3"/>
  <c r="BA171" i="3"/>
  <c r="AZ171" i="3" s="1"/>
  <c r="BL172" i="3"/>
  <c r="AZ172" i="3" s="1"/>
  <c r="G173" i="3"/>
  <c r="BA175" i="3"/>
  <c r="BL176" i="3"/>
  <c r="G177" i="3"/>
  <c r="BA179" i="3"/>
  <c r="BL180" i="3"/>
  <c r="AZ180" i="3" s="1"/>
  <c r="G181" i="3"/>
  <c r="BA183" i="3"/>
  <c r="AZ183" i="3" s="1"/>
  <c r="BL184" i="3"/>
  <c r="G185" i="3"/>
  <c r="BA187" i="3"/>
  <c r="AZ187" i="3" s="1"/>
  <c r="BL188" i="3"/>
  <c r="AZ188" i="3" s="1"/>
  <c r="G189" i="3"/>
  <c r="BA191" i="3"/>
  <c r="BL192" i="3"/>
  <c r="G193" i="3"/>
  <c r="BA195" i="3"/>
  <c r="BL196" i="3"/>
  <c r="AZ196" i="3"/>
  <c r="G197" i="3"/>
  <c r="BA199" i="3"/>
  <c r="AZ199" i="3" s="1"/>
  <c r="BL200" i="3"/>
  <c r="G201" i="3"/>
  <c r="BA203" i="3"/>
  <c r="AZ203" i="3" s="1"/>
  <c r="BL204" i="3"/>
  <c r="AZ204" i="3" s="1"/>
  <c r="AZ39" i="3"/>
  <c r="AZ47" i="3"/>
  <c r="AZ59" i="3"/>
  <c r="AZ63" i="3"/>
  <c r="AZ75" i="3"/>
  <c r="AZ79" i="3"/>
  <c r="AZ144" i="3"/>
  <c r="AZ160" i="3"/>
  <c r="AZ176" i="3"/>
  <c r="AZ192" i="3"/>
  <c r="AZ93" i="3"/>
  <c r="AZ101" i="3"/>
  <c r="AZ128" i="3"/>
  <c r="G534" i="3"/>
  <c r="G530" i="3"/>
  <c r="G522" i="3"/>
  <c r="G516" i="3"/>
  <c r="G512" i="3"/>
  <c r="G506" i="3"/>
  <c r="G498" i="3"/>
  <c r="G494" i="3"/>
  <c r="G16" i="3"/>
  <c r="G15" i="3"/>
  <c r="BA304" i="3"/>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s="1"/>
  <c r="G330" i="3"/>
  <c r="G333" i="3"/>
  <c r="BL334" i="3"/>
  <c r="BA336" i="3"/>
  <c r="BA337" i="3"/>
  <c r="AZ337" i="3" s="1"/>
  <c r="BL337" i="3"/>
  <c r="G338" i="3"/>
  <c r="G341" i="3"/>
  <c r="BA342" i="3"/>
  <c r="BL342" i="3"/>
  <c r="BA344" i="3"/>
  <c r="BL344" i="3"/>
  <c r="AZ344" i="3"/>
  <c r="BA346" i="3"/>
  <c r="BA347" i="3"/>
  <c r="AZ347" i="3"/>
  <c r="BL347" i="3"/>
  <c r="G350" i="3"/>
  <c r="BA351" i="3"/>
  <c r="AZ351" i="3"/>
  <c r="BL351" i="3"/>
  <c r="G352" i="3"/>
  <c r="G354" i="3"/>
  <c r="BA355" i="3"/>
  <c r="AZ355" i="3" s="1"/>
  <c r="BA356" i="3"/>
  <c r="BL356" i="3"/>
  <c r="G357" i="3"/>
  <c r="G360" i="3"/>
  <c r="BL361" i="3"/>
  <c r="BA363" i="3"/>
  <c r="AZ363" i="3" s="1"/>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38" i="3"/>
  <c r="AZ142" i="3"/>
  <c r="AZ146" i="3"/>
  <c r="AZ150" i="3"/>
  <c r="AZ158" i="3"/>
  <c r="AZ162" i="3"/>
  <c r="AZ166" i="3"/>
  <c r="AZ170" i="3"/>
  <c r="AZ186" i="3"/>
  <c r="AZ202" i="3"/>
  <c r="AZ206" i="3"/>
  <c r="AZ500" i="3"/>
  <c r="BA16" i="3"/>
  <c r="AZ16" i="3"/>
  <c r="BL303" i="3"/>
  <c r="G304" i="3"/>
  <c r="BA306" i="3"/>
  <c r="AZ306" i="3"/>
  <c r="BL307" i="3"/>
  <c r="G308" i="3"/>
  <c r="BA310" i="3"/>
  <c r="AZ310" i="3" s="1"/>
  <c r="BL311" i="3"/>
  <c r="AZ311" i="3" s="1"/>
  <c r="G312" i="3"/>
  <c r="BA314" i="3"/>
  <c r="BL315" i="3"/>
  <c r="AZ315" i="3"/>
  <c r="G316" i="3"/>
  <c r="BA318" i="3"/>
  <c r="AZ318" i="3" s="1"/>
  <c r="BL319" i="3"/>
  <c r="G320" i="3"/>
  <c r="BA322" i="3"/>
  <c r="AZ322" i="3" s="1"/>
  <c r="BL323" i="3"/>
  <c r="G324" i="3"/>
  <c r="BA326" i="3"/>
  <c r="AZ326" i="3" s="1"/>
  <c r="BL327" i="3"/>
  <c r="G328" i="3"/>
  <c r="BA330" i="3"/>
  <c r="BL331" i="3"/>
  <c r="AZ331" i="3" s="1"/>
  <c r="G332" i="3"/>
  <c r="BA334" i="3"/>
  <c r="AZ334" i="3" s="1"/>
  <c r="BL335" i="3"/>
  <c r="G336" i="3"/>
  <c r="BA338" i="3"/>
  <c r="AZ338" i="3" s="1"/>
  <c r="BL339" i="3"/>
  <c r="G340" i="3"/>
  <c r="BL343" i="3"/>
  <c r="G344" i="3"/>
  <c r="G348" i="3"/>
  <c r="G355" i="3"/>
  <c r="AZ209" i="3"/>
  <c r="AZ218"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BL374" i="3"/>
  <c r="AZ374" i="3" s="1"/>
  <c r="G375" i="3"/>
  <c r="BA377" i="3"/>
  <c r="AZ377" i="3" s="1"/>
  <c r="AZ233" i="3"/>
  <c r="AZ237" i="3"/>
  <c r="AZ249" i="3"/>
  <c r="AZ257" i="3"/>
  <c r="AZ261" i="3"/>
  <c r="AZ265" i="3"/>
  <c r="BA379" i="3"/>
  <c r="AZ379" i="3" s="1"/>
  <c r="BL380" i="3"/>
  <c r="G381" i="3"/>
  <c r="BA383" i="3"/>
  <c r="BL384" i="3"/>
  <c r="AZ384" i="3" s="1"/>
  <c r="G385" i="3"/>
  <c r="BA387" i="3"/>
  <c r="AZ387" i="3" s="1"/>
  <c r="BL388" i="3"/>
  <c r="G389" i="3"/>
  <c r="BA391" i="3"/>
  <c r="AZ391" i="3" s="1"/>
  <c r="BL392" i="3"/>
  <c r="G393" i="3"/>
  <c r="AZ263" i="3"/>
  <c r="AZ279" i="3"/>
  <c r="AZ283" i="3"/>
  <c r="AZ291" i="3"/>
  <c r="BO5" i="3"/>
  <c r="BM5" i="3"/>
  <c r="BJ5" i="3"/>
  <c r="BH5" i="3"/>
  <c r="BF5" i="3"/>
  <c r="BD5" i="3"/>
  <c r="AZ309" i="3"/>
  <c r="AZ317" i="3"/>
  <c r="AZ325" i="3"/>
  <c r="AZ333" i="3"/>
  <c r="AZ341" i="3"/>
  <c r="BQ5" i="3"/>
  <c r="AC5" i="3"/>
  <c r="AZ506" i="3"/>
  <c r="AZ496" i="3"/>
  <c r="G548" i="3"/>
  <c r="G538" i="3"/>
  <c r="G520" i="3"/>
  <c r="G502" i="3"/>
  <c r="BS5" i="3"/>
  <c r="BP5" i="3"/>
  <c r="BN5" i="3"/>
  <c r="G29" i="6" s="1"/>
  <c r="BK5" i="3"/>
  <c r="BI5" i="3"/>
  <c r="BG5" i="3"/>
  <c r="BE5" i="3"/>
  <c r="BC5" i="3"/>
  <c r="G17" i="3"/>
  <c r="BA17" i="3"/>
  <c r="BT5" i="3"/>
  <c r="AZ356" i="3"/>
  <c r="BA15" i="3"/>
  <c r="BB5" i="3"/>
  <c r="BR5" i="3"/>
  <c r="AZ380" i="3"/>
  <c r="AZ396" i="3"/>
  <c r="AZ509" i="3"/>
  <c r="G509" i="3"/>
  <c r="BL493" i="3"/>
  <c r="AZ493" i="3" s="1"/>
  <c r="AZ390" i="3"/>
  <c r="U36" i="40"/>
  <c r="F83" i="43"/>
  <c r="H85" i="43" s="1"/>
  <c r="F50" i="43"/>
  <c r="H54" i="43" s="1"/>
  <c r="G54" i="43" s="1"/>
  <c r="F72" i="43"/>
  <c r="H75" i="43" s="1"/>
  <c r="U17" i="39"/>
  <c r="S14" i="35"/>
  <c r="U43" i="21"/>
  <c r="U35" i="21"/>
  <c r="AC35" i="21"/>
  <c r="G8" i="1"/>
  <c r="G10" i="1"/>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4" i="3"/>
  <c r="AZ386" i="3"/>
  <c r="C40" i="11"/>
  <c r="AZ223" i="3"/>
  <c r="AZ232" i="3"/>
  <c r="AZ235" i="3"/>
  <c r="AZ248" i="3"/>
  <c r="AZ259" i="3"/>
  <c r="AZ280" i="3"/>
  <c r="AZ288" i="3"/>
  <c r="AZ114" i="3"/>
  <c r="AZ133" i="3"/>
  <c r="AZ29" i="3"/>
  <c r="AZ31" i="3"/>
  <c r="AZ33" i="3"/>
  <c r="AZ37" i="3"/>
  <c r="AZ58" i="3"/>
  <c r="AZ61" i="3"/>
  <c r="AZ77" i="3"/>
  <c r="AZ94" i="3"/>
  <c r="AZ110" i="3"/>
  <c r="F23" i="39"/>
  <c r="AA23" i="39" s="1"/>
  <c r="H27" i="36"/>
  <c r="U27" i="36" s="1"/>
  <c r="F27" i="36"/>
  <c r="AA27" i="36" s="1"/>
  <c r="H33" i="34"/>
  <c r="U33" i="34" s="1"/>
  <c r="F32" i="37"/>
  <c r="AA32" i="37" s="1"/>
  <c r="F20" i="36"/>
  <c r="AA20" i="36" s="1"/>
  <c r="J33" i="34"/>
  <c r="AC33" i="34" s="1"/>
  <c r="H23" i="39"/>
  <c r="U23" i="39" s="1"/>
  <c r="D48" i="9"/>
  <c r="M52" i="9" s="1"/>
  <c r="K9" i="1"/>
  <c r="M9" i="1" s="1"/>
  <c r="K6" i="1"/>
  <c r="AP6" i="1" s="1"/>
  <c r="AC26" i="33"/>
  <c r="W26" i="33"/>
  <c r="AB34" i="36"/>
  <c r="U34" i="36"/>
  <c r="AB33" i="36"/>
  <c r="U33" i="36"/>
  <c r="AC12" i="39"/>
  <c r="W12" i="39"/>
  <c r="AC39" i="40"/>
  <c r="W39" i="40"/>
  <c r="AZ401" i="3"/>
  <c r="AZ412" i="3"/>
  <c r="AZ417" i="3"/>
  <c r="AZ428" i="3"/>
  <c r="AZ433" i="3"/>
  <c r="AZ465" i="3"/>
  <c r="AA32" i="36"/>
  <c r="S32" i="36"/>
  <c r="AZ457" i="3"/>
  <c r="AZ473" i="3"/>
  <c r="AA39" i="34"/>
  <c r="F28" i="6"/>
  <c r="BL14" i="3"/>
  <c r="U30" i="33"/>
  <c r="AC13" i="34"/>
  <c r="AA47" i="34"/>
  <c r="W28" i="37"/>
  <c r="S19" i="39"/>
  <c r="F12" i="33"/>
  <c r="H12" i="39"/>
  <c r="AB12" i="39" s="1"/>
  <c r="F39" i="40"/>
  <c r="BA14" i="3"/>
  <c r="AZ14" i="3"/>
  <c r="AZ367" i="3"/>
  <c r="AZ234" i="3"/>
  <c r="AZ250" i="3"/>
  <c r="AZ281" i="3"/>
  <c r="AZ286" i="3"/>
  <c r="AZ157" i="3"/>
  <c r="AZ181" i="3"/>
  <c r="AZ197" i="3"/>
  <c r="AZ26" i="3"/>
  <c r="AZ35" i="3"/>
  <c r="B12" i="1"/>
  <c r="E12" i="1" s="1"/>
  <c r="B10" i="1"/>
  <c r="E10" i="1" s="1"/>
  <c r="AZ88" i="3"/>
  <c r="K12" i="1"/>
  <c r="M12" i="1" s="1"/>
  <c r="S13" i="1"/>
  <c r="AR13" i="1" s="1"/>
  <c r="R13" i="1"/>
  <c r="J51" i="67"/>
  <c r="C42" i="1"/>
  <c r="C24" i="12" s="1"/>
  <c r="AA34" i="33"/>
  <c r="AB37" i="40"/>
  <c r="S35" i="40"/>
  <c r="U35" i="40"/>
  <c r="AC36" i="40"/>
  <c r="AA32" i="40"/>
  <c r="S17" i="40"/>
  <c r="S23" i="40"/>
  <c r="AC17" i="40"/>
  <c r="AC15" i="40"/>
  <c r="AB27"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S20" i="35"/>
  <c r="AC20" i="35"/>
  <c r="S22" i="35"/>
  <c r="U14" i="35"/>
  <c r="AA11"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F19" i="37"/>
  <c r="AA19" i="37" s="1"/>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S27" i="33"/>
  <c r="AA29" i="33"/>
  <c r="AB29" i="33"/>
  <c r="H41" i="33"/>
  <c r="U42" i="33"/>
  <c r="F36" i="33"/>
  <c r="AA36" i="33" s="1"/>
  <c r="G108" i="33"/>
  <c r="H108" i="33" s="1"/>
  <c r="I108" i="33" s="1"/>
  <c r="J108" i="33" s="1"/>
  <c r="K108" i="33" s="1"/>
  <c r="L108" i="33" s="1"/>
  <c r="M108" i="33" s="1"/>
  <c r="J35" i="33"/>
  <c r="W35" i="33" s="1"/>
  <c r="S37" i="33"/>
  <c r="AA37" i="33"/>
  <c r="F101" i="33"/>
  <c r="G101" i="33" s="1"/>
  <c r="H101" i="33" s="1"/>
  <c r="I101" i="33" s="1"/>
  <c r="J101" i="33" s="1"/>
  <c r="K101" i="33" s="1"/>
  <c r="L101" i="33" s="1"/>
  <c r="M101" i="33" s="1"/>
  <c r="S46" i="33"/>
  <c r="W43" i="33"/>
  <c r="H27" i="33"/>
  <c r="AB27" i="33" s="1"/>
  <c r="F87" i="33"/>
  <c r="H25" i="33"/>
  <c r="U25" i="33" s="1"/>
  <c r="F25" i="33"/>
  <c r="AA25" i="33" s="1"/>
  <c r="J23" i="33"/>
  <c r="W23" i="33" s="1"/>
  <c r="F85" i="33"/>
  <c r="H23" i="33"/>
  <c r="U23" i="33" s="1"/>
  <c r="F81" i="33"/>
  <c r="F19" i="33"/>
  <c r="S19" i="33" s="1"/>
  <c r="J17" i="33"/>
  <c r="AC17" i="33" s="1"/>
  <c r="F79"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F34" i="67"/>
  <c r="F62" i="67" s="1"/>
  <c r="M20" i="67"/>
  <c r="F34" i="15"/>
  <c r="F62" i="15" s="1"/>
  <c r="G13" i="3"/>
  <c r="BA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C37" i="33"/>
  <c r="W46" i="33"/>
  <c r="U44" i="33"/>
  <c r="AB44" i="33"/>
  <c r="S30" i="33"/>
  <c r="AA30" i="33"/>
  <c r="AC14" i="33"/>
  <c r="W14" i="33"/>
  <c r="AC30" i="33"/>
  <c r="W30" i="33"/>
  <c r="S31" i="33"/>
  <c r="AA31" i="33"/>
  <c r="W13" i="33"/>
  <c r="AC13" i="33"/>
  <c r="S11" i="33"/>
  <c r="U37" i="33"/>
  <c r="S28" i="33"/>
  <c r="W9" i="33"/>
  <c r="W8" i="33"/>
  <c r="S44" i="21"/>
  <c r="AB42" i="21"/>
  <c r="U28" i="21"/>
  <c r="S45" i="21"/>
  <c r="I101" i="21"/>
  <c r="J101" i="21" s="1"/>
  <c r="K101" i="21" s="1"/>
  <c r="L101" i="21" s="1"/>
  <c r="M101" i="21" s="1"/>
  <c r="F33" i="21"/>
  <c r="AA33" i="21" s="1"/>
  <c r="J33" i="21"/>
  <c r="AC33" i="21" s="1"/>
  <c r="H33" i="21"/>
  <c r="AB33" i="21" s="1"/>
  <c r="F37" i="21"/>
  <c r="AA37" i="21"/>
  <c r="AA26" i="21"/>
  <c r="AB14" i="21"/>
  <c r="AB46" i="21"/>
  <c r="U40" i="21"/>
  <c r="AB31" i="21"/>
  <c r="U31" i="21"/>
  <c r="U13" i="21"/>
  <c r="AB13" i="21"/>
  <c r="S35" i="21"/>
  <c r="J37" i="21"/>
  <c r="W37" i="21" s="1"/>
  <c r="H15" i="21"/>
  <c r="U15" i="21" s="1"/>
  <c r="J17" i="21"/>
  <c r="AC17" i="21" s="1"/>
  <c r="AC19" i="21"/>
  <c r="W39" i="21"/>
  <c r="AC14" i="21"/>
  <c r="W30" i="21"/>
  <c r="S46" i="21"/>
  <c r="H45" i="21"/>
  <c r="U45" i="21" s="1"/>
  <c r="F29" i="21"/>
  <c r="S29" i="21" s="1"/>
  <c r="F13" i="21"/>
  <c r="AA13" i="21" s="1"/>
  <c r="AC38" i="21"/>
  <c r="H32" i="21"/>
  <c r="H9" i="21"/>
  <c r="AB9" i="21" s="1"/>
  <c r="J9" i="21"/>
  <c r="J32" i="21"/>
  <c r="W32" i="21" s="1"/>
  <c r="F32" i="21"/>
  <c r="AA31" i="21"/>
  <c r="U17" i="21"/>
  <c r="W29" i="21"/>
  <c r="S19" i="21"/>
  <c r="S9" i="21"/>
  <c r="AA9" i="21"/>
  <c r="K141" i="21"/>
  <c r="K144" i="21"/>
  <c r="K143" i="21"/>
  <c r="U27" i="21"/>
  <c r="AB25" i="21"/>
  <c r="AB44" i="21"/>
  <c r="AA30" i="21"/>
  <c r="W13" i="21"/>
  <c r="W42" i="21"/>
  <c r="F10" i="21"/>
  <c r="AA10" i="21" s="1"/>
  <c r="K145" i="21"/>
  <c r="W25"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W32" i="39" s="1"/>
  <c r="H32" i="39"/>
  <c r="AB32" i="39" s="1"/>
  <c r="AA32" i="39"/>
  <c r="S32" i="39"/>
  <c r="AB21" i="39"/>
  <c r="U21" i="39"/>
  <c r="AA21" i="39"/>
  <c r="S21" i="39"/>
  <c r="AC17" i="37"/>
  <c r="J19" i="37"/>
  <c r="AC19" i="37" s="1"/>
  <c r="G75" i="37"/>
  <c r="S19" i="37"/>
  <c r="AA23" i="37"/>
  <c r="J23" i="37"/>
  <c r="W23" i="37" s="1"/>
  <c r="G79" i="37"/>
  <c r="J10" i="37"/>
  <c r="W10" i="37" s="1"/>
  <c r="G63" i="37"/>
  <c r="H63" i="37" s="1"/>
  <c r="I63" i="37" s="1"/>
  <c r="J63" i="37" s="1"/>
  <c r="K63" i="37" s="1"/>
  <c r="L63" i="37" s="1"/>
  <c r="M63" i="37" s="1"/>
  <c r="H11" i="37"/>
  <c r="AB11" i="37" s="1"/>
  <c r="H11" i="34"/>
  <c r="U11" i="34" s="1"/>
  <c r="J10" i="34"/>
  <c r="AC10" i="34" s="1"/>
  <c r="AB41" i="33"/>
  <c r="U41" i="33"/>
  <c r="J36" i="33"/>
  <c r="W36" i="33" s="1"/>
  <c r="H36" i="33"/>
  <c r="U36" i="33" s="1"/>
  <c r="S36" i="33"/>
  <c r="J27" i="33"/>
  <c r="AC27" i="33" s="1"/>
  <c r="AB25" i="33"/>
  <c r="S25" i="33"/>
  <c r="G87" i="33"/>
  <c r="H87" i="33" s="1"/>
  <c r="I87" i="33" s="1"/>
  <c r="J87" i="33" s="1"/>
  <c r="K87" i="33" s="1"/>
  <c r="L87" i="33" s="1"/>
  <c r="M87" i="33" s="1"/>
  <c r="J25" i="33"/>
  <c r="AC25" i="33" s="1"/>
  <c r="F23" i="33"/>
  <c r="S23" i="33" s="1"/>
  <c r="G85" i="33"/>
  <c r="H19" i="33"/>
  <c r="U19" i="33" s="1"/>
  <c r="G81" i="33"/>
  <c r="G79" i="33"/>
  <c r="H17" i="33"/>
  <c r="U17" i="33" s="1"/>
  <c r="F17" i="33"/>
  <c r="S17" i="33" s="1"/>
  <c r="W17" i="33"/>
  <c r="S37" i="21"/>
  <c r="AB15" i="21"/>
  <c r="J23" i="21"/>
  <c r="W23" i="21" s="1"/>
  <c r="F85" i="21"/>
  <c r="G85" i="21" s="1"/>
  <c r="H23" i="21"/>
  <c r="U23" i="21" s="1"/>
  <c r="D6" i="52"/>
  <c r="AP7" i="1"/>
  <c r="AB45" i="21"/>
  <c r="U9" i="21"/>
  <c r="AA32" i="21"/>
  <c r="S32" i="21"/>
  <c r="W9" i="21"/>
  <c r="AC9" i="21"/>
  <c r="AB32" i="21"/>
  <c r="U32" i="21"/>
  <c r="U32" i="39"/>
  <c r="AC32" i="39"/>
  <c r="W19" i="37"/>
  <c r="AC23" i="37"/>
  <c r="J11" i="37"/>
  <c r="AC11" i="37" s="1"/>
  <c r="J11" i="34"/>
  <c r="W11" i="34" s="1"/>
  <c r="AB36" i="33"/>
  <c r="AC23" i="21"/>
  <c r="H109" i="9"/>
  <c r="H112" i="9"/>
  <c r="D21" i="53" s="1"/>
  <c r="B39" i="72" s="1"/>
  <c r="H111" i="9"/>
  <c r="D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20" i="71"/>
  <c r="C19" i="71" s="1"/>
  <c r="C18" i="71" s="1"/>
  <c r="C17" i="71" s="1"/>
  <c r="D18" i="71"/>
  <c r="D19" i="71"/>
  <c r="M6" i="15"/>
  <c r="F20" i="31"/>
  <c r="F43" i="67"/>
  <c r="M9" i="67"/>
  <c r="M26" i="15"/>
  <c r="M8" i="15"/>
  <c r="E2" i="68"/>
  <c r="F26" i="67"/>
  <c r="F38" i="15"/>
  <c r="M6" i="67"/>
  <c r="F4" i="73"/>
  <c r="F13" i="15"/>
  <c r="M26" i="67"/>
  <c r="E10" i="76"/>
  <c r="M22" i="15"/>
  <c r="F42" i="15"/>
  <c r="F40" i="15"/>
  <c r="F13" i="67"/>
  <c r="F8" i="67"/>
  <c r="B7" i="76"/>
  <c r="B8" i="76"/>
  <c r="M28" i="15"/>
  <c r="F3" i="73"/>
  <c r="B13" i="76"/>
  <c r="B12" i="76"/>
  <c r="J15" i="15"/>
  <c r="F7" i="73"/>
  <c r="F5" i="73"/>
  <c r="B11" i="76"/>
  <c r="E12" i="76"/>
  <c r="F6" i="67"/>
  <c r="L47" i="67"/>
  <c r="F8" i="15"/>
  <c r="E8" i="76"/>
  <c r="M22" i="67"/>
  <c r="C76" i="15"/>
  <c r="F36" i="15"/>
  <c r="AO13" i="1"/>
  <c r="M28" i="67"/>
  <c r="F42" i="67"/>
  <c r="M9" i="15"/>
  <c r="B10" i="76"/>
  <c r="E9" i="76"/>
  <c r="F37" i="15"/>
  <c r="F7" i="67"/>
  <c r="F26" i="15"/>
  <c r="D3" i="73"/>
  <c r="F16" i="15"/>
  <c r="F16" i="67"/>
  <c r="F38" i="67"/>
  <c r="C76" i="67"/>
  <c r="B9" i="76"/>
  <c r="M29" i="15"/>
  <c r="D6" i="73"/>
  <c r="F37" i="67"/>
  <c r="M24" i="15"/>
  <c r="E13" i="76"/>
  <c r="F9" i="15"/>
  <c r="M23" i="67"/>
  <c r="L47" i="15"/>
  <c r="M24" i="67"/>
  <c r="F40" i="67"/>
  <c r="E7" i="76"/>
  <c r="F6" i="73"/>
  <c r="E11" i="76"/>
  <c r="M8" i="67"/>
  <c r="D4" i="73"/>
  <c r="F43" i="15"/>
  <c r="D5" i="73"/>
  <c r="M23" i="15"/>
  <c r="E2" i="69"/>
  <c r="J15" i="67"/>
  <c r="F36" i="67"/>
  <c r="F9" i="67"/>
  <c r="D7" i="73"/>
  <c r="M29" i="67"/>
  <c r="F6" i="15"/>
  <c r="F7" i="15"/>
  <c r="L48" i="15"/>
  <c r="S33" i="33" l="1"/>
  <c r="C18" i="9"/>
  <c r="D18" i="9" s="1"/>
  <c r="H69" i="43"/>
  <c r="H50" i="43"/>
  <c r="G50" i="43" s="1"/>
  <c r="M50" i="43" s="1"/>
  <c r="N50" i="43" s="1"/>
  <c r="H67" i="43"/>
  <c r="C58" i="82"/>
  <c r="D58" i="82" s="1"/>
  <c r="E58" i="82" s="1"/>
  <c r="F58" i="82" s="1"/>
  <c r="G58" i="82" s="1"/>
  <c r="H58" i="82" s="1"/>
  <c r="I58" i="82" s="1"/>
  <c r="J58" i="82" s="1"/>
  <c r="K58" i="82" s="1"/>
  <c r="L58" i="82" s="1"/>
  <c r="M58" i="82" s="1"/>
  <c r="N58" i="82" s="1"/>
  <c r="O58" i="82" s="1"/>
  <c r="G7" i="82"/>
  <c r="H7" i="82" s="1"/>
  <c r="I7" i="82"/>
  <c r="J7" i="82" s="1"/>
  <c r="E7" i="82"/>
  <c r="F7" i="82" s="1"/>
  <c r="H39" i="33"/>
  <c r="AB39" i="33" s="1"/>
  <c r="U15" i="33"/>
  <c r="F6" i="1"/>
  <c r="G6" i="1" s="1"/>
  <c r="G16" i="1" s="1"/>
  <c r="F10" i="39" s="1"/>
  <c r="U33" i="33"/>
  <c r="AZ17" i="3"/>
  <c r="W27" i="34"/>
  <c r="AC27" i="34"/>
  <c r="AC12" i="33"/>
  <c r="W12" i="33"/>
  <c r="W45" i="21"/>
  <c r="AC45" i="21"/>
  <c r="W9" i="35"/>
  <c r="AC9" i="35"/>
  <c r="AB26" i="37"/>
  <c r="U26" i="37"/>
  <c r="AA25" i="37"/>
  <c r="S25" i="37"/>
  <c r="D20" i="71"/>
  <c r="U20" i="71" s="1"/>
  <c r="T20" i="71"/>
  <c r="K50" i="43"/>
  <c r="AB23" i="21"/>
  <c r="W25" i="33"/>
  <c r="S13" i="21"/>
  <c r="AA23" i="21"/>
  <c r="S17" i="37"/>
  <c r="AA29" i="21"/>
  <c r="G7" i="33"/>
  <c r="I7" i="33"/>
  <c r="E7" i="33"/>
  <c r="AC11" i="39"/>
  <c r="AZ373" i="3"/>
  <c r="AZ382" i="3"/>
  <c r="AZ371" i="3"/>
  <c r="AZ342" i="3"/>
  <c r="AZ336" i="3"/>
  <c r="AZ321" i="3"/>
  <c r="AZ304" i="3"/>
  <c r="AZ394" i="3"/>
  <c r="AC12" i="37"/>
  <c r="AZ503" i="3"/>
  <c r="AZ523" i="3"/>
  <c r="AZ531" i="3"/>
  <c r="AZ539" i="3"/>
  <c r="AZ547" i="3"/>
  <c r="AZ553" i="3"/>
  <c r="AZ583" i="3"/>
  <c r="AZ581" i="3"/>
  <c r="AZ526" i="3"/>
  <c r="AZ566" i="3"/>
  <c r="AZ574" i="3"/>
  <c r="AZ582" i="3"/>
  <c r="AZ584" i="3"/>
  <c r="W29" i="33"/>
  <c r="S45" i="33"/>
  <c r="AC30" i="34"/>
  <c r="AA44" i="33"/>
  <c r="AC11" i="35"/>
  <c r="F15" i="33"/>
  <c r="AA15" i="33" s="1"/>
  <c r="J39" i="33"/>
  <c r="AC39" i="33" s="1"/>
  <c r="J42" i="33"/>
  <c r="AC42" i="33" s="1"/>
  <c r="H9" i="36"/>
  <c r="F9" i="36"/>
  <c r="M54" i="43"/>
  <c r="N54" i="43" s="1"/>
  <c r="K54" i="43"/>
  <c r="J54" i="43" s="1"/>
  <c r="AZ495" i="3"/>
  <c r="AZ513" i="3"/>
  <c r="AZ517" i="3"/>
  <c r="AZ567" i="3"/>
  <c r="AZ571" i="3"/>
  <c r="AZ575" i="3"/>
  <c r="AZ579" i="3"/>
  <c r="BL586" i="3"/>
  <c r="AZ586" i="3" s="1"/>
  <c r="J26" i="37"/>
  <c r="F26" i="37"/>
  <c r="H25" i="37"/>
  <c r="J25" i="37"/>
  <c r="BA551" i="3"/>
  <c r="AZ551" i="3" s="1"/>
  <c r="BL550" i="3"/>
  <c r="BA550" i="3"/>
  <c r="BL548" i="3"/>
  <c r="AZ548" i="3" s="1"/>
  <c r="G14" i="3"/>
  <c r="AZ402" i="3"/>
  <c r="AZ406" i="3"/>
  <c r="AZ419" i="3"/>
  <c r="J38" i="40"/>
  <c r="H39" i="40"/>
  <c r="G574" i="3"/>
  <c r="G558" i="3"/>
  <c r="G542" i="3"/>
  <c r="BL15" i="3"/>
  <c r="AZ15" i="3" s="1"/>
  <c r="G400" i="3"/>
  <c r="BL400" i="3"/>
  <c r="AZ400" i="3" s="1"/>
  <c r="BA403" i="3"/>
  <c r="AZ403" i="3" s="1"/>
  <c r="BL403" i="3"/>
  <c r="BA404" i="3"/>
  <c r="AZ404" i="3" s="1"/>
  <c r="BL408" i="3"/>
  <c r="AZ408" i="3" s="1"/>
  <c r="BA409" i="3"/>
  <c r="AZ409" i="3" s="1"/>
  <c r="G412" i="3"/>
  <c r="G413" i="3"/>
  <c r="BL413" i="3"/>
  <c r="AZ413" i="3" s="1"/>
  <c r="BA414" i="3"/>
  <c r="AZ414" i="3" s="1"/>
  <c r="G417" i="3"/>
  <c r="G418" i="3"/>
  <c r="G422" i="3"/>
  <c r="G424" i="3"/>
  <c r="BL424" i="3"/>
  <c r="AZ424" i="3" s="1"/>
  <c r="BA425" i="3"/>
  <c r="AZ425" i="3" s="1"/>
  <c r="G428" i="3"/>
  <c r="G429" i="3"/>
  <c r="BL429" i="3"/>
  <c r="AZ429" i="3" s="1"/>
  <c r="BA430" i="3"/>
  <c r="AZ430" i="3" s="1"/>
  <c r="G433" i="3"/>
  <c r="G434" i="3"/>
  <c r="BL437" i="3"/>
  <c r="AZ437" i="3" s="1"/>
  <c r="G439" i="3"/>
  <c r="BL439" i="3"/>
  <c r="BA440" i="3"/>
  <c r="AZ440" i="3" s="1"/>
  <c r="BA441" i="3"/>
  <c r="AZ441" i="3" s="1"/>
  <c r="BA442" i="3"/>
  <c r="BL442" i="3"/>
  <c r="G444" i="3"/>
  <c r="BL444" i="3"/>
  <c r="BA445" i="3"/>
  <c r="AZ445" i="3" s="1"/>
  <c r="BA446" i="3"/>
  <c r="AZ446" i="3" s="1"/>
  <c r="BL446" i="3"/>
  <c r="BA447" i="3"/>
  <c r="AZ447" i="3" s="1"/>
  <c r="G450" i="3"/>
  <c r="G454" i="3"/>
  <c r="G456" i="3"/>
  <c r="BL456" i="3"/>
  <c r="BA459" i="3"/>
  <c r="BL459" i="3"/>
  <c r="BA460" i="3"/>
  <c r="AZ460" i="3" s="1"/>
  <c r="G465" i="3"/>
  <c r="G466" i="3"/>
  <c r="BL466" i="3"/>
  <c r="BA467" i="3"/>
  <c r="AZ467" i="3" s="1"/>
  <c r="G472" i="3"/>
  <c r="BL472" i="3"/>
  <c r="G475" i="3"/>
  <c r="BL475" i="3"/>
  <c r="BA476" i="3"/>
  <c r="AZ476" i="3" s="1"/>
  <c r="BA477" i="3"/>
  <c r="BL477" i="3"/>
  <c r="BA478" i="3"/>
  <c r="AZ478" i="3" s="1"/>
  <c r="G481" i="3"/>
  <c r="G483" i="3"/>
  <c r="BL483" i="3"/>
  <c r="BA484" i="3"/>
  <c r="AZ484" i="3" s="1"/>
  <c r="G487" i="3"/>
  <c r="BL488" i="3"/>
  <c r="BA489" i="3"/>
  <c r="AZ489" i="3" s="1"/>
  <c r="BA490" i="3"/>
  <c r="AZ490" i="3" s="1"/>
  <c r="BA491" i="3"/>
  <c r="AZ491" i="3" s="1"/>
  <c r="BA303" i="3"/>
  <c r="AZ303" i="3" s="1"/>
  <c r="BA307" i="3"/>
  <c r="AZ307" i="3" s="1"/>
  <c r="BL314" i="3"/>
  <c r="AZ314" i="3" s="1"/>
  <c r="BA316" i="3"/>
  <c r="AZ316" i="3" s="1"/>
  <c r="BA319" i="3"/>
  <c r="AZ319" i="3" s="1"/>
  <c r="BA323" i="3"/>
  <c r="AZ323" i="3" s="1"/>
  <c r="BL330" i="3"/>
  <c r="AZ330" i="3" s="1"/>
  <c r="BA332" i="3"/>
  <c r="AZ332" i="3" s="1"/>
  <c r="BA335" i="3"/>
  <c r="AZ335" i="3" s="1"/>
  <c r="BA339" i="3"/>
  <c r="AZ339" i="3" s="1"/>
  <c r="G345" i="3"/>
  <c r="BL346" i="3"/>
  <c r="AZ346" i="3" s="1"/>
  <c r="G349" i="3"/>
  <c r="BL350" i="3"/>
  <c r="AZ350" i="3" s="1"/>
  <c r="BA353" i="3"/>
  <c r="AZ353" i="3" s="1"/>
  <c r="G358" i="3"/>
  <c r="BL359" i="3"/>
  <c r="AZ359" i="3" s="1"/>
  <c r="G364" i="3"/>
  <c r="BA368" i="3"/>
  <c r="AZ368" i="3" s="1"/>
  <c r="G378" i="3"/>
  <c r="BL383" i="3"/>
  <c r="AZ383" i="3" s="1"/>
  <c r="BA385" i="3"/>
  <c r="AZ385" i="3" s="1"/>
  <c r="BA388" i="3"/>
  <c r="AZ388" i="3" s="1"/>
  <c r="BA392" i="3"/>
  <c r="AZ392" i="3" s="1"/>
  <c r="G395" i="3"/>
  <c r="BL395" i="3"/>
  <c r="G208" i="3"/>
  <c r="BL208" i="3"/>
  <c r="G211" i="3"/>
  <c r="BL211" i="3"/>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BL251" i="3"/>
  <c r="AZ251" i="3" s="1"/>
  <c r="BA252" i="3"/>
  <c r="AZ252" i="3" s="1"/>
  <c r="BA253" i="3"/>
  <c r="AZ253" i="3" s="1"/>
  <c r="BA254" i="3"/>
  <c r="AZ254" i="3" s="1"/>
  <c r="BL256" i="3"/>
  <c r="AZ256" i="3" s="1"/>
  <c r="G259" i="3"/>
  <c r="G260" i="3"/>
  <c r="BL260" i="3"/>
  <c r="G263" i="3"/>
  <c r="G264" i="3"/>
  <c r="BL264" i="3"/>
  <c r="BL266" i="3"/>
  <c r="AZ266" i="3" s="1"/>
  <c r="BA267" i="3"/>
  <c r="AZ267" i="3" s="1"/>
  <c r="BA268" i="3"/>
  <c r="AZ268" i="3" s="1"/>
  <c r="BA269" i="3"/>
  <c r="AZ269" i="3" s="1"/>
  <c r="BL271" i="3"/>
  <c r="AZ271" i="3" s="1"/>
  <c r="BA272" i="3"/>
  <c r="AZ272" i="3" s="1"/>
  <c r="BA273" i="3"/>
  <c r="AZ273" i="3" s="1"/>
  <c r="BL275" i="3"/>
  <c r="AZ275" i="3" s="1"/>
  <c r="BA276" i="3"/>
  <c r="AZ276" i="3" s="1"/>
  <c r="G279" i="3"/>
  <c r="G280" i="3"/>
  <c r="G281" i="3"/>
  <c r="G282" i="3"/>
  <c r="BL282" i="3"/>
  <c r="G285" i="3"/>
  <c r="BL285" i="3"/>
  <c r="BL287" i="3"/>
  <c r="AZ287" i="3" s="1"/>
  <c r="G290" i="3"/>
  <c r="BL290" i="3"/>
  <c r="G293" i="3"/>
  <c r="BL293" i="3"/>
  <c r="BA294" i="3"/>
  <c r="AZ294" i="3" s="1"/>
  <c r="BA295" i="3"/>
  <c r="AZ295" i="3" s="1"/>
  <c r="BA296" i="3"/>
  <c r="AZ296" i="3" s="1"/>
  <c r="BA297" i="3"/>
  <c r="AZ297" i="3" s="1"/>
  <c r="BL299" i="3"/>
  <c r="AZ299" i="3" s="1"/>
  <c r="BA300" i="3"/>
  <c r="AZ300" i="3" s="1"/>
  <c r="G114" i="3"/>
  <c r="G115" i="3"/>
  <c r="BL117" i="3"/>
  <c r="AZ117" i="3" s="1"/>
  <c r="BA118" i="3"/>
  <c r="AZ118" i="3" s="1"/>
  <c r="BL119" i="3"/>
  <c r="AZ119" i="3" s="1"/>
  <c r="BA121" i="3"/>
  <c r="AZ121" i="3" s="1"/>
  <c r="G124" i="3"/>
  <c r="G127" i="3"/>
  <c r="G130" i="3"/>
  <c r="BL130" i="3"/>
  <c r="AZ130" i="3" s="1"/>
  <c r="BA132" i="3"/>
  <c r="AZ132" i="3" s="1"/>
  <c r="G134" i="3"/>
  <c r="BL134" i="3"/>
  <c r="BA136" i="3"/>
  <c r="AZ136" i="3" s="1"/>
  <c r="G138" i="3"/>
  <c r="G139" i="3"/>
  <c r="G142" i="3"/>
  <c r="G143" i="3"/>
  <c r="G146" i="3"/>
  <c r="G147" i="3"/>
  <c r="BL149" i="3"/>
  <c r="AZ149" i="3" s="1"/>
  <c r="G152" i="3"/>
  <c r="BL154" i="3"/>
  <c r="AZ154" i="3" s="1"/>
  <c r="BA156" i="3"/>
  <c r="AZ156" i="3" s="1"/>
  <c r="G158" i="3"/>
  <c r="G159" i="3"/>
  <c r="G162" i="3"/>
  <c r="G163" i="3"/>
  <c r="BL165" i="3"/>
  <c r="AZ165" i="3" s="1"/>
  <c r="AZ439" i="3"/>
  <c r="AZ444" i="3"/>
  <c r="AZ451" i="3"/>
  <c r="AZ456" i="3"/>
  <c r="AZ458" i="3"/>
  <c r="AZ462" i="3"/>
  <c r="AZ466" i="3"/>
  <c r="AZ469" i="3"/>
  <c r="AZ472" i="3"/>
  <c r="AZ475" i="3"/>
  <c r="AZ483" i="3"/>
  <c r="AZ488" i="3"/>
  <c r="AZ395" i="3"/>
  <c r="AZ208" i="3"/>
  <c r="AZ211" i="3"/>
  <c r="AZ219" i="3"/>
  <c r="AZ236" i="3"/>
  <c r="AZ260" i="3"/>
  <c r="AZ264" i="3"/>
  <c r="AZ282" i="3"/>
  <c r="AZ285" i="3"/>
  <c r="AZ290" i="3"/>
  <c r="AZ293" i="3"/>
  <c r="AZ134" i="3"/>
  <c r="BA168" i="3"/>
  <c r="AZ168" i="3" s="1"/>
  <c r="BL169" i="3"/>
  <c r="G172" i="3"/>
  <c r="BA173" i="3"/>
  <c r="AZ173" i="3" s="1"/>
  <c r="BA174" i="3"/>
  <c r="AZ174" i="3" s="1"/>
  <c r="BL175" i="3"/>
  <c r="AZ175" i="3" s="1"/>
  <c r="BA177" i="3"/>
  <c r="AZ177" i="3" s="1"/>
  <c r="BA178" i="3"/>
  <c r="AZ178" i="3" s="1"/>
  <c r="BL179" i="3"/>
  <c r="AZ179" i="3" s="1"/>
  <c r="BL182" i="3"/>
  <c r="AZ182" i="3" s="1"/>
  <c r="BA184" i="3"/>
  <c r="AZ184" i="3" s="1"/>
  <c r="BL185" i="3"/>
  <c r="G188" i="3"/>
  <c r="BA189" i="3"/>
  <c r="AZ189" i="3" s="1"/>
  <c r="BA190" i="3"/>
  <c r="AZ190" i="3" s="1"/>
  <c r="BL191" i="3"/>
  <c r="AZ191" i="3" s="1"/>
  <c r="BA193" i="3"/>
  <c r="AZ193" i="3" s="1"/>
  <c r="BA194" i="3"/>
  <c r="AZ194" i="3" s="1"/>
  <c r="BL195" i="3"/>
  <c r="AZ195" i="3" s="1"/>
  <c r="BL198" i="3"/>
  <c r="AZ198" i="3" s="1"/>
  <c r="BA200" i="3"/>
  <c r="AZ200" i="3" s="1"/>
  <c r="BL201" i="3"/>
  <c r="G204" i="3"/>
  <c r="G206" i="3"/>
  <c r="G207" i="3"/>
  <c r="BL207" i="3"/>
  <c r="BA18" i="3"/>
  <c r="AZ18" i="3" s="1"/>
  <c r="BA19" i="3"/>
  <c r="AZ19" i="3" s="1"/>
  <c r="BA20" i="3"/>
  <c r="AZ20" i="3" s="1"/>
  <c r="BA21" i="3"/>
  <c r="AZ21" i="3" s="1"/>
  <c r="G24" i="3"/>
  <c r="G25" i="3"/>
  <c r="BL25" i="3"/>
  <c r="G28" i="3"/>
  <c r="G29" i="3"/>
  <c r="G30" i="3"/>
  <c r="BL30" i="3"/>
  <c r="BL32" i="3"/>
  <c r="AZ32" i="3" s="1"/>
  <c r="G35" i="3"/>
  <c r="G36" i="3"/>
  <c r="BL36" i="3"/>
  <c r="BL38" i="3"/>
  <c r="BA40" i="3"/>
  <c r="AZ40" i="3" s="1"/>
  <c r="BA41" i="3"/>
  <c r="AZ41" i="3" s="1"/>
  <c r="BA42" i="3"/>
  <c r="AZ42" i="3" s="1"/>
  <c r="BA43" i="3"/>
  <c r="AZ43" i="3" s="1"/>
  <c r="BL45" i="3"/>
  <c r="AZ45" i="3" s="1"/>
  <c r="G47" i="3"/>
  <c r="G48" i="3"/>
  <c r="BL48" i="3"/>
  <c r="BA49" i="3"/>
  <c r="AZ49" i="3" s="1"/>
  <c r="BA50" i="3"/>
  <c r="AZ50" i="3" s="1"/>
  <c r="BA51" i="3"/>
  <c r="AZ51" i="3" s="1"/>
  <c r="BL53" i="3"/>
  <c r="AZ53" i="3" s="1"/>
  <c r="BA54" i="3"/>
  <c r="AZ54" i="3" s="1"/>
  <c r="BA55" i="3"/>
  <c r="AZ55" i="3" s="1"/>
  <c r="G58" i="3"/>
  <c r="G59" i="3"/>
  <c r="G60" i="3"/>
  <c r="BL60" i="3"/>
  <c r="G63" i="3"/>
  <c r="G64" i="3"/>
  <c r="BL64" i="3"/>
  <c r="BA65" i="3"/>
  <c r="AZ65" i="3" s="1"/>
  <c r="BA66" i="3"/>
  <c r="AZ66" i="3" s="1"/>
  <c r="BA67" i="3"/>
  <c r="AZ67" i="3" s="1"/>
  <c r="BL69" i="3"/>
  <c r="AZ69" i="3" s="1"/>
  <c r="BA70" i="3"/>
  <c r="AZ70" i="3" s="1"/>
  <c r="BA71" i="3"/>
  <c r="AZ71" i="3" s="1"/>
  <c r="BA72" i="3"/>
  <c r="AZ72" i="3" s="1"/>
  <c r="BL74" i="3"/>
  <c r="AZ74" i="3" s="1"/>
  <c r="G77" i="3"/>
  <c r="G78" i="3"/>
  <c r="BL78" i="3"/>
  <c r="BL80" i="3"/>
  <c r="AZ80" i="3" s="1"/>
  <c r="BA81" i="3"/>
  <c r="AZ81" i="3" s="1"/>
  <c r="BA82" i="3"/>
  <c r="AZ82" i="3" s="1"/>
  <c r="BA83" i="3"/>
  <c r="AZ83" i="3" s="1"/>
  <c r="BA84" i="3"/>
  <c r="AZ84" i="3" s="1"/>
  <c r="BA85" i="3"/>
  <c r="AZ85" i="3" s="1"/>
  <c r="BA86" i="3"/>
  <c r="AZ86" i="3" s="1"/>
  <c r="C39" i="71"/>
  <c r="D38" i="71"/>
  <c r="AZ201" i="3"/>
  <c r="AZ207" i="3"/>
  <c r="AZ25" i="3"/>
  <c r="AZ38" i="3"/>
  <c r="D54" i="71"/>
  <c r="C55" i="71"/>
  <c r="S21" i="34"/>
  <c r="P27" i="6"/>
  <c r="D60" i="71"/>
  <c r="D32" i="71"/>
  <c r="C52" i="71"/>
  <c r="C70" i="71"/>
  <c r="D70" i="71" s="1"/>
  <c r="D75" i="71"/>
  <c r="C66" i="71"/>
  <c r="AA27" i="71"/>
  <c r="E28" i="71"/>
  <c r="E27" i="71" s="1"/>
  <c r="E26" i="71" s="1"/>
  <c r="AB27" i="71"/>
  <c r="AB25" i="71"/>
  <c r="D34" i="71"/>
  <c r="X28" i="71"/>
  <c r="X25" i="71"/>
  <c r="AB37" i="71"/>
  <c r="X32" i="71"/>
  <c r="X30" i="71"/>
  <c r="AA30" i="71"/>
  <c r="AA33" i="71"/>
  <c r="B43" i="71"/>
  <c r="B44" i="71" s="1"/>
  <c r="S44" i="71" s="1"/>
  <c r="B47" i="71"/>
  <c r="B48" i="71" s="1"/>
  <c r="S48" i="71" s="1"/>
  <c r="B51" i="71"/>
  <c r="B52" i="71" s="1"/>
  <c r="S52" i="71" s="1"/>
  <c r="BL89" i="3"/>
  <c r="AZ89" i="3" s="1"/>
  <c r="BA90" i="3"/>
  <c r="AZ90" i="3" s="1"/>
  <c r="G93" i="3"/>
  <c r="G94" i="3"/>
  <c r="G95" i="3"/>
  <c r="BL95" i="3"/>
  <c r="AZ95" i="3" s="1"/>
  <c r="BA96" i="3"/>
  <c r="AZ96" i="3" s="1"/>
  <c r="BA97" i="3"/>
  <c r="AZ97" i="3" s="1"/>
  <c r="G100" i="3"/>
  <c r="BL100" i="3"/>
  <c r="AZ100" i="3" s="1"/>
  <c r="BL102" i="3"/>
  <c r="AZ102" i="3" s="1"/>
  <c r="BA103" i="3"/>
  <c r="AZ103" i="3" s="1"/>
  <c r="BL105" i="3"/>
  <c r="AZ105" i="3" s="1"/>
  <c r="BA106" i="3"/>
  <c r="AZ106" i="3" s="1"/>
  <c r="BA107" i="3"/>
  <c r="AZ107" i="3" s="1"/>
  <c r="BL109" i="3"/>
  <c r="AZ109" i="3" s="1"/>
  <c r="BL111" i="3"/>
  <c r="AZ111" i="3" s="1"/>
  <c r="BA112" i="3"/>
  <c r="AZ112" i="3" s="1"/>
  <c r="C40" i="68"/>
  <c r="AB21" i="21"/>
  <c r="AC21" i="34"/>
  <c r="W38" i="33"/>
  <c r="J32" i="33"/>
  <c r="AC32" i="33" s="1"/>
  <c r="F32" i="33"/>
  <c r="H32" i="33"/>
  <c r="AB32" i="33" s="1"/>
  <c r="C21" i="68"/>
  <c r="C40" i="69"/>
  <c r="W42" i="33"/>
  <c r="W33" i="33"/>
  <c r="U39" i="33"/>
  <c r="U27" i="33"/>
  <c r="AB28" i="33"/>
  <c r="W19" i="33"/>
  <c r="AC23" i="33"/>
  <c r="S42" i="33"/>
  <c r="S43" i="33"/>
  <c r="S39" i="33"/>
  <c r="U38" i="33"/>
  <c r="AA38" i="33"/>
  <c r="AA17" i="33"/>
  <c r="W32" i="33"/>
  <c r="AC28" i="33"/>
  <c r="AC35" i="33"/>
  <c r="AA35" i="33"/>
  <c r="AB34" i="33"/>
  <c r="U35" i="33"/>
  <c r="AC34" i="33"/>
  <c r="W27" i="33"/>
  <c r="AA23" i="33"/>
  <c r="AB23" i="33"/>
  <c r="AA19" i="33"/>
  <c r="AB19" i="33"/>
  <c r="AB17" i="33"/>
  <c r="W15" i="33"/>
  <c r="D54" i="43"/>
  <c r="B41" i="1"/>
  <c r="F53" i="9" s="1"/>
  <c r="D93" i="9"/>
  <c r="E19" i="71"/>
  <c r="E18" i="71" s="1"/>
  <c r="E17" i="71" s="1"/>
  <c r="E16" i="71" s="1"/>
  <c r="V20" i="71"/>
  <c r="AZ557" i="3"/>
  <c r="C16" i="71"/>
  <c r="M23" i="43" s="1"/>
  <c r="D17" i="71"/>
  <c r="D19" i="53"/>
  <c r="B38" i="72" s="1"/>
  <c r="D16" i="53"/>
  <c r="B34" i="72" s="1"/>
  <c r="W17" i="21"/>
  <c r="AC15" i="21"/>
  <c r="U12" i="39"/>
  <c r="AA27" i="40"/>
  <c r="G28" i="6"/>
  <c r="F29" i="6"/>
  <c r="F30" i="6" s="1"/>
  <c r="U43" i="33"/>
  <c r="AA41" i="34"/>
  <c r="AA13" i="35"/>
  <c r="BL5" i="3"/>
  <c r="G5" i="3"/>
  <c r="B3" i="3" s="1"/>
  <c r="E253" i="3" s="1"/>
  <c r="J9" i="34"/>
  <c r="F9" i="34"/>
  <c r="AA9" i="34" s="1"/>
  <c r="J12" i="34"/>
  <c r="F12" i="34"/>
  <c r="J34" i="35"/>
  <c r="H34" i="35"/>
  <c r="F34" i="35"/>
  <c r="AA29" i="35"/>
  <c r="B73" i="43"/>
  <c r="B79" i="43"/>
  <c r="B76" i="43"/>
  <c r="B75" i="43"/>
  <c r="H9" i="34"/>
  <c r="H12" i="34"/>
  <c r="J12" i="35"/>
  <c r="H36" i="35"/>
  <c r="J36" i="35"/>
  <c r="J23" i="36"/>
  <c r="H23" i="36"/>
  <c r="F23" i="36"/>
  <c r="W31" i="35"/>
  <c r="AC31" i="35"/>
  <c r="AZ398" i="3"/>
  <c r="AZ405" i="3"/>
  <c r="AZ407" i="3"/>
  <c r="AZ410" i="3"/>
  <c r="AZ415" i="3"/>
  <c r="AZ420" i="3"/>
  <c r="AZ426" i="3"/>
  <c r="AZ431" i="3"/>
  <c r="AZ436" i="3"/>
  <c r="AZ448" i="3"/>
  <c r="AZ452" i="3"/>
  <c r="AZ461" i="3"/>
  <c r="AZ463" i="3"/>
  <c r="AZ468" i="3"/>
  <c r="AZ470" i="3"/>
  <c r="AZ479" i="3"/>
  <c r="AZ485" i="3"/>
  <c r="A15" i="62"/>
  <c r="B61" i="72" s="1"/>
  <c r="AZ22" i="3"/>
  <c r="AZ492" i="3"/>
  <c r="AZ216" i="3"/>
  <c r="AZ221" i="3"/>
  <c r="AZ226" i="3"/>
  <c r="AZ230" i="3"/>
  <c r="AZ242" i="3"/>
  <c r="AZ246" i="3"/>
  <c r="AZ255" i="3"/>
  <c r="AZ270" i="3"/>
  <c r="AZ274" i="3"/>
  <c r="AZ277" i="3"/>
  <c r="AZ298" i="3"/>
  <c r="AZ301" i="3"/>
  <c r="AZ122" i="3"/>
  <c r="AZ125" i="3"/>
  <c r="AZ153" i="3"/>
  <c r="AZ169" i="3"/>
  <c r="AZ185" i="3"/>
  <c r="AZ30" i="3"/>
  <c r="AZ36" i="3"/>
  <c r="AZ48" i="3"/>
  <c r="AZ60" i="3"/>
  <c r="AZ64" i="3"/>
  <c r="AZ78" i="3"/>
  <c r="AZ91" i="3"/>
  <c r="AZ98" i="3"/>
  <c r="AZ104" i="3"/>
  <c r="AZ108" i="3"/>
  <c r="T64" i="71"/>
  <c r="D64" i="71"/>
  <c r="P66" i="71"/>
  <c r="P65" i="71"/>
  <c r="U21" i="34"/>
  <c r="C26" i="71"/>
  <c r="D26" i="71" s="1"/>
  <c r="D27" i="71"/>
  <c r="D35" i="71"/>
  <c r="C36" i="71"/>
  <c r="B27" i="71"/>
  <c r="B26" i="71" s="1"/>
  <c r="S28" i="71"/>
  <c r="C43" i="71"/>
  <c r="D42" i="71"/>
  <c r="C47" i="71"/>
  <c r="D47" i="71" s="1"/>
  <c r="D46" i="71"/>
  <c r="S21" i="21"/>
  <c r="U18" i="36"/>
  <c r="F30" i="71"/>
  <c r="F31" i="71" s="1"/>
  <c r="F32" i="71" s="1"/>
  <c r="V32" i="71" s="1"/>
  <c r="Y9" i="71"/>
  <c r="Z9" i="71" s="1"/>
  <c r="Y10" i="71"/>
  <c r="Z10" i="71" s="1"/>
  <c r="AA9" i="71"/>
  <c r="AA10" i="71"/>
  <c r="V68" i="71"/>
  <c r="F67" i="71"/>
  <c r="X24" i="71"/>
  <c r="AA24" i="71"/>
  <c r="Y24" i="71"/>
  <c r="Z24" i="71" s="1"/>
  <c r="AB23" i="71"/>
  <c r="AA21" i="71"/>
  <c r="X21" i="71"/>
  <c r="Y18" i="71"/>
  <c r="Z18" i="71" s="1"/>
  <c r="AA17" i="71"/>
  <c r="AB18" i="71"/>
  <c r="Y14" i="71"/>
  <c r="Z14" i="71" s="1"/>
  <c r="AB14" i="71"/>
  <c r="V28" i="71"/>
  <c r="AA28" i="71"/>
  <c r="AA26" i="71"/>
  <c r="X26" i="71"/>
  <c r="Y28" i="71"/>
  <c r="Z28" i="71" s="1"/>
  <c r="Y27" i="71"/>
  <c r="Z27" i="71" s="1"/>
  <c r="Y26" i="71"/>
  <c r="Z26" i="71" s="1"/>
  <c r="Y25" i="71"/>
  <c r="Z25" i="71" s="1"/>
  <c r="X35" i="71"/>
  <c r="X34" i="71"/>
  <c r="AA32" i="71"/>
  <c r="AA31" i="71"/>
  <c r="AA37" i="71"/>
  <c r="X9" i="71"/>
  <c r="X10" i="71"/>
  <c r="Y39" i="71"/>
  <c r="Z39" i="71" s="1"/>
  <c r="AA39" i="71"/>
  <c r="AB9" i="71"/>
  <c r="AB10" i="71"/>
  <c r="AB24" i="71"/>
  <c r="AA23" i="71"/>
  <c r="X22" i="71"/>
  <c r="AB21" i="71"/>
  <c r="X17" i="71"/>
  <c r="Y17" i="71"/>
  <c r="Z17" i="71" s="1"/>
  <c r="AA18" i="71"/>
  <c r="Y23" i="71"/>
  <c r="Z23" i="71" s="1"/>
  <c r="Y22" i="71"/>
  <c r="Z22" i="71" s="1"/>
  <c r="Y21" i="71"/>
  <c r="Z21" i="71" s="1"/>
  <c r="AA22" i="71"/>
  <c r="X18" i="71"/>
  <c r="X15" i="71"/>
  <c r="AA15" i="71"/>
  <c r="AA12" i="71"/>
  <c r="AA11" i="71"/>
  <c r="AA14" i="71"/>
  <c r="X13" i="71"/>
  <c r="X12" i="71"/>
  <c r="AB12" i="71"/>
  <c r="Y12" i="71"/>
  <c r="Z12" i="71" s="1"/>
  <c r="Y13" i="71"/>
  <c r="Z13" i="71" s="1"/>
  <c r="AB15" i="71"/>
  <c r="AB17" i="71"/>
  <c r="AA13" i="71"/>
  <c r="X11" i="71"/>
  <c r="X14" i="71"/>
  <c r="AB11" i="71"/>
  <c r="AB13" i="71"/>
  <c r="Y11" i="71"/>
  <c r="Z11" i="71" s="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496" i="3"/>
  <c r="E88" i="3"/>
  <c r="E109" i="3"/>
  <c r="E14" i="6"/>
  <c r="E63" i="39" s="1"/>
  <c r="I4" i="6"/>
  <c r="G3" i="43" s="1"/>
  <c r="J26" i="43" s="1"/>
  <c r="E29" i="6"/>
  <c r="K15" i="1" s="1"/>
  <c r="G30" i="6"/>
  <c r="G31" i="6" s="1"/>
  <c r="E28" i="6"/>
  <c r="L19" i="6"/>
  <c r="L27" i="6" s="1"/>
  <c r="M6" i="1"/>
  <c r="O6" i="1" s="1"/>
  <c r="T13" i="1"/>
  <c r="C58" i="2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D9" i="11"/>
  <c r="C9" i="11" s="1"/>
  <c r="D19" i="12"/>
  <c r="C19" i="12" s="1"/>
  <c r="AZ13" i="3"/>
  <c r="O9" i="1"/>
  <c r="P9" i="1" s="1"/>
  <c r="O12" i="1"/>
  <c r="P12" i="1" s="1"/>
  <c r="O8" i="1"/>
  <c r="P8" i="1" s="1"/>
  <c r="H73" i="43"/>
  <c r="H90" i="43"/>
  <c r="C23" i="43"/>
  <c r="O23" i="43"/>
  <c r="I18" i="43"/>
  <c r="E17" i="43" s="1"/>
  <c r="C17" i="43" s="1"/>
  <c r="H26" i="43"/>
  <c r="A1" i="79"/>
  <c r="H55" i="43"/>
  <c r="G55" i="43" s="1"/>
  <c r="H86" i="43"/>
  <c r="H87" i="43"/>
  <c r="H89" i="43"/>
  <c r="H88" i="43"/>
  <c r="H84" i="43"/>
  <c r="C69" i="39"/>
  <c r="D67" i="39"/>
  <c r="D69" i="39" s="1"/>
  <c r="A19" i="51"/>
  <c r="B14" i="72" s="1"/>
  <c r="T35" i="4"/>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8"/>
  <c r="C16" i="15"/>
  <c r="D9" i="69"/>
  <c r="C16" i="67"/>
  <c r="C36" i="69"/>
  <c r="L48" i="67"/>
  <c r="G1" i="73"/>
  <c r="F27" i="69"/>
  <c r="I24" i="43" l="1"/>
  <c r="C24" i="43" s="1"/>
  <c r="N370" i="46"/>
  <c r="P6" i="3"/>
  <c r="E26" i="43"/>
  <c r="F26" i="43"/>
  <c r="D26" i="43" s="1"/>
  <c r="C25" i="43" s="1"/>
  <c r="E316" i="3"/>
  <c r="E30" i="3"/>
  <c r="E558" i="3"/>
  <c r="E480" i="3"/>
  <c r="E166" i="3"/>
  <c r="AG6" i="3"/>
  <c r="E334" i="3"/>
  <c r="E444" i="3"/>
  <c r="E397" i="3"/>
  <c r="G26" i="43"/>
  <c r="N94" i="46"/>
  <c r="S7" i="82"/>
  <c r="AA7" i="82"/>
  <c r="R48" i="82" s="1"/>
  <c r="AC7" i="82"/>
  <c r="V48" i="82" s="1"/>
  <c r="I48" i="82" s="1"/>
  <c r="W7" i="82"/>
  <c r="J7" i="37"/>
  <c r="AB7" i="82"/>
  <c r="T48" i="82" s="1"/>
  <c r="G48" i="82" s="1"/>
  <c r="U7" i="82"/>
  <c r="L56" i="67"/>
  <c r="J57" i="67"/>
  <c r="J55" i="67" s="1"/>
  <c r="J58" i="67" s="1"/>
  <c r="Q50" i="67" s="1"/>
  <c r="I54" i="67"/>
  <c r="L58" i="67"/>
  <c r="Q73" i="67" s="1"/>
  <c r="J53" i="67"/>
  <c r="F1" i="67" s="1"/>
  <c r="S15" i="33"/>
  <c r="W39" i="33"/>
  <c r="E572" i="3"/>
  <c r="E377" i="3"/>
  <c r="E295" i="3"/>
  <c r="E121" i="3"/>
  <c r="E404" i="3"/>
  <c r="E581" i="3"/>
  <c r="E443" i="3"/>
  <c r="E448" i="3"/>
  <c r="E327" i="3"/>
  <c r="E257" i="3"/>
  <c r="E330" i="3"/>
  <c r="E441" i="3"/>
  <c r="E29" i="3"/>
  <c r="E44" i="3"/>
  <c r="AM6" i="3"/>
  <c r="E384" i="3"/>
  <c r="E317" i="3"/>
  <c r="E331" i="3"/>
  <c r="E273" i="3"/>
  <c r="E211" i="3"/>
  <c r="E182" i="3"/>
  <c r="E70" i="3"/>
  <c r="E28" i="3"/>
  <c r="E489" i="3"/>
  <c r="E531" i="3"/>
  <c r="E557" i="3"/>
  <c r="E345" i="3"/>
  <c r="E400" i="3"/>
  <c r="E485" i="3"/>
  <c r="AO6" i="3"/>
  <c r="Z6" i="3"/>
  <c r="E207" i="3"/>
  <c r="E14" i="3"/>
  <c r="E168" i="3"/>
  <c r="E424" i="3"/>
  <c r="E128" i="3"/>
  <c r="E291" i="3"/>
  <c r="E210" i="3"/>
  <c r="E272" i="3"/>
  <c r="E186" i="3"/>
  <c r="E126" i="3"/>
  <c r="E162" i="3"/>
  <c r="E92" i="3"/>
  <c r="E27" i="3"/>
  <c r="E71" i="3"/>
  <c r="E447" i="3"/>
  <c r="E546" i="3"/>
  <c r="E476" i="3"/>
  <c r="E403" i="3"/>
  <c r="AS6" i="3"/>
  <c r="E547" i="3"/>
  <c r="E505" i="3"/>
  <c r="E367" i="3"/>
  <c r="E477" i="3"/>
  <c r="E432" i="3"/>
  <c r="E414" i="3"/>
  <c r="E548" i="3"/>
  <c r="E478" i="3"/>
  <c r="E411" i="3"/>
  <c r="E515" i="3"/>
  <c r="U6" i="3"/>
  <c r="E576" i="3"/>
  <c r="E145" i="3"/>
  <c r="E196" i="3"/>
  <c r="E93" i="3"/>
  <c r="E357" i="3"/>
  <c r="E208" i="3"/>
  <c r="E54" i="3"/>
  <c r="AE6" i="3"/>
  <c r="E437" i="3"/>
  <c r="E120" i="3"/>
  <c r="E238" i="3"/>
  <c r="E585" i="3"/>
  <c r="E379" i="3"/>
  <c r="E107" i="3"/>
  <c r="E271" i="3"/>
  <c r="E269" i="3"/>
  <c r="E549" i="3"/>
  <c r="E567" i="3"/>
  <c r="E31" i="3"/>
  <c r="E318" i="3"/>
  <c r="E351" i="3"/>
  <c r="E279" i="3"/>
  <c r="E150" i="3"/>
  <c r="E111" i="3"/>
  <c r="E55" i="3"/>
  <c r="E429" i="3"/>
  <c r="E344" i="3"/>
  <c r="E481" i="3"/>
  <c r="Q6" i="3"/>
  <c r="E177" i="3"/>
  <c r="E262" i="3"/>
  <c r="E434" i="3"/>
  <c r="E156" i="3"/>
  <c r="E164" i="3"/>
  <c r="E204" i="3"/>
  <c r="E252" i="3"/>
  <c r="E89" i="3"/>
  <c r="E236" i="3"/>
  <c r="E368" i="3"/>
  <c r="I6" i="3"/>
  <c r="E227" i="3"/>
  <c r="E32" i="3"/>
  <c r="E74" i="3"/>
  <c r="E580" i="3"/>
  <c r="E362" i="3"/>
  <c r="E394" i="3"/>
  <c r="E315" i="3"/>
  <c r="E274" i="3"/>
  <c r="E214" i="3"/>
  <c r="E256" i="3"/>
  <c r="E171" i="3"/>
  <c r="E203" i="3"/>
  <c r="E146" i="3"/>
  <c r="E73" i="3"/>
  <c r="E106" i="3"/>
  <c r="E454" i="3"/>
  <c r="E468" i="3"/>
  <c r="E577" i="3"/>
  <c r="E587" i="3"/>
  <c r="E465" i="3"/>
  <c r="E406" i="3"/>
  <c r="E472" i="3"/>
  <c r="E560" i="3"/>
  <c r="K6" i="3"/>
  <c r="E133" i="3"/>
  <c r="E277" i="3"/>
  <c r="E228" i="3"/>
  <c r="AK6" i="3"/>
  <c r="E545" i="3"/>
  <c r="E181" i="3"/>
  <c r="E568" i="3"/>
  <c r="E77" i="3"/>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M53" i="43"/>
  <c r="N53" i="43" s="1"/>
  <c r="K53" i="43"/>
  <c r="K52" i="43"/>
  <c r="M52" i="43"/>
  <c r="N52" i="43" s="1"/>
  <c r="K51" i="43"/>
  <c r="M51" i="43"/>
  <c r="N51" i="43" s="1"/>
  <c r="T52" i="71"/>
  <c r="D52" i="71"/>
  <c r="C40" i="71"/>
  <c r="D39" i="71"/>
  <c r="AC38" i="40"/>
  <c r="W38" i="40"/>
  <c r="AC25" i="37"/>
  <c r="W25" i="37"/>
  <c r="AA26" i="37"/>
  <c r="S26" i="37"/>
  <c r="AA9" i="36"/>
  <c r="S9" i="36"/>
  <c r="BA5" i="3"/>
  <c r="M57" i="43"/>
  <c r="N57" i="43" s="1"/>
  <c r="K57" i="43"/>
  <c r="J57" i="43" s="1"/>
  <c r="D57" i="43" s="1"/>
  <c r="K55" i="43"/>
  <c r="M55" i="43"/>
  <c r="N55" i="43" s="1"/>
  <c r="M56" i="43"/>
  <c r="N56" i="43" s="1"/>
  <c r="K56" i="43"/>
  <c r="K58" i="43"/>
  <c r="M58" i="43"/>
  <c r="N58" i="43" s="1"/>
  <c r="D66" i="71"/>
  <c r="O65" i="71"/>
  <c r="O66" i="71"/>
  <c r="D55" i="71"/>
  <c r="C56" i="71"/>
  <c r="AZ477" i="3"/>
  <c r="AZ459" i="3"/>
  <c r="AZ442" i="3"/>
  <c r="AZ5" i="3" s="1"/>
  <c r="U39" i="40"/>
  <c r="AB39" i="40"/>
  <c r="AZ550" i="3"/>
  <c r="U25" i="37"/>
  <c r="AB25" i="37"/>
  <c r="AC26" i="37"/>
  <c r="W26" i="37"/>
  <c r="AB9" i="36"/>
  <c r="U9" i="36"/>
  <c r="J50" i="43"/>
  <c r="D50" i="43"/>
  <c r="U32" i="33"/>
  <c r="S32" i="33"/>
  <c r="AA32" i="33"/>
  <c r="F48" i="9"/>
  <c r="O52" i="9" s="1"/>
  <c r="F30" i="68"/>
  <c r="F28" i="67"/>
  <c r="C28" i="67" s="1"/>
  <c r="F52" i="9"/>
  <c r="F32" i="67"/>
  <c r="F60" i="67" s="1"/>
  <c r="F32" i="15"/>
  <c r="F60" i="15" s="1"/>
  <c r="F28" i="15"/>
  <c r="C28" i="15" s="1"/>
  <c r="F54" i="9"/>
  <c r="F30" i="11"/>
  <c r="F31" i="12"/>
  <c r="C31" i="12" s="1"/>
  <c r="M18" i="67"/>
  <c r="F30" i="69"/>
  <c r="M18" i="15"/>
  <c r="D68" i="9"/>
  <c r="K16" i="1"/>
  <c r="T36" i="71"/>
  <c r="D36" i="71"/>
  <c r="AA23" i="36"/>
  <c r="S23" i="36"/>
  <c r="AC23" i="36"/>
  <c r="W23" i="36"/>
  <c r="AB36" i="35"/>
  <c r="U36" i="35"/>
  <c r="AB12" i="34"/>
  <c r="U12" i="34"/>
  <c r="AB34" i="35"/>
  <c r="U34" i="35"/>
  <c r="S12" i="34"/>
  <c r="AA12" i="34"/>
  <c r="E510" i="3"/>
  <c r="E289" i="3"/>
  <c r="E326" i="3"/>
  <c r="E83" i="3"/>
  <c r="E539" i="3"/>
  <c r="E165" i="3"/>
  <c r="E536" i="3"/>
  <c r="E244" i="3"/>
  <c r="E148" i="3"/>
  <c r="E149" i="3"/>
  <c r="E212" i="3"/>
  <c r="E167" i="3"/>
  <c r="E199" i="3"/>
  <c r="E141" i="3"/>
  <c r="E286" i="3"/>
  <c r="E312" i="3"/>
  <c r="E575" i="3"/>
  <c r="AD6" i="3"/>
  <c r="AC6" i="3" s="1"/>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51" i="3"/>
  <c r="E340" i="3"/>
  <c r="E370" i="3"/>
  <c r="E364" i="3"/>
  <c r="AF6" i="3"/>
  <c r="E50" i="3"/>
  <c r="E102" i="3"/>
  <c r="E20" i="3"/>
  <c r="E80" i="3"/>
  <c r="E62" i="3"/>
  <c r="E113" i="3"/>
  <c r="E176" i="3"/>
  <c r="E158" i="3"/>
  <c r="E218" i="3"/>
  <c r="E287" i="3"/>
  <c r="E265" i="3"/>
  <c r="E308" i="3"/>
  <c r="E365" i="3"/>
  <c r="E524" i="3"/>
  <c r="E22" i="3"/>
  <c r="E101" i="3"/>
  <c r="C15" i="71"/>
  <c r="T16" i="71"/>
  <c r="B15" i="71"/>
  <c r="B14" i="71" s="1"/>
  <c r="B13" i="71" s="1"/>
  <c r="B12" i="71" s="1"/>
  <c r="S16" i="71"/>
  <c r="F66" i="71"/>
  <c r="Q67" i="71"/>
  <c r="D43" i="71"/>
  <c r="C44" i="71"/>
  <c r="AB23" i="36"/>
  <c r="U23" i="36"/>
  <c r="W36" i="35"/>
  <c r="AC36" i="35"/>
  <c r="W12" i="35"/>
  <c r="AC12" i="35"/>
  <c r="U9" i="34"/>
  <c r="AB9" i="34"/>
  <c r="AA34" i="35"/>
  <c r="S34" i="35"/>
  <c r="AC34" i="35"/>
  <c r="W34" i="35"/>
  <c r="W12" i="34"/>
  <c r="AC12" i="34"/>
  <c r="AC9" i="34"/>
  <c r="W9" i="34"/>
  <c r="E15" i="71"/>
  <c r="E14" i="71" s="1"/>
  <c r="E13" i="71" s="1"/>
  <c r="E12" i="71" s="1"/>
  <c r="V16" i="71"/>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H6" i="3"/>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AE6" i="1"/>
  <c r="I52" i="82" l="1"/>
  <c r="J52" i="82" s="1"/>
  <c r="G53" i="82"/>
  <c r="H53" i="82" s="1"/>
  <c r="G52" i="82"/>
  <c r="H52" i="82" s="1"/>
  <c r="E48" i="82"/>
  <c r="R49" i="82"/>
  <c r="Q52" i="67"/>
  <c r="Q60" i="67"/>
  <c r="E3" i="6"/>
  <c r="E6" i="6" s="1"/>
  <c r="AY6" i="3"/>
  <c r="J56" i="43"/>
  <c r="D56" i="43"/>
  <c r="J55" i="43"/>
  <c r="D55" i="43"/>
  <c r="J53" i="43"/>
  <c r="D53" i="43"/>
  <c r="T56" i="71"/>
  <c r="D56" i="71"/>
  <c r="J58" i="43"/>
  <c r="D58" i="43"/>
  <c r="T40" i="71"/>
  <c r="D40" i="71"/>
  <c r="D51" i="43"/>
  <c r="J51" i="43"/>
  <c r="J52" i="43"/>
  <c r="D52" i="43"/>
  <c r="F48" i="69"/>
  <c r="C48" i="69"/>
  <c r="C30" i="69"/>
  <c r="F48" i="68"/>
  <c r="C48" i="68"/>
  <c r="C30" i="68"/>
  <c r="C48" i="11"/>
  <c r="C30" i="11"/>
  <c r="E65" i="39"/>
  <c r="T44" i="71"/>
  <c r="D44" i="71"/>
  <c r="E11" i="71"/>
  <c r="E10" i="71" s="1"/>
  <c r="E9" i="71" s="1"/>
  <c r="E8" i="71" s="1"/>
  <c r="E7" i="71" s="1"/>
  <c r="E6" i="71" s="1"/>
  <c r="E5" i="71" s="1"/>
  <c r="V12" i="71"/>
  <c r="Q66" i="71"/>
  <c r="Q65" i="71"/>
  <c r="B11" i="71"/>
  <c r="B10" i="71" s="1"/>
  <c r="B9" i="71" s="1"/>
  <c r="B8" i="71" s="1"/>
  <c r="B7" i="71" s="1"/>
  <c r="B6" i="71" s="1"/>
  <c r="B5" i="71" s="1"/>
  <c r="S12" i="71"/>
  <c r="D15" i="71"/>
  <c r="C14"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M18" i="9"/>
  <c r="B118" i="9" s="1"/>
  <c r="C17" i="4"/>
  <c r="B4" i="52" s="1"/>
  <c r="B43" i="72" s="1"/>
  <c r="D3" i="3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67"/>
  <c r="M27" i="15"/>
  <c r="F41" i="15"/>
  <c r="D3" i="37" l="1"/>
  <c r="D19" i="11"/>
  <c r="C19" i="11" s="1"/>
  <c r="D37" i="11"/>
  <c r="E50" i="43"/>
  <c r="B48" i="43" s="1"/>
  <c r="C28" i="43" s="1"/>
  <c r="T7" i="43" s="1"/>
  <c r="V7" i="43" s="1"/>
  <c r="C48" i="82"/>
  <c r="C49" i="82"/>
  <c r="E52" i="82"/>
  <c r="F52" i="82" s="1"/>
  <c r="E53" i="82"/>
  <c r="F53" i="82" s="1"/>
  <c r="I53" i="82"/>
  <c r="J53" i="82" s="1"/>
  <c r="AY87" i="3"/>
  <c r="AY51" i="3"/>
  <c r="AY34" i="3"/>
  <c r="AY207" i="3"/>
  <c r="AY144" i="3"/>
  <c r="AY124" i="3"/>
  <c r="AY95" i="3"/>
  <c r="AY42" i="3"/>
  <c r="AY152" i="3"/>
  <c r="AY281" i="3"/>
  <c r="AY111" i="3"/>
  <c r="AY168" i="3"/>
  <c r="AY253" i="3"/>
  <c r="AY236" i="3"/>
  <c r="AY382" i="3"/>
  <c r="AY366" i="3"/>
  <c r="AY303" i="3"/>
  <c r="AY67" i="3"/>
  <c r="AY196" i="3"/>
  <c r="AY139" i="3"/>
  <c r="AY74" i="3"/>
  <c r="AY123" i="3"/>
  <c r="AY204" i="3"/>
  <c r="AY252" i="3"/>
  <c r="AY363"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D116" i="43"/>
  <c r="D3" i="34"/>
  <c r="D14" i="12"/>
  <c r="D17" i="12" s="1"/>
  <c r="C17" i="12" s="1"/>
  <c r="F69" i="67"/>
  <c r="B1" i="74"/>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C18" i="12" s="1"/>
  <c r="D25" i="6"/>
  <c r="D15" i="6"/>
  <c r="D22" i="6"/>
  <c r="D21" i="6"/>
  <c r="D24" i="6"/>
  <c r="D20" i="6"/>
  <c r="M19" i="9"/>
  <c r="C118" i="9" s="1"/>
  <c r="B2" i="74" s="1"/>
  <c r="D26" i="6"/>
  <c r="D8" i="6"/>
  <c r="D14" i="6"/>
  <c r="D6" i="6"/>
  <c r="D9" i="6"/>
  <c r="D10" i="6"/>
  <c r="D29" i="6"/>
  <c r="H25" i="6"/>
  <c r="H22" i="6"/>
  <c r="D19" i="6"/>
  <c r="C18" i="4"/>
  <c r="D23" i="6"/>
  <c r="D5" i="6"/>
  <c r="D12" i="6"/>
  <c r="D11" i="6"/>
  <c r="D13" i="6"/>
  <c r="D28" i="6"/>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8"/>
  <c r="C17" i="15"/>
  <c r="C34" i="69"/>
  <c r="D10" i="69"/>
  <c r="C17" i="67"/>
  <c r="C14" i="67"/>
  <c r="C38" i="43" l="1"/>
  <c r="E38" i="43" s="1"/>
  <c r="C41" i="43"/>
  <c r="G41" i="43" s="1"/>
  <c r="I41" i="43" s="1"/>
  <c r="C39" i="43"/>
  <c r="T3" i="43"/>
  <c r="V3" i="43" s="1"/>
  <c r="T9" i="43"/>
  <c r="V9" i="43" s="1"/>
  <c r="C40" i="43"/>
  <c r="T10" i="43"/>
  <c r="V10" i="43" s="1"/>
  <c r="T15" i="43"/>
  <c r="V15" i="43" s="1"/>
  <c r="T6" i="43"/>
  <c r="V6" i="43" s="1"/>
  <c r="T4" i="43"/>
  <c r="V4" i="43" s="1"/>
  <c r="C37" i="43"/>
  <c r="G37" i="43" s="1"/>
  <c r="I37" i="43" s="1"/>
  <c r="T8" i="43"/>
  <c r="V8" i="43" s="1"/>
  <c r="T13" i="43"/>
  <c r="V13" i="43" s="1"/>
  <c r="T5" i="43"/>
  <c r="V5" i="43" s="1"/>
  <c r="T14" i="43"/>
  <c r="V14" i="43" s="1"/>
  <c r="T16" i="43"/>
  <c r="V16" i="43" s="1"/>
  <c r="T11" i="43"/>
  <c r="V11" i="43" s="1"/>
  <c r="C33" i="43"/>
  <c r="T12" i="43"/>
  <c r="V12" i="43" s="1"/>
  <c r="C42" i="43"/>
  <c r="T2" i="43"/>
  <c r="V2" i="43" s="1"/>
  <c r="H24" i="6"/>
  <c r="D30" i="6"/>
  <c r="E41" i="43"/>
  <c r="B2" i="82"/>
  <c r="B3" i="82"/>
  <c r="H21" i="6"/>
  <c r="G38" i="43"/>
  <c r="I38" i="43" s="1"/>
  <c r="C25" i="11"/>
  <c r="C22" i="11" s="1"/>
  <c r="C31" i="11" s="1"/>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33" i="43" l="1"/>
  <c r="C6" i="69"/>
  <c r="E37" i="43"/>
  <c r="C34" i="43"/>
  <c r="E34" i="43" s="1"/>
  <c r="E42" i="43"/>
  <c r="G42" i="43"/>
  <c r="I42" i="43" s="1"/>
  <c r="C7" i="69"/>
  <c r="G39" i="43"/>
  <c r="I39" i="43" s="1"/>
  <c r="E39" i="43"/>
  <c r="E40" i="43"/>
  <c r="G40" i="43"/>
  <c r="I40" i="43" s="1"/>
  <c r="C11" i="71"/>
  <c r="T12" i="71"/>
  <c r="D12" i="71"/>
  <c r="U12"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C30" i="43" l="1"/>
  <c r="B2" i="43" s="1"/>
  <c r="C31" i="43"/>
  <c r="C5" i="69"/>
  <c r="C23" i="69" s="1"/>
  <c r="C10" i="71"/>
  <c r="D11" i="71"/>
  <c r="F7" i="21"/>
  <c r="S7" i="21" s="1"/>
  <c r="J7" i="2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J69" i="39"/>
  <c r="K67" i="39"/>
  <c r="U7" i="21"/>
  <c r="AB7" i="21"/>
  <c r="T48" i="21" s="1"/>
  <c r="G48" i="21" s="1"/>
  <c r="J63" i="40"/>
  <c r="I65" i="40"/>
  <c r="K48" i="35"/>
  <c r="L48" i="35" s="1"/>
  <c r="M48" i="35" s="1"/>
  <c r="N48" i="35" s="1"/>
  <c r="O48" i="35" s="1"/>
  <c r="H7" i="35" s="1"/>
  <c r="AC7" i="21"/>
  <c r="V48" i="21" s="1"/>
  <c r="I48" i="21" s="1"/>
  <c r="W7" i="21"/>
  <c r="B6" i="76"/>
  <c r="E6" i="76"/>
  <c r="C20" i="69" l="1"/>
  <c r="C28" i="69" s="1"/>
  <c r="C27" i="69" s="1"/>
  <c r="E2" i="76"/>
  <c r="B2" i="76"/>
  <c r="B3" i="43"/>
  <c r="AA7" i="21"/>
  <c r="R48" i="21" s="1"/>
  <c r="D10" i="71"/>
  <c r="C9" i="7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M21" i="67"/>
  <c r="F35" i="15"/>
  <c r="F35" i="67"/>
  <c r="M21" i="15"/>
  <c r="B3" i="76" l="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7" i="71" l="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6" i="71" l="1"/>
  <c r="D7"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6" i="71" l="1"/>
  <c r="C5" i="71"/>
  <c r="D5" i="71" s="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4"/>
  <c r="D19" i="9"/>
  <c r="D2" i="37"/>
  <c r="L51" i="15"/>
  <c r="D2" i="35"/>
  <c r="D2" i="36"/>
  <c r="C19" i="9"/>
  <c r="C102" i="9" l="1"/>
  <c r="C21" i="9"/>
  <c r="B3" i="33"/>
  <c r="D22" i="9"/>
  <c r="D102" i="9"/>
  <c r="G19" i="9"/>
  <c r="G21" i="9" s="1"/>
  <c r="D21" i="9"/>
  <c r="M24" i="43"/>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2" i="1"/>
  <c r="AO7" i="1"/>
  <c r="C20" i="9"/>
  <c r="D20" i="9"/>
  <c r="AO9" i="1"/>
  <c r="AO11" i="1"/>
  <c r="D34" i="9"/>
  <c r="AO8" i="1"/>
  <c r="AO6" i="1"/>
  <c r="AO10" i="1"/>
  <c r="D35" i="9"/>
  <c r="C103" i="9" l="1"/>
  <c r="D103" i="9"/>
  <c r="G20" i="9"/>
  <c r="R24" i="31"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T24" i="31" l="1"/>
  <c r="G19" i="81" s="1"/>
  <c r="F19" i="81"/>
  <c r="S24" i="31"/>
  <c r="R28" i="31"/>
  <c r="R27" i="31"/>
  <c r="R26" i="31"/>
  <c r="R25" i="31"/>
  <c r="C32" i="9"/>
  <c r="C35" i="9" s="1"/>
  <c r="C34" i="9" s="1"/>
  <c r="E14" i="74"/>
  <c r="D14" i="74"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T28" i="31" l="1"/>
  <c r="G23" i="81" s="1"/>
  <c r="F23" i="81"/>
  <c r="T26" i="31"/>
  <c r="F21" i="81"/>
  <c r="T25" i="31"/>
  <c r="G20" i="81" s="1"/>
  <c r="F20" i="81"/>
  <c r="T27" i="31"/>
  <c r="G22" i="81" s="1"/>
  <c r="F22" i="81"/>
  <c r="S26" i="31"/>
  <c r="S27" i="31"/>
  <c r="S28" i="31"/>
  <c r="S25" i="31"/>
  <c r="C42" i="40"/>
  <c r="C43" i="40"/>
  <c r="E47" i="40"/>
  <c r="F47" i="40" s="1"/>
  <c r="E46" i="40"/>
  <c r="F46" i="40" s="1"/>
  <c r="I47" i="40"/>
  <c r="J47" i="40" s="1"/>
  <c r="T29" i="31" l="1"/>
  <c r="G21" i="81"/>
  <c r="S22" i="31"/>
  <c r="R22" i="31" s="1"/>
  <c r="B58" i="40"/>
  <c r="F58" i="40" s="1"/>
  <c r="B54" i="40"/>
  <c r="F54" i="40" s="1"/>
  <c r="B53" i="40"/>
  <c r="F53" i="40" s="1"/>
  <c r="B59" i="40"/>
  <c r="F59" i="40" s="1"/>
  <c r="B52" i="40"/>
  <c r="F52" i="40" s="1"/>
  <c r="B56" i="40"/>
  <c r="F56" i="40" s="1"/>
  <c r="B60" i="40"/>
  <c r="F60" i="40" s="1"/>
  <c r="B57" i="40"/>
  <c r="F57" i="40" s="1"/>
  <c r="B51" i="40"/>
  <c r="F51" i="40" s="1"/>
  <c r="F61" i="40"/>
  <c r="B2" i="40" s="1"/>
  <c r="B3" i="40" s="1"/>
  <c r="B20" i="31" l="1"/>
  <c r="B21" i="31" s="1"/>
  <c r="G118" i="9"/>
  <c r="G4" i="52" s="1"/>
  <c r="B52" i="72" s="1"/>
  <c r="I118" i="9"/>
  <c r="C105" i="9" l="1"/>
  <c r="I4" i="52"/>
  <c r="H118" i="9"/>
  <c r="G14" i="74" s="1"/>
  <c r="B6" i="74" s="1"/>
  <c r="D6" i="74" s="1"/>
  <c r="H102" i="9"/>
  <c r="E118" i="9"/>
  <c r="F118" i="9"/>
  <c r="F14" i="74" l="1"/>
  <c r="B5" i="74"/>
  <c r="D5" i="74" s="1"/>
  <c r="D118" i="9"/>
  <c r="E4" i="52"/>
  <c r="B48" i="72" s="1"/>
  <c r="H4" i="52"/>
  <c r="H119" i="9"/>
  <c r="H5" i="52" s="1"/>
  <c r="C104" i="9"/>
  <c r="H101" i="9"/>
  <c r="F4" i="52"/>
  <c r="B51" i="72" s="1"/>
  <c r="F119" i="9"/>
  <c r="F5" i="52" s="1"/>
  <c r="B53" i="72" s="1"/>
  <c r="D7" i="53"/>
  <c r="B21" i="72" s="1"/>
  <c r="C5" i="74" l="1"/>
  <c r="D5" i="53"/>
  <c r="M48" i="9"/>
  <c r="H107" i="9"/>
  <c r="D45" i="9"/>
  <c r="D119" i="9"/>
  <c r="D5" i="52" s="1"/>
  <c r="B49" i="72" s="1"/>
  <c r="D4" i="52"/>
  <c r="B47" i="72" s="1"/>
  <c r="D122" i="9" l="1"/>
  <c r="H108" i="9"/>
  <c r="M49" i="9"/>
  <c r="D13" i="53"/>
  <c r="B20" i="72"/>
  <c r="D6" i="53"/>
  <c r="B22" i="72" s="1"/>
  <c r="D53" i="9"/>
  <c r="C78" i="9"/>
  <c r="C73" i="9" s="1"/>
  <c r="C93" i="9"/>
  <c r="C86" i="9" s="1"/>
  <c r="C64" i="9"/>
  <c r="C63" i="9" s="1"/>
  <c r="C67" i="9" s="1"/>
  <c r="D52" i="9"/>
  <c r="D55" i="9"/>
  <c r="M53" i="9" s="1"/>
  <c r="C72" i="9"/>
  <c r="C85" i="9"/>
  <c r="C95" i="9" l="1"/>
  <c r="C96" i="9" s="1"/>
  <c r="E96" i="9" s="1"/>
  <c r="E97" i="9" s="1"/>
  <c r="D14" i="53"/>
  <c r="B32" i="72" s="1"/>
  <c r="B30" i="72"/>
  <c r="C6" i="74"/>
  <c r="D15" i="53"/>
  <c r="B31" i="72" s="1"/>
  <c r="C68" i="9"/>
  <c r="D54" i="9" s="1"/>
  <c r="D59" i="9"/>
  <c r="M55" i="9" s="1"/>
  <c r="C79" i="9"/>
  <c r="L65" i="9"/>
  <c r="M65" i="9" s="1"/>
  <c r="L68" i="9"/>
  <c r="M68" i="9" s="1"/>
  <c r="L67" i="9"/>
  <c r="M67" i="9" s="1"/>
  <c r="L66" i="9"/>
  <c r="M66" i="9" s="1"/>
  <c r="L64" i="9"/>
  <c r="M64" i="9" s="1"/>
  <c r="L63" i="9"/>
  <c r="M63" i="9" s="1"/>
  <c r="D8" i="52"/>
  <c r="D123" i="9"/>
  <c r="D9" i="52" s="1"/>
  <c r="C97" i="9" l="1"/>
  <c r="D58" i="9" s="1"/>
  <c r="D56" i="9" s="1"/>
  <c r="M54" i="9" s="1"/>
  <c r="N57" i="9" s="1"/>
  <c r="N58" i="9" s="1"/>
  <c r="M69" i="9"/>
  <c r="N69" i="9" s="1"/>
  <c r="C80" i="9"/>
  <c r="E80" i="9" s="1"/>
  <c r="E81" i="9" s="1"/>
  <c r="P57" i="9" l="1"/>
  <c r="N59" i="9"/>
  <c r="N61" i="9" s="1"/>
  <c r="C81"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<sst xmlns="http://schemas.openxmlformats.org/spreadsheetml/2006/main" count="8275" uniqueCount="3474">
  <si>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</si>
  <si>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</si>
  <si>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</si>
  <si>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</si>
  <si>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</si>
  <si>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</si>
  <si>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</si>
  <si>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</si>
  <si>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</si>
  <si>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</si>
  <si>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</si>
  <si>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</si>
  <si>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</si>
  <si>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</si>
  <si>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</si>
  <si>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</si>
  <si>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</si>
  <si>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</si>
  <si>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</si>
  <si>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</si>
  <si>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</si>
  <si>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</si>
  <si>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</si>
  <si>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</si>
  <si>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</si>
  <si>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</si>
  <si>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</si>
  <si>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</si>
  <si>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</si>
  <si>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</si>
  <si>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</si>
  <si>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</si>
  <si>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</si>
  <si>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</si>
  <si>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</si>
  <si>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</si>
  <si>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</si>
  <si>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</si>
  <si>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</si>
  <si>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</si>
  <si>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</si>
  <si>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</si>
  <si>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</si>
  <si>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</si>
  <si>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</si>
  <si>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</si>
  <si>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</si>
  <si>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</si>
  <si>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</si>
  <si>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</si>
  <si>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</si>
  <si>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</si>
  <si>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</si>
  <si>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</si>
  <si>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</si>
  <si>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</si>
  <si>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</si>
  <si>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</si>
  <si>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</si>
  <si>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</si>
  <si>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</si>
  <si>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</si>
  <si>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</si>
  <si>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</si>
  <si>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</si>
  <si>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</si>
  <si>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</si>
  <si>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</si>
  <si>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</si>
  <si>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</si>
  <si>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</si>
  <si>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</si>
  <si>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</si>
  <si>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</si>
  <si>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</si>
  <si>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</si>
  <si>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</si>
  <si>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</si>
  <si>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</si>
  <si>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</si>
  <si>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</si>
  <si>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</si>
  <si>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</si>
  <si>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</si>
  <si>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</si>
  <si>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</si>
  <si>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</si>
  <si>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</si>
  <si>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</si>
  <si>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</si>
  <si>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</si>
  <si>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</si>
  <si>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</si>
  <si>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</si>
  <si>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</si>
  <si>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</si>
  <si>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</si>
  <si>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</si>
  <si>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</si>
  <si>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</si>
  <si>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</si>
  <si>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</si>
  <si>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</si>
  <si>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</si>
  <si>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</si>
  <si>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</si>
  <si>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</si>
  <si>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</si>
  <si>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</si>
  <si>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</si>
  <si>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</si>
  <si>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</si>
  <si>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</si>
  <si>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</si>
  <si>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</si>
  <si>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</si>
  <si>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</si>
  <si>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</si>
  <si>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</si>
  <si>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</si>
  <si>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</si>
  <si>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</si>
  <si>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</si>
  <si>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</si>
  <si>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</si>
  <si>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</si>
  <si>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</si>
  <si>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</si>
  <si>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</si>
  <si>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</si>
  <si>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</si>
  <si>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</si>
  <si>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</si>
  <si>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</si>
  <si>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</si>
  <si>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</si>
  <si>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</si>
  <si>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</si>
  <si>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</si>
  <si>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</si>
  <si>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</si>
  <si>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</si>
  <si>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</si>
  <si>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</si>
  <si>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</si>
  <si>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</si>
  <si>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</si>
  <si>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</si>
  <si>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</si>
  <si>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</si>
  <si>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</si>
  <si>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</si>
  <si>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</si>
  <si>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</si>
  <si>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</si>
  <si>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</si>
  <si>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</si>
  <si>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</si>
  <si>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</si>
  <si>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</si>
  <si>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</si>
  <si>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</si>
  <si>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</si>
  <si>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</si>
  <si>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</si>
  <si>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</si>
  <si>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</si>
  <si>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</si>
  <si>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</si>
  <si>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</si>
  <si>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</si>
  <si>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</si>
  <si>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</si>
  <si>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</si>
  <si>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</si>
  <si>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</si>
  <si>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</si>
  <si>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</si>
  <si>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</si>
  <si>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</si>
  <si>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</si>
  <si>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</si>
  <si>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</si>
  <si>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</si>
  <si>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</si>
  <si>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</si>
  <si>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</si>
  <si>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</si>
  <si>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</si>
  <si>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</si>
  <si>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</si>
  <si>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</si>
  <si>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</si>
  <si>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</si>
  <si>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</si>
  <si>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</si>
  <si>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</si>
  <si>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</si>
  <si>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</si>
  <si>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</si>
  <si>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</si>
  <si>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</si>
  <si>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</si>
  <si>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</si>
  <si>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</si>
  <si>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</si>
  <si>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</si>
  <si>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</si>
  <si>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</si>
  <si>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</si>
  <si>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</si>
  <si>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</si>
  <si>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</si>
  <si>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</si>
  <si>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</si>
  <si>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</si>
  <si>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</si>
  <si>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</si>
  <si>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</si>
  <si>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</si>
  <si>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</si>
  <si>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</si>
  <si>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</si>
  <si>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</si>
  <si>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</si>
  <si>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</si>
  <si>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</si>
  <si>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</si>
  <si>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</si>
  <si>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</si>
  <si>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</si>
  <si>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</si>
  <si>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</si>
  <si>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</si>
  <si>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</si>
  <si>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</si>
  <si>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</si>
  <si>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</si>
  <si>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</si>
  <si>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</si>
  <si>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</si>
  <si>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</si>
  <si>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</si>
  <si>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</si>
  <si>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</si>
  <si>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</si>
  <si>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</si>
  <si>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</si>
  <si>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</si>
  <si>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</si>
  <si>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</si>
  <si>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</si>
  <si>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</si>
  <si>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</si>
  <si>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</si>
  <si>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</si>
  <si>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</si>
  <si>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</si>
  <si>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</si>
  <si>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</si>
  <si>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</si>
  <si>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</si>
  <si>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</si>
  <si>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</si>
  <si>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</si>
  <si>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</si>
  <si>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</si>
  <si>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</si>
  <si>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</si>
  <si>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</si>
  <si>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</si>
  <si>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</si>
  <si>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</si>
  <si>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</si>
  <si>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</si>
  <si>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</si>
  <si>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</si>
  <si>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</si>
  <si>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</si>
  <si>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</si>
  <si>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</si>
  <si>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</si>
  <si>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</si>
  <si>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</si>
  <si>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</si>
  <si>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</si>
  <si>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</si>
  <si>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</si>
  <si>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</si>
  <si>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</si>
  <si>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</si>
  <si>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</si>
  <si>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</si>
  <si>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</si>
  <si>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</si>
  <si>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</si>
  <si>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</si>
  <si>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</si>
  <si>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</si>
  <si>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</si>
  <si>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</si>
  <si>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</si>
  <si>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</si>
  <si>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</si>
  <si>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</si>
  <si>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</si>
  <si>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</si>
  <si>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</si>
  <si>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</si>
  <si>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</si>
  <si>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</si>
  <si>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</si>
  <si>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</si>
  <si>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</si>
  <si>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</si>
  <si>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</si>
  <si>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</si>
  <si>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</si>
  <si>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</si>
  <si>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</si>
  <si>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</si>
  <si>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</si>
  <si>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</si>
  <si>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</si>
  <si>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</si>
  <si>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</si>
  <si>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</si>
  <si>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</si>
  <si>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</si>
  <si>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</si>
  <si>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</si>
  <si>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</si>
  <si>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</si>
  <si>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</si>
  <si>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</si>
  <si>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</si>
  <si>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</si>
  <si>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</si>
  <si>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</si>
  <si>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</si>
  <si>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</si>
  <si>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</si>
  <si>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</si>
  <si>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</si>
  <si>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</si>
  <si>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</si>
  <si>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</si>
  <si>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</si>
  <si>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</si>
  <si>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</si>
  <si>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</si>
  <si>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</si>
  <si>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</si>
  <si>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</si>
  <si>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</si>
  <si>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</si>
  <si>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</si>
  <si>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</si>
  <si>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</si>
  <si>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</si>
  <si>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</si>
  <si>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</si>
  <si>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</si>
  <si>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</si>
  <si>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</si>
  <si>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</si>
  <si>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</si>
  <si>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</si>
  <si>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</si>
  <si>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</si>
  <si>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</si>
  <si>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</si>
  <si>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</si>
  <si>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</si>
  <si>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</si>
  <si>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</si>
  <si>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</si>
  <si>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</si>
  <si>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</si>
  <si>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</si>
  <si>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</si>
  <si>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</si>
  <si>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</si>
  <si>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</si>
  <si>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</si>
  <si>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</si>
  <si>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</si>
  <si>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</si>
  <si>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</si>
  <si>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</si>
  <si>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</si>
  <si>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</si>
  <si>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</si>
  <si>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</si>
  <si>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</si>
  <si>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</si>
  <si>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</si>
  <si>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</si>
  <si>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</si>
  <si>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</si>
  <si>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</si>
  <si>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</si>
  <si>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</si>
  <si>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</si>
  <si>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</si>
  <si>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</si>
  <si>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</si>
  <si>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</si>
  <si>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</si>
  <si>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</si>
  <si>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</si>
  <si>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</si>
  <si>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</si>
  <si>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</si>
  <si>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</si>
  <si>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</si>
  <si>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</si>
  <si>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</si>
  <si>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</si>
  <si>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</si>
  <si>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</si>
  <si>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</si>
  <si>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</si>
  <si>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</si>
  <si>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</si>
  <si>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</si>
  <si>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</si>
  <si>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</si>
  <si>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</si>
  <si>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</si>
  <si>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</si>
  <si>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</si>
  <si>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</si>
  <si>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</si>
  <si>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</si>
  <si>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</si>
  <si>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</si>
  <si>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</si>
  <si>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</si>
  <si>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</si>
  <si>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</si>
  <si>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</si>
  <si>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</si>
  <si>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</si>
  <si>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</si>
  <si>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</si>
  <si>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</si>
  <si>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</si>
  <si>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</si>
  <si>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</si>
  <si>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</si>
  <si>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</si>
  <si>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</si>
  <si>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</si>
  <si>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</si>
  <si>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</si>
  <si>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</si>
  <si>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</si>
  <si>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</si>
  <si>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</si>
  <si>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</si>
  <si>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</si>
  <si>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</si>
  <si>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</si>
  <si>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</si>
  <si>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</si>
  <si>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</si>
  <si>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</si>
  <si>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</si>
  <si>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</si>
  <si>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</si>
  <si>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</si>
  <si>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</si>
  <si>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</si>
  <si>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</si>
  <si>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</si>
  <si>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</si>
  <si>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</si>
  <si>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</si>
  <si>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</si>
  <si>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</si>
  <si>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</si>
  <si>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</si>
  <si>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</si>
  <si>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</si>
  <si>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</si>
  <si>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</si>
  <si>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</si>
  <si>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</si>
  <si>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</si>
  <si>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</si>
  <si>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</si>
  <si>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</si>
  <si>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</si>
  <si>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</si>
  <si>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</si>
  <si>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</si>
  <si>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</si>
  <si>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</si>
  <si>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</si>
  <si>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</si>
  <si>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</si>
  <si>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</si>
  <si>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</si>
  <si>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</si>
  <si>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</si>
  <si>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</si>
  <si>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</si>
  <si>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</si>
  <si>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</si>
  <si>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</si>
  <si>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</si>
  <si>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</si>
  <si>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</si>
  <si>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</si>
  <si>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</si>
  <si>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</si>
  <si>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</si>
  <si>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</si>
  <si>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</si>
  <si>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</si>
  <si>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</si>
  <si>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</si>
  <si>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</si>
  <si>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</si>
  <si>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</si>
  <si>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</si>
  <si>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</si>
  <si>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</si>
  <si>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</si>
  <si>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</si>
  <si>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</si>
  <si>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</si>
  <si>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</si>
  <si>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</si>
  <si>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</si>
  <si>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</si>
  <si>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</si>
  <si>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</si>
  <si>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</si>
  <si>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</si>
  <si>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</si>
  <si>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</si>
  <si>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</si>
  <si>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</si>
  <si>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</si>
  <si>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</si>
  <si>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</si>
  <si>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</si>
  <si>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</si>
  <si>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</si>
  <si>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</si>
  <si>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</si>
  <si>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</si>
  <si>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</si>
  <si>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</si>
  <si>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</si>
  <si>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</si>
  <si>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</si>
  <si>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</si>
  <si>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</si>
  <si>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</si>
  <si>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</si>
  <si>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</si>
  <si>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</si>
  <si>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</si>
  <si>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</si>
  <si>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</si>
  <si>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</si>
  <si>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</si>
  <si>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</si>
  <si>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</si>
  <si>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</si>
  <si>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</si>
  <si>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</si>
  <si>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</si>
  <si>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</si>
  <si>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</si>
  <si>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</si>
  <si>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</si>
  <si>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</si>
  <si>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</si>
  <si>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</si>
  <si>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</si>
  <si>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</si>
  <si>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</si>
  <si>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</si>
  <si>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</si>
  <si>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</si>
  <si>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</si>
  <si>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</si>
  <si>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</si>
  <si>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</si>
  <si>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</si>
  <si>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</si>
  <si>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</si>
  <si>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</si>
  <si>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</si>
  <si>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</si>
  <si>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</si>
  <si>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</si>
  <si>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</si>
  <si>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</si>
  <si>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</si>
  <si>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</si>
  <si>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</si>
  <si>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</si>
  <si>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</si>
  <si>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</si>
  <si>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</si>
  <si>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</si>
  <si>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</si>
  <si>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</si>
  <si>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</si>
  <si>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</si>
  <si>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</si>
  <si>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</si>
  <si>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</si>
  <si>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</si>
  <si>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</si>
  <si>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</si>
  <si>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</si>
  <si>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</si>
  <si>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</si>
  <si>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</si>
  <si>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</si>
  <si>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</si>
  <si>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</si>
  <si>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</si>
  <si>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</si>
  <si>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</si>
  <si>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</si>
  <si>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</si>
  <si>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</si>
  <si>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</si>
  <si>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</si>
  <si>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</si>
  <si>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</si>
  <si>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</si>
  <si>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</si>
  <si>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</si>
  <si>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</si>
  <si>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</si>
  <si>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</si>
  <si>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</si>
  <si>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</si>
  <si>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</si>
  <si>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</si>
  <si>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</si>
  <si>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</si>
  <si>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</si>
  <si>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</si>
  <si>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</si>
  <si>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</si>
  <si>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</si>
  <si>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</si>
  <si>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</si>
  <si>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</si>
  <si>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</si>
  <si>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</si>
  <si>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</si>
  <si>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</si>
  <si>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</si>
  <si>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</si>
  <si>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</si>
  <si>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</si>
  <si>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</si>
  <si>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</si>
  <si>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</si>
  <si>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</si>
  <si>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</si>
  <si>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</si>
  <si>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</si>
  <si>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</si>
  <si>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</si>
  <si>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</si>
  <si>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</si>
  <si>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</si>
  <si>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</si>
  <si>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</si>
  <si>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</si>
  <si>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</si>
  <si>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</si>
  <si>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</si>
  <si>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</si>
  <si>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</si>
  <si>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</si>
  <si>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</si>
  <si>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</si>
  <si>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</si>
  <si>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</si>
  <si>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</si>
  <si>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</si>
  <si>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</si>
  <si>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</si>
  <si>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</si>
  <si>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</si>
  <si>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</si>
  <si>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</si>
  <si>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</si>
  <si>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</si>
  <si>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</si>
  <si>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</si>
  <si>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</si>
  <si>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</si>
  <si>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</si>
  <si>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</si>
  <si>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</si>
  <si>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</si>
  <si>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</si>
  <si>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</si>
  <si>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</si>
  <si>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</si>
  <si>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</si>
  <si>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</si>
  <si>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</si>
  <si>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</si>
  <si>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</si>
  <si>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</si>
  <si>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</si>
  <si>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</si>
  <si>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</si>
  <si>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</si>
  <si>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</si>
  <si>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</si>
  <si>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</si>
  <si>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</si>
  <si>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</si>
  <si>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</si>
  <si>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</si>
  <si>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</si>
  <si>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</si>
  <si>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</si>
  <si>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</si>
  <si>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</si>
  <si>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</si>
  <si>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</si>
  <si>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</si>
  <si>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</si>
  <si>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</si>
  <si>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</si>
  <si>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</si>
  <si>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</si>
  <si>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</si>
  <si>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</si>
  <si>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</si>
  <si>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</si>
  <si>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</si>
  <si>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</si>
  <si>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</si>
  <si>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</si>
  <si>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</si>
  <si>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</si>
  <si>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</si>
  <si>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</si>
  <si>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</si>
  <si>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</si>
  <si>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</si>
  <si>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</si>
  <si>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</si>
  <si>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</si>
  <si>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</si>
  <si>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</si>
  <si>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</si>
  <si>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</si>
  <si>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</si>
  <si>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</si>
  <si>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</si>
  <si>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</si>
  <si>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</si>
  <si>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</si>
  <si>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</si>
  <si>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</si>
  <si>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</si>
  <si>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</si>
  <si>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</si>
  <si>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</si>
  <si>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</si>
  <si>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</si>
  <si>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</si>
  <si>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</si>
  <si>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</si>
  <si>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</si>
  <si>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</si>
  <si>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</si>
  <si>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</si>
  <si>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</si>
  <si>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</si>
  <si>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</si>
  <si>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</si>
  <si>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</si>
  <si>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</si>
  <si>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</si>
  <si>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</si>
  <si>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</si>
  <si>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</si>
  <si>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</si>
  <si>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</si>
  <si>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</si>
  <si>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</si>
  <si>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</si>
  <si>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</si>
  <si>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</si>
  <si>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</si>
  <si>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</si>
  <si>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</si>
  <si>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</si>
  <si>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</si>
  <si>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</si>
  <si>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</si>
  <si>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</si>
  <si>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</si>
  <si>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</si>
  <si>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</si>
  <si>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</si>
  <si>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</si>
  <si>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</si>
  <si>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</si>
  <si>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</si>
  <si>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</si>
  <si>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</si>
  <si>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</si>
  <si>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</si>
  <si>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</si>
  <si>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</si>
  <si>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</si>
  <si>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</si>
  <si>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</si>
  <si>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</si>
  <si>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</si>
  <si>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</si>
  <si>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</si>
  <si>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</si>
  <si>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</si>
  <si>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</si>
  <si>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</si>
  <si>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</si>
  <si>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</si>
  <si>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</si>
  <si>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</si>
  <si>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</si>
  <si>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</si>
  <si>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</si>
  <si>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</si>
  <si>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</si>
  <si>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</si>
  <si>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</si>
  <si>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</si>
  <si>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</si>
  <si>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</si>
  <si>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</si>
  <si>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</si>
  <si>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</si>
  <si>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</si>
  <si>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</si>
  <si>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</si>
  <si>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</si>
  <si>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</si>
  <si>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</si>
  <si>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</si>
  <si>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</si>
  <si>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</si>
  <si>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</si>
  <si>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</si>
  <si>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</si>
  <si>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</si>
  <si>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</si>
  <si>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</si>
  <si>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</si>
  <si>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</si>
  <si>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</si>
  <si>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</si>
  <si>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</si>
  <si>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</si>
  <si>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</si>
  <si>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</si>
  <si>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</si>
  <si>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</si>
  <si>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</si>
  <si>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</si>
  <si>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</si>
  <si>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</si>
  <si>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</si>
  <si>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</si>
  <si>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</si>
  <si>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</si>
  <si>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</si>
  <si>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</si>
  <si>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</si>
  <si>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</si>
  <si>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</si>
  <si>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</si>
  <si>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</si>
  <si>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</si>
  <si>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</si>
  <si>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</si>
  <si>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</si>
  <si>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</si>
  <si>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</si>
  <si>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</si>
  <si>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</si>
  <si>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</si>
  <si>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</si>
  <si>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</si>
  <si>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</si>
  <si>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</si>
  <si>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</si>
  <si>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</si>
  <si>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</si>
  <si>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</si>
  <si>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</si>
  <si>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</si>
  <si>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</si>
  <si>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</si>
  <si>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</si>
  <si>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</si>
  <si>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</si>
  <si>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</si>
  <si>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</si>
  <si>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</si>
  <si>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</si>
  <si>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</si>
  <si>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</si>
  <si>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</si>
  <si>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</si>
  <si>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</si>
  <si>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</si>
  <si>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</si>
  <si>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</si>
  <si>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</si>
  <si>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</si>
  <si>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</si>
  <si>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</si>
  <si>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</si>
  <si>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</si>
  <si>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</si>
  <si>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</si>
  <si>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</si>
  <si>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</si>
  <si>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</si>
  <si>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</si>
  <si>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</si>
  <si>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</si>
  <si>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</si>
  <si>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</si>
  <si>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</si>
  <si>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</si>
  <si>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</si>
  <si>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</si>
  <si>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</si>
  <si>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</si>
  <si>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</si>
  <si>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</si>
  <si>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</si>
  <si>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</si>
  <si>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</si>
  <si>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</si>
  <si>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</si>
  <si>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</si>
  <si>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</si>
  <si>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</si>
  <si>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</si>
  <si>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</si>
  <si>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</si>
  <si>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</si>
  <si>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</si>
  <si>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</si>
  <si>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</si>
  <si>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</si>
  <si>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</si>
  <si>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</si>
  <si>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</si>
  <si>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</si>
  <si>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</si>
  <si>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</si>
  <si>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</si>
  <si>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</si>
  <si>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</si>
  <si>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</si>
  <si>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</si>
  <si>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</si>
  <si>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</si>
  <si>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</si>
  <si>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</si>
  <si>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</si>
  <si>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</si>
  <si>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</si>
  <si>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</si>
  <si>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</si>
  <si>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</si>
  <si>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</si>
  <si>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</si>
  <si>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</si>
  <si>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</si>
  <si>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</si>
  <si>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</si>
  <si>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</si>
  <si>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</si>
  <si>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</si>
  <si>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</si>
  <si>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</si>
  <si>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</si>
  <si>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</si>
  <si>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</si>
  <si>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</si>
  <si>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</si>
  <si>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</si>
  <si>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</si>
  <si>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</si>
  <si>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</si>
  <si>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</si>
  <si>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</si>
  <si>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</si>
  <si>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</si>
  <si>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</si>
  <si>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</si>
  <si>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</si>
  <si>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</si>
  <si>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</si>
  <si>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</si>
  <si>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</si>
  <si>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</si>
  <si>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</si>
  <si>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</si>
  <si>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</si>
  <si>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</si>
  <si>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</si>
  <si>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</si>
  <si>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</si>
  <si>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</si>
  <si>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</si>
  <si>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</si>
  <si>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</si>
  <si>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</si>
  <si>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</si>
  <si>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</si>
  <si>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</si>
  <si>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</si>
  <si>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</si>
  <si>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</si>
  <si>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</si>
  <si>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</si>
  <si>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</si>
  <si>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</si>
  <si>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</si>
  <si>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</si>
  <si>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</si>
  <si>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</si>
  <si>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</si>
  <si>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</si>
  <si>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</si>
  <si>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</si>
  <si>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</si>
  <si>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</si>
  <si>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</si>
  <si>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</si>
  <si>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</si>
  <si>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</si>
  <si>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</si>
  <si>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</si>
  <si>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</si>
  <si>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</si>
  <si>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</si>
  <si>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</si>
  <si>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</si>
  <si>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</si>
  <si>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</si>
  <si>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</si>
  <si>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</si>
  <si>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</si>
  <si>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</si>
  <si>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</si>
  <si>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</si>
  <si>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</si>
  <si>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</si>
  <si>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</si>
  <si>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</si>
  <si>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</si>
  <si>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</si>
  <si>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</si>
  <si>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</si>
  <si>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</si>
  <si>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</si>
  <si>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</si>
  <si>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</si>
  <si>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</si>
  <si>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</si>
  <si>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</si>
  <si>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</si>
  <si>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</si>
  <si>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</si>
  <si>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</si>
  <si>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</si>
  <si>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</si>
  <si>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</si>
  <si>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</si>
  <si>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</si>
  <si>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</si>
  <si>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</si>
  <si>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</si>
  <si>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</si>
  <si>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</si>
  <si>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</si>
  <si>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</si>
  <si>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</si>
  <si>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</si>
  <si>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</si>
  <si>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</si>
  <si>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</si>
  <si>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</si>
  <si>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</si>
  <si>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</si>
  <si>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</si>
  <si>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</si>
  <si>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</si>
  <si>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</si>
  <si>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</si>
  <si>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</si>
  <si>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</si>
  <si>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</si>
  <si>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</si>
  <si>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</si>
  <si>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</si>
  <si>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</si>
  <si>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</si>
  <si>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</si>
  <si>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</si>
  <si>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</si>
  <si>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</si>
  <si>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</si>
  <si>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</si>
  <si>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</si>
  <si>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</si>
  <si>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</si>
  <si>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</si>
  <si>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</si>
  <si>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</si>
  <si>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</si>
  <si>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</si>
  <si>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</si>
  <si>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</si>
  <si>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</si>
  <si>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</si>
  <si>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</si>
  <si>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</si>
  <si>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</si>
  <si>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</si>
  <si>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</si>
  <si>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</si>
  <si>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</si>
  <si>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</si>
  <si>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</si>
  <si>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</si>
  <si>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</si>
  <si>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</si>
  <si>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</si>
  <si>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</si>
  <si>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</si>
  <si>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</si>
  <si>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</si>
  <si>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</si>
  <si>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</si>
  <si>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</si>
  <si>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</si>
  <si>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</si>
  <si>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</si>
  <si>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</si>
  <si>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</si>
  <si>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</si>
  <si>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</si>
  <si>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</si>
  <si>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</si>
  <si>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</si>
  <si>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</si>
  <si>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</si>
  <si>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</si>
  <si>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</si>
  <si>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</si>
  <si>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</si>
  <si>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</si>
  <si>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</si>
  <si>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</si>
  <si>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</si>
  <si>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</si>
  <si>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</si>
  <si>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</si>
  <si>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</si>
  <si>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</si>
  <si>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</si>
  <si>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</si>
  <si>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</si>
  <si>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</si>
  <si>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</si>
  <si>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</si>
  <si>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</si>
  <si>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</si>
  <si>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</si>
  <si>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</si>
  <si>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</si>
  <si>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</si>
  <si>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</si>
  <si>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</si>
  <si>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</si>
  <si>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</si>
  <si>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</si>
  <si>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</si>
  <si>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</si>
  <si>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</si>
  <si>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</si>
  <si>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</si>
  <si>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</si>
  <si>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</si>
  <si>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</si>
  <si>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</si>
  <si>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</si>
  <si>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</si>
  <si>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</si>
  <si>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</si>
  <si>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</si>
  <si>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</si>
  <si>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</si>
  <si>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</si>
  <si>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</si>
  <si>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</si>
  <si>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</si>
  <si>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</si>
  <si>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</si>
  <si>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</si>
  <si>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</si>
  <si>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</si>
  <si>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</si>
  <si>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</si>
  <si>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</si>
  <si>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</si>
  <si>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</si>
  <si>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</si>
  <si>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</si>
  <si>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</si>
  <si>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</si>
  <si>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</si>
  <si>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</si>
  <si>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</si>
  <si>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</si>
  <si>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</si>
  <si>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</si>
  <si>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</si>
  <si>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</si>
  <si>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</si>
  <si>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</si>
  <si>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</si>
  <si>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</si>
  <si>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</si>
  <si>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</si>
  <si>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</si>
  <si>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</si>
  <si>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</si>
  <si>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</si>
  <si>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</si>
  <si>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</si>
  <si>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</si>
  <si>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</si>
  <si>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</si>
  <si>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</si>
  <si>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</si>
  <si>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</si>
  <si>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</si>
  <si>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</si>
  <si>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</si>
  <si>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</si>
  <si>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</si>
  <si>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</si>
  <si>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</si>
  <si>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</si>
  <si>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</si>
  <si>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</si>
  <si>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</si>
  <si>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</si>
  <si>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</si>
  <si>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</si>
  <si>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</si>
  <si>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</si>
  <si>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</si>
  <si>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</si>
  <si>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</si>
  <si>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</si>
  <si>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</si>
  <si>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</si>
  <si>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</si>
  <si>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</si>
  <si>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</si>
  <si>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</si>
  <si>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</si>
  <si>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</si>
  <si>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</si>
  <si>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</si>
  <si>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</si>
  <si>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</si>
  <si>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</si>
  <si>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</si>
  <si>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</si>
  <si>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</si>
  <si>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</si>
  <si>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</si>
  <si>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</si>
  <si>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</si>
  <si>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</si>
  <si>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</si>
  <si>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</si>
  <si>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</si>
  <si>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</si>
  <si>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</si>
  <si>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</si>
  <si>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</si>
  <si>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</si>
  <si>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</si>
  <si>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</si>
  <si>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</si>
  <si>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</si>
  <si>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</si>
  <si>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</si>
  <si>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</si>
  <si>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</si>
  <si>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</si>
  <si>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</si>
  <si>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</si>
  <si>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</si>
  <si>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</si>
  <si>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</si>
  <si>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</si>
  <si>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</si>
  <si>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</si>
  <si>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</si>
  <si>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</si>
  <si>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</si>
  <si>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</si>
  <si>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</si>
  <si>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</si>
  <si>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</si>
  <si>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</si>
  <si>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</si>
  <si>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</si>
  <si>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</si>
  <si>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</si>
  <si>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</si>
  <si>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</si>
  <si>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</si>
  <si>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</si>
  <si>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</si>
  <si>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</si>
  <si>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</si>
  <si>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</si>
  <si>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</si>
  <si>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</si>
  <si>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</si>
  <si>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</si>
  <si>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</si>
  <si>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</si>
  <si>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</si>
  <si>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</si>
  <si>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</si>
  <si>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</si>
  <si>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</si>
  <si>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</si>
  <si>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</si>
  <si>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</si>
  <si>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</si>
  <si>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</si>
  <si>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</si>
  <si>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</si>
  <si>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</si>
  <si>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</si>
  <si>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</si>
  <si>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</si>
  <si>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</si>
  <si>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</si>
  <si>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</si>
  <si>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</si>
  <si>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</si>
  <si>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</si>
  <si>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</si>
  <si>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</si>
  <si>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</si>
  <si>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</si>
  <si>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</si>
  <si>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</si>
  <si>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</si>
  <si>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</si>
  <si>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</si>
  <si>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</si>
  <si>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</si>
  <si>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</si>
  <si>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</si>
  <si>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</si>
  <si>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</si>
  <si>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</si>
  <si>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</si>
  <si>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</si>
  <si>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</si>
  <si>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</si>
  <si>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</si>
  <si>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</si>
  <si>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</si>
  <si>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</si>
  <si>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</si>
  <si>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</si>
  <si>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</si>
  <si>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</si>
  <si>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</si>
  <si>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</si>
  <si>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</si>
  <si>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</si>
  <si>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</si>
  <si>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</si>
  <si>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</si>
  <si>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</si>
  <si>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</si>
  <si>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</si>
  <si>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</si>
  <si>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</si>
  <si>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</si>
  <si>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</si>
  <si>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</si>
  <si>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</si>
  <si>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</si>
  <si>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</si>
  <si>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</si>
  <si>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</si>
  <si>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</si>
  <si>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</si>
  <si>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</si>
  <si>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</si>
  <si>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</si>
  <si>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</si>
  <si>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</si>
  <si>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</si>
  <si>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</si>
  <si>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</si>
  <si>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</si>
  <si>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</si>
  <si>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</si>
  <si>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</si>
  <si>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</si>
  <si>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</si>
  <si>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</si>
  <si>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</si>
  <si>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</si>
  <si>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</si>
  <si>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</si>
  <si>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</si>
  <si>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</si>
  <si>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</si>
  <si>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</si>
  <si>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</si>
  <si>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</si>
  <si>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</si>
  <si>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</si>
  <si>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</si>
  <si>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</si>
  <si>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</si>
  <si>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</si>
  <si>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</si>
  <si>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</si>
  <si>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</si>
  <si>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</si>
  <si>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</si>
  <si>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</si>
  <si>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</si>
  <si>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</si>
  <si>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</si>
  <si>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</si>
  <si>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</si>
  <si>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</si>
  <si>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</si>
  <si>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</si>
  <si>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</si>
  <si>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</si>
  <si>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</si>
  <si>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</si>
  <si>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</si>
  <si>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</si>
  <si>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</si>
  <si>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</si>
  <si>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</si>
  <si>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</si>
  <si>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</si>
  <si>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</si>
  <si>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</si>
  <si>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</si>
  <si>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</si>
  <si>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</si>
  <si>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</si>
  <si>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</si>
  <si>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</si>
  <si>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</si>
  <si>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</si>
  <si>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</si>
  <si>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</si>
  <si>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</si>
  <si>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</si>
  <si>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</si>
  <si>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</si>
  <si>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</si>
  <si>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</si>
  <si>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</si>
  <si>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</si>
  <si>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</si>
  <si>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</si>
  <si>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</si>
  <si>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</si>
  <si>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</si>
  <si>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</si>
  <si>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</si>
  <si>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</si>
  <si>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</si>
  <si>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</si>
  <si>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</si>
  <si>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</si>
  <si>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</si>
  <si>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</si>
  <si>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</si>
  <si>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</si>
  <si>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</si>
  <si>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</si>
  <si>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</si>
  <si>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</si>
  <si>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</si>
  <si>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</si>
  <si>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</si>
  <si>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</si>
  <si>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</si>
  <si>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</si>
  <si>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</si>
  <si>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</si>
  <si>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</si>
  <si>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</si>
  <si>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</si>
  <si>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</si>
  <si>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</si>
  <si>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</si>
  <si>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</si>
  <si>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</si>
  <si>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</si>
  <si>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</si>
  <si>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</si>
  <si>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</si>
  <si>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</si>
  <si>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</si>
  <si>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</si>
  <si>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</si>
  <si>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</si>
  <si>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</si>
  <si>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</si>
  <si>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</si>
  <si>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</si>
  <si>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</si>
  <si>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</si>
  <si>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</si>
  <si>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</si>
  <si>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</si>
  <si>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</si>
  <si>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</si>
  <si>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</si>
  <si>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</si>
  <si>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</si>
  <si>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</si>
  <si>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</si>
  <si>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</si>
  <si>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</si>
  <si>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</si>
  <si>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</si>
  <si>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</si>
  <si>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</si>
  <si>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</si>
  <si>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</si>
  <si>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</si>
  <si>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</si>
  <si>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</si>
  <si>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</si>
  <si>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</si>
  <si>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</si>
  <si>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</si>
  <si>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</si>
  <si>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</si>
  <si>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</si>
  <si>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</si>
  <si>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</si>
  <si>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</si>
  <si>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</si>
  <si>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</si>
  <si>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</si>
  <si>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</si>
  <si>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</si>
  <si>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</si>
  <si>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</si>
  <si>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</si>
  <si>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</si>
  <si>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</si>
  <si>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</si>
  <si>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</si>
  <si>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</si>
  <si>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</si>
  <si>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</si>
  <si>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</si>
  <si>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</si>
  <si>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</si>
  <si>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</si>
  <si>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</si>
  <si>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</si>
  <si>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</si>
  <si>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</si>
  <si>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</si>
  <si>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</si>
  <si>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</si>
  <si>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</si>
  <si>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</si>
  <si>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</si>
  <si>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</si>
  <si>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</si>
  <si>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</si>
  <si>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</si>
  <si>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</si>
  <si>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</si>
  <si>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</si>
  <si>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</si>
  <si>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</si>
  <si>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</si>
  <si>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</si>
  <si>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</si>
  <si>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</si>
  <si>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</si>
  <si>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</si>
  <si>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</si>
  <si>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</si>
  <si>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</si>
  <si>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</si>
  <si>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</si>
  <si>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</si>
  <si>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</si>
  <si>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</si>
  <si>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</si>
  <si>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</si>
  <si>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</si>
  <si>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</si>
  <si>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</si>
  <si>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</si>
  <si>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</si>
  <si>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</si>
  <si>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</si>
  <si>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</si>
  <si>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</si>
  <si>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</si>
  <si>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</si>
  <si>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</si>
  <si>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</si>
  <si>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</si>
  <si>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</si>
  <si>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</si>
  <si>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</si>
  <si>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</si>
  <si>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</si>
  <si>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</si>
  <si>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</si>
  <si>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</si>
  <si>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</si>
  <si>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</si>
  <si>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</si>
  <si>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</si>
  <si>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</si>
  <si>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</si>
  <si>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</si>
  <si>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</si>
  <si>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</si>
  <si>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</si>
  <si>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</si>
  <si>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</si>
  <si>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</si>
  <si>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</si>
  <si>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</si>
  <si>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</si>
  <si>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</si>
  <si>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</si>
  <si>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</si>
  <si>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</si>
  <si>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</si>
  <si>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</si>
  <si>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</si>
  <si>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</si>
  <si>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</si>
  <si>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</si>
  <si>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</si>
  <si>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</si>
  <si>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</si>
  <si>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</si>
  <si>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</si>
  <si>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</si>
  <si>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</si>
  <si>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</si>
  <si>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</si>
  <si>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</si>
  <si>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</si>
  <si>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</si>
  <si>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</si>
  <si>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</si>
  <si>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</si>
  <si>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</si>
  <si>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</si>
  <si>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</si>
  <si>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</si>
  <si>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</si>
  <si>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</si>
  <si>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</si>
  <si>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</si>
  <si>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</si>
  <si>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</si>
  <si>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</si>
  <si>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</si>
  <si>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</si>
  <si>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</si>
  <si>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</si>
  <si>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</si>
  <si>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</si>
  <si>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</si>
  <si>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</si>
  <si>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</si>
  <si>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</si>
  <si>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</si>
  <si>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</si>
  <si>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</si>
  <si>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</si>
  <si>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</si>
  <si>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</si>
  <si>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</si>
  <si>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</si>
  <si>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</si>
  <si>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</si>
  <si>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</si>
  <si>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</si>
  <si>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</si>
  <si>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</si>
  <si>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</si>
  <si>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</si>
  <si>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</si>
  <si>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</si>
  <si>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</si>
  <si>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</si>
  <si>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</si>
  <si>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</si>
  <si>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</si>
  <si>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</si>
  <si>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</si>
  <si>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</si>
  <si>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</si>
  <si>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</si>
  <si>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</si>
  <si>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</si>
  <si>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</si>
  <si>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</si>
  <si>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</si>
  <si>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</si>
  <si>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</si>
  <si>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</si>
  <si>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</si>
  <si>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</si>
  <si>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</si>
  <si>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</si>
  <si>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</si>
  <si>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</si>
  <si>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</si>
  <si>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</si>
  <si>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</si>
  <si>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</si>
  <si>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</si>
  <si>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</si>
  <si>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</si>
  <si>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</si>
  <si>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</si>
  <si>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</si>
  <si>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</si>
  <si>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</si>
  <si>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</si>
  <si>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</si>
  <si>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</si>
  <si>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</si>
  <si>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</si>
  <si>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</si>
  <si>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</si>
  <si>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</si>
  <si>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</si>
  <si>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</si>
  <si>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</si>
  <si>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</si>
  <si>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</si>
  <si>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</si>
  <si>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</si>
  <si>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</si>
  <si>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</si>
  <si>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</si>
  <si>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</si>
  <si>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</si>
  <si>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</si>
  <si>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</si>
  <si>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</si>
  <si>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</si>
  <si>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</si>
  <si>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</si>
  <si>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</si>
  <si>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</si>
  <si>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</si>
  <si>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</si>
  <si>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</si>
  <si>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</si>
  <si>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</si>
  <si>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</si>
  <si>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</si>
  <si>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</si>
  <si>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</si>
  <si>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</si>
  <si>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</si>
  <si>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</si>
  <si>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</si>
  <si>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</si>
  <si>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</si>
  <si>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</si>
  <si>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</si>
  <si>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</si>
  <si>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</si>
  <si>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</si>
  <si>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</si>
  <si>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</si>
  <si>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</si>
  <si>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</si>
  <si>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</si>
  <si>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</si>
  <si>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</si>
  <si>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</si>
  <si>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</si>
  <si>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</si>
  <si>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</si>
  <si>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</si>
  <si>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</si>
  <si>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</si>
  <si>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</si>
  <si>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</si>
  <si>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</si>
  <si>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</si>
  <si>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</si>
  <si>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</si>
  <si>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</si>
  <si>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</si>
  <si>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</si>
  <si>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</si>
  <si>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</si>
  <si>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</si>
  <si>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</si>
  <si>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</si>
  <si>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</si>
  <si>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</si>
  <si>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</si>
  <si>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</si>
  <si>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</si>
  <si>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</si>
  <si>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</si>
  <si>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</si>
  <si>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</si>
  <si>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</si>
  <si>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</si>
  <si>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</si>
  <si>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</si>
  <si>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</si>
  <si>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</si>
  <si>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</si>
  <si>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</si>
  <si>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</si>
  <si>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</si>
  <si>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</si>
  <si>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</si>
  <si>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</si>
  <si>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</si>
  <si>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</si>
  <si>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</si>
  <si>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</si>
  <si>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</si>
  <si>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</si>
  <si>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</si>
  <si>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</si>
  <si>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</si>
  <si>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</si>
  <si>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</si>
  <si>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</si>
  <si>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</si>
  <si>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</si>
  <si>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</si>
  <si>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</si>
  <si>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</si>
  <si>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</si>
  <si>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</si>
  <si>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</si>
  <si>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</si>
  <si>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</si>
  <si>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</si>
  <si>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</si>
  <si>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</si>
  <si>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</si>
  <si>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</si>
  <si>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</si>
  <si>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</si>
  <si>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</si>
  <si>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</si>
  <si>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</si>
  <si>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</si>
  <si>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</si>
  <si>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</si>
  <si>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</si>
  <si>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</si>
  <si>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</si>
  <si>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</si>
  <si>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</si>
  <si>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</si>
  <si>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</si>
  <si>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</si>
  <si>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</si>
  <si>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</si>
  <si>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</si>
  <si>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</si>
  <si>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</si>
  <si>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</si>
  <si>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</si>
  <si>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</si>
  <si>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</si>
  <si>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</si>
  <si>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</si>
  <si>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</si>
  <si>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</si>
  <si>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</si>
  <si>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</si>
  <si>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</si>
  <si>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</si>
  <si>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</si>
  <si>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</si>
  <si>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</si>
  <si>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</si>
  <si>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</si>
  <si>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</si>
  <si>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</si>
  <si>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</si>
  <si>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</si>
  <si>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</si>
  <si>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</si>
  <si>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</si>
  <si>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</si>
  <si>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</si>
  <si>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</si>
  <si>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</si>
  <si>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</si>
  <si>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</si>
  <si>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</si>
  <si>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</si>
  <si>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</si>
  <si>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</si>
  <si>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</si>
  <si>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</si>
  <si>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</si>
  <si>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</si>
  <si>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</si>
  <si>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</si>
  <si>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</si>
  <si>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</si>
  <si>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</si>
  <si>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</si>
  <si>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</si>
  <si>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</si>
  <si>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</si>
  <si>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</si>
  <si>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</si>
  <si>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</si>
  <si>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</si>
  <si>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</si>
  <si>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</si>
  <si>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</si>
  <si>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</si>
  <si>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</si>
  <si>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</si>
  <si>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</si>
  <si>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</si>
  <si>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</si>
  <si>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</si>
  <si>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</si>
  <si>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</si>
  <si>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</si>
  <si>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</si>
  <si>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</si>
  <si>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</si>
  <si>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</si>
  <si>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</si>
  <si>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</si>
  <si>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</si>
  <si>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</si>
  <si>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</si>
  <si>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</si>
  <si>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</si>
  <si>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</si>
  <si>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</si>
  <si>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</si>
  <si>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</si>
  <si>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</si>
  <si>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</si>
  <si>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</si>
  <si>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</si>
  <si>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</si>
  <si>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</si>
  <si>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</si>
  <si>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</si>
  <si>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</si>
  <si>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</si>
  <si>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</si>
  <si>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</si>
  <si>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</si>
  <si>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</si>
  <si>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</si>
  <si>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</si>
  <si>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</si>
  <si>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</si>
  <si>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</si>
  <si>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</si>
  <si>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</si>
  <si>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</si>
  <si>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</si>
  <si>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</si>
  <si>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</si>
  <si>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</si>
  <si>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</si>
  <si>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</si>
  <si>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</si>
  <si>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</si>
  <si>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</si>
  <si>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</si>
  <si>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</si>
  <si>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</si>
  <si>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</si>
  <si>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</si>
  <si>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</si>
  <si>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</si>
  <si>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</si>
  <si>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</si>
  <si>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</si>
  <si>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</si>
  <si>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</si>
  <si>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</si>
  <si>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</si>
  <si>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</si>
  <si>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</si>
  <si>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</si>
  <si>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</si>
  <si>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</si>
  <si>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</si>
  <si>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</si>
  <si>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</si>
  <si>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</si>
  <si>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</si>
  <si>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</si>
  <si>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</si>
  <si>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</si>
  <si>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</si>
  <si>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</si>
  <si>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</si>
  <si>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</si>
  <si>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</si>
  <si>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</si>
  <si>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</si>
  <si>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</si>
  <si>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</si>
  <si>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</si>
  <si>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</si>
  <si>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</si>
  <si>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</si>
  <si>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</si>
  <si>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</si>
  <si>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</si>
  <si>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</si>
  <si>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</si>
  <si>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</si>
  <si>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</si>
  <si>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</si>
  <si>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</si>
  <si>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</si>
  <si>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</si>
  <si>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</si>
  <si>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</si>
  <si>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</si>
  <si>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</si>
  <si>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</si>
  <si>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</si>
  <si>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</si>
  <si>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</si>
  <si>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</si>
  <si>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</si>
  <si>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</si>
  <si>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</si>
  <si>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</si>
  <si>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</si>
  <si>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</si>
  <si>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</si>
  <si>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</si>
  <si>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</si>
  <si>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</si>
  <si>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</si>
  <si>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</si>
  <si>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</si>
  <si>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</si>
  <si>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</si>
  <si>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</si>
  <si>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</si>
  <si>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</si>
  <si>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</si>
  <si>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</si>
  <si>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</si>
  <si>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</si>
  <si>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</si>
  <si>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</si>
  <si>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</si>
  <si>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</si>
  <si>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</si>
  <si>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</si>
  <si>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</si>
  <si>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</si>
  <si>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</si>
  <si>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</si>
  <si>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</si>
  <si>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</si>
  <si>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</si>
  <si>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</si>
  <si>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</si>
  <si>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</si>
  <si>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</si>
  <si>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</si>
  <si>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</si>
  <si>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</si>
  <si>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</si>
  <si>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</si>
  <si>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</si>
  <si>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</si>
  <si>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</si>
  <si>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</si>
  <si>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</si>
  <si>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</si>
  <si>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</si>
  <si>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</si>
  <si>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</si>
  <si>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</si>
  <si>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</si>
  <si>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</si>
  <si>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</si>
  <si>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</si>
  <si>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</si>
  <si>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</si>
  <si>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</si>
  <si>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</si>
  <si>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</si>
  <si>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</si>
  <si>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</si>
  <si>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</si>
  <si>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</si>
  <si>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</si>
  <si>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</si>
  <si>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</si>
  <si>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</si>
  <si>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</si>
  <si>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</si>
  <si>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</si>
  <si>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</si>
  <si>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</si>
  <si>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</si>
  <si>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</si>
  <si>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</si>
  <si>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</si>
  <si>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</si>
  <si>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</si>
  <si>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</si>
  <si>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</si>
  <si>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</si>
  <si>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</si>
  <si>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</si>
  <si>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</si>
  <si>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</si>
  <si>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</si>
  <si>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</si>
  <si>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</si>
  <si>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</si>
  <si>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</si>
  <si>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</si>
  <si>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</si>
  <si>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</si>
  <si>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</si>
  <si>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</si>
  <si>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</si>
  <si>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</si>
  <si>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</si>
  <si>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</si>
  <si>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</si>
  <si>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</si>
  <si>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</si>
  <si>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</si>
  <si>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</si>
  <si>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</si>
  <si>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</si>
  <si>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</si>
  <si>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</si>
  <si>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</si>
  <si>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</si>
  <si>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</si>
  <si>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</si>
  <si>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</si>
  <si>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</si>
  <si>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</si>
  <si>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</si>
  <si>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</si>
  <si>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</si>
  <si>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</si>
  <si>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</si>
  <si>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</si>
  <si>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</si>
  <si>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</si>
  <si>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</si>
  <si>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</si>
  <si>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</si>
  <si>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</si>
  <si>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</si>
  <si>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</si>
  <si>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</si>
  <si>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</si>
  <si>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</si>
  <si>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</si>
  <si>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</si>
  <si>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</si>
  <si>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</si>
  <si>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</si>
  <si>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</si>
  <si>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</si>
  <si>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</si>
  <si>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</si>
  <si>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</si>
  <si>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</si>
  <si>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</si>
  <si>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</si>
  <si>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</si>
  <si>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</si>
  <si>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</si>
  <si>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</si>
  <si>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</si>
  <si>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</si>
  <si>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</si>
  <si>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</si>
  <si>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</si>
  <si>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</si>
  <si>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</si>
  <si>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</si>
  <si>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</si>
  <si>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</si>
  <si>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</si>
  <si>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</si>
  <si>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</si>
  <si>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</si>
  <si>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</si>
  <si>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</si>
  <si>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</si>
  <si>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</si>
  <si>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</si>
  <si>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</si>
  <si>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</si>
  <si>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</si>
  <si>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</si>
  <si>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</si>
  <si>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</si>
  <si>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</si>
  <si>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</si>
  <si>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</si>
  <si>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</si>
  <si>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</si>
  <si>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</si>
  <si>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</si>
  <si>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</si>
  <si>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</si>
  <si>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</si>
  <si>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</si>
  <si>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</si>
  <si>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</si>
  <si>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</si>
  <si>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</si>
  <si>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</si>
  <si>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</si>
  <si>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</si>
  <si>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</si>
  <si>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</si>
  <si>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</si>
  <si>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</si>
  <si>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</si>
  <si>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</si>
  <si>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</si>
  <si>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</si>
  <si>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</si>
  <si>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</si>
  <si>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</si>
  <si>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</si>
  <si>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</si>
  <si>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</si>
  <si>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</si>
  <si>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</si>
  <si>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</si>
  <si>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</si>
  <si>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</si>
  <si>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</si>
  <si>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</si>
  <si>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</si>
  <si>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</si>
  <si>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</si>
  <si>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</si>
  <si>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</si>
  <si>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</si>
  <si>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</si>
  <si>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</si>
  <si>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</si>
  <si>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</si>
  <si>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</si>
  <si>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</si>
  <si>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</si>
  <si>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</si>
  <si>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</si>
  <si>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</si>
  <si>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</si>
  <si>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</si>
  <si>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</si>
  <si>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</si>
  <si>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</si>
  <si>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</si>
  <si>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</si>
  <si>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</si>
  <si>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</si>
  <si>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</si>
  <si>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</si>
  <si>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</si>
  <si>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</si>
  <si>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</si>
  <si>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</si>
  <si>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</si>
  <si>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</si>
  <si>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</si>
  <si>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</si>
  <si>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</si>
  <si>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</si>
  <si>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</si>
  <si>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</si>
  <si>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</si>
  <si>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</si>
  <si>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</si>
  <si>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</si>
  <si>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</si>
  <si>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</si>
  <si>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</si>
  <si>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</si>
  <si>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</si>
  <si>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</si>
  <si>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</si>
  <si>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</si>
  <si>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</si>
  <si>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</si>
  <si>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</si>
  <si>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</si>
  <si>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</si>
  <si>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</si>
  <si>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</si>
  <si>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</si>
  <si>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</si>
  <si>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</si>
  <si>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</si>
  <si>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</si>
  <si>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</si>
  <si>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</si>
  <si>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</si>
  <si>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</si>
  <si>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</si>
  <si>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</si>
  <si>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</si>
  <si>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</si>
  <si>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</si>
  <si>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</si>
  <si>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</si>
  <si>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</si>
  <si>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</si>
  <si>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</si>
  <si>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</si>
  <si>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</si>
  <si>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</si>
  <si>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</si>
  <si>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</si>
  <si>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</si>
  <si>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</si>
  <si>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</si>
  <si>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</si>
  <si>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</si>
  <si>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</si>
  <si>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</si>
  <si>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</si>
  <si>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</si>
  <si>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</si>
  <si>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</si>
  <si>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</si>
  <si>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</si>
  <si>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</si>
  <si>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</si>
  <si>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</si>
  <si>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</si>
  <si>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</si>
  <si>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</si>
  <si>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</si>
  <si>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</si>
  <si>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</si>
  <si>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</si>
  <si>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</si>
  <si>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</si>
  <si>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</si>
  <si>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</si>
  <si>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</si>
  <si>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</si>
  <si>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</si>
  <si>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</si>
  <si>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</si>
  <si>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</si>
  <si>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</si>
  <si>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</si>
  <si>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</si>
  <si>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</si>
  <si>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</si>
  <si>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</si>
  <si>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</si>
  <si>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</si>
  <si>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</si>
  <si>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</si>
  <si>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</si>
  <si>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</si>
  <si>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</si>
  <si>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</si>
  <si>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</si>
  <si>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</si>
  <si>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</si>
  <si>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</si>
  <si>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</si>
  <si>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</si>
  <si>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</si>
  <si>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</si>
  <si>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</si>
  <si>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</si>
  <si>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</si>
  <si>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</si>
  <si>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</si>
  <si>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</si>
  <si>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</si>
  <si>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</si>
  <si>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</si>
  <si>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</si>
  <si>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</si>
  <si>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</si>
  <si>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</si>
  <si>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</si>
  <si>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</si>
  <si>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</si>
  <si>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</si>
  <si>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</si>
  <si>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</si>
  <si>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</si>
  <si>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</si>
  <si>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</si>
  <si>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</si>
  <si>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</si>
  <si>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</si>
  <si>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</si>
  <si>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</si>
  <si>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</si>
  <si>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</si>
  <si>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</si>
  <si>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</si>
  <si>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</si>
  <si>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</si>
  <si>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</si>
  <si>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</si>
  <si>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</si>
  <si>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</si>
  <si>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</si>
  <si>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</si>
  <si>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</si>
  <si>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</si>
  <si>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</si>
  <si>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</si>
  <si>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</si>
  <si>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</si>
  <si>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</si>
  <si>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</si>
  <si>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</si>
  <si>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</si>
  <si>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</si>
  <si>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</si>
  <si>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</si>
  <si>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</si>
  <si>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</si>
  <si>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</si>
  <si>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</si>
  <si>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</si>
  <si>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</si>
  <si>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</si>
  <si>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</si>
  <si>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</si>
  <si>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</si>
  <si>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</si>
  <si>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</si>
  <si>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</si>
  <si>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</si>
  <si>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</si>
  <si>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</si>
  <si>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</si>
  <si>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</si>
  <si>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</si>
  <si>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</si>
  <si>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</si>
  <si>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</si>
  <si>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</si>
  <si>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</si>
  <si>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</si>
  <si>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</si>
  <si>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</si>
  <si>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</si>
  <si>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</si>
  <si>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</si>
  <si>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</si>
  <si>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</si>
  <si>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</si>
  <si>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</si>
  <si>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</si>
  <si>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</si>
  <si>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</si>
  <si>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</si>
  <si>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</si>
  <si>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</si>
  <si>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</si>
  <si>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</si>
  <si>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</si>
  <si>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</si>
  <si>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</si>
  <si>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</si>
  <si>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</si>
  <si>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</si>
  <si>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</si>
  <si>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</si>
  <si>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</si>
  <si>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</si>
  <si>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</si>
  <si>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</si>
  <si>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</si>
  <si>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</si>
  <si>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</si>
  <si>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</si>
  <si>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</si>
  <si>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</si>
  <si>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</si>
  <si>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</si>
  <si>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</si>
  <si>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</si>
  <si>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</si>
  <si>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</si>
  <si>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</si>
  <si>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</si>
  <si>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</si>
  <si>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</si>
  <si>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</si>
  <si>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</si>
  <si>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</si>
  <si>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</si>
  <si>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</si>
  <si>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</si>
  <si>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</si>
  <si>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</si>
  <si>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</si>
  <si>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</si>
  <si>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</si>
  <si>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</si>
  <si>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</si>
  <si>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</si>
  <si>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</si>
  <si>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</si>
  <si>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</si>
  <si>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</si>
  <si>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</si>
  <si>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</si>
  <si>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</si>
  <si>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</si>
  <si>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</si>
  <si>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</si>
  <si>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</si>
  <si>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</si>
  <si>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</si>
  <si>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</si>
  <si>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</si>
  <si>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</si>
  <si>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</si>
  <si>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</si>
  <si>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</si>
  <si>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</si>
  <si>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</si>
  <si>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</si>
  <si>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</si>
  <si>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</si>
  <si>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</si>
  <si>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</si>
  <si>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</si>
  <si>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</si>
  <si>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</si>
  <si>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</si>
  <si>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</si>
  <si>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</si>
  <si>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</si>
  <si>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</si>
  <si>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</si>
  <si>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</si>
  <si>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</si>
  <si>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</si>
  <si>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</si>
  <si>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</si>
  <si>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</si>
  <si>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</si>
  <si>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</si>
  <si>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</si>
  <si>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</si>
  <si>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</si>
  <si>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</si>
  <si>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</si>
  <si>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</si>
  <si>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</si>
  <si>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</si>
  <si>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</si>
  <si>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</si>
  <si>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</si>
  <si>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</si>
  <si>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</si>
  <si>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</si>
  <si>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</si>
  <si>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</si>
  <si>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</si>
  <si>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</si>
  <si>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</si>
  <si>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</si>
  <si>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</si>
  <si>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</si>
  <si>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</si>
  <si>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</si>
  <si>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</si>
  <si>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</si>
  <si>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</si>
  <si>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</si>
  <si>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</si>
  <si>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</si>
  <si>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</si>
  <si>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</si>
  <si>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</si>
  <si>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</si>
  <si>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</si>
  <si>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</si>
  <si>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</si>
  <si>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</si>
  <si>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</si>
  <si>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</si>
  <si>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</si>
  <si>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</si>
  <si>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</si>
  <si>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</si>
  <si>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</si>
  <si>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</si>
  <si>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</si>
  <si>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</si>
  <si>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</si>
  <si>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</si>
  <si>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</si>
  <si>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</si>
  <si>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</si>
  <si>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</si>
  <si>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</si>
  <si>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</si>
  <si>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</si>
  <si>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</si>
  <si>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</si>
  <si>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</si>
  <si>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</si>
  <si>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</si>
  <si>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</si>
  <si>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</si>
  <si>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</si>
  <si>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</si>
  <si>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</si>
  <si>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</si>
  <si>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</si>
  <si>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</si>
  <si>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</si>
  <si>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</si>
  <si>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</si>
  <si>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</si>
  <si>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</si>
  <si>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</si>
  <si>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</si>
  <si>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</si>
  <si>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</si>
  <si>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</si>
  <si>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</si>
  <si>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</si>
  <si>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</si>
  <si>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</si>
  <si>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</si>
  <si>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</si>
  <si>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</si>
  <si>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</si>
  <si>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</si>
  <si>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</si>
  <si>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</si>
  <si>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</si>
  <si>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</si>
  <si>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</si>
  <si>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</si>
  <si>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</si>
  <si>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</si>
  <si>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</si>
  <si>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</si>
  <si>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</si>
  <si>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</si>
  <si>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</si>
  <si>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</si>
  <si>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</si>
  <si>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</si>
  <si>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</si>
  <si>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</si>
  <si>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</si>
  <si>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</si>
  <si>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</si>
  <si>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</si>
  <si>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</si>
  <si>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</si>
  <si>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</si>
  <si>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</si>
  <si>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</si>
  <si>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</si>
  <si>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</si>
  <si>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</si>
  <si>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</si>
  <si>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</si>
  <si>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</si>
  <si>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</si>
  <si>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</si>
  <si>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</si>
  <si>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</si>
  <si>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</si>
  <si>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</si>
  <si>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</si>
  <si>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</si>
  <si>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</si>
  <si>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</si>
  <si>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</si>
  <si>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</si>
  <si>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</si>
  <si>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</si>
  <si>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</si>
  <si>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</si>
  <si>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</si>
  <si>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</si>
  <si>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</si>
  <si>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</si>
  <si>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</si>
  <si>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</si>
  <si>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</si>
  <si>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</si>
  <si>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</si>
  <si>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</si>
  <si>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</si>
  <si>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</si>
  <si>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</si>
  <si>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</si>
  <si>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</si>
  <si>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</si>
  <si>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</si>
  <si>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</si>
  <si>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</si>
  <si>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</si>
  <si>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</si>
  <si>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</si>
  <si>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</si>
  <si>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</si>
  <si>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</si>
  <si>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</si>
  <si>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</si>
  <si>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</si>
  <si>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</si>
  <si>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</si>
  <si>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</si>
  <si>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</si>
  <si>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</si>
  <si>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</si>
  <si>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</si>
  <si>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</si>
  <si>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</si>
  <si>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</si>
  <si>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</si>
  <si>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</si>
  <si>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</si>
  <si>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</si>
  <si>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</si>
  <si>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</si>
  <si>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</si>
  <si>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</si>
  <si>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</si>
  <si>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</si>
  <si>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</si>
  <si>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</si>
  <si>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</si>
  <si>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</si>
  <si>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</si>
  <si>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</si>
  <si>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</si>
  <si>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</si>
  <si>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</si>
  <si>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</si>
  <si>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</si>
  <si>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</si>
  <si>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</si>
  <si>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</si>
  <si>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</si>
  <si>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</si>
  <si>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</si>
  <si>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</si>
  <si>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</si>
  <si>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</si>
  <si>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</si>
  <si>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</si>
  <si>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</si>
  <si>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</si>
  <si>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</si>
  <si>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</si>
  <si>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</si>
  <si>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</si>
  <si>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</si>
  <si>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</si>
  <si>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</si>
  <si>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</si>
  <si>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</si>
  <si>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</si>
  <si>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</si>
  <si>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</si>
  <si>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</si>
  <si>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</si>
  <si>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</si>
  <si>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</si>
  <si>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</si>
  <si>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</si>
  <si>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</si>
  <si>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</si>
  <si>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</si>
  <si>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</si>
  <si>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</si>
  <si>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</si>
  <si>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</si>
  <si>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</si>
  <si>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</si>
  <si>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</si>
  <si>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</si>
  <si>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</si>
  <si>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</si>
  <si>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</si>
  <si>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</si>
  <si>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</si>
  <si>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</si>
  <si>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</si>
  <si>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</si>
  <si>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</si>
  <si>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</si>
  <si>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</si>
  <si>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</si>
  <si>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</si>
  <si>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</si>
  <si>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</si>
  <si>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</si>
  <si>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</si>
  <si>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</si>
  <si>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</si>
  <si>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</si>
  <si>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</si>
  <si>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</si>
  <si>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</si>
  <si>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</si>
  <si>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</si>
  <si>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</si>
  <si>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</si>
  <si>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</si>
  <si>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</si>
  <si>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</si>
  <si>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</si>
  <si>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</si>
  <si>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</si>
  <si>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</si>
  <si>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</si>
  <si>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</si>
  <si>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</si>
  <si>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</si>
  <si>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</si>
  <si>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</si>
  <si>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</si>
  <si>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</si>
  <si>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</si>
  <si>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</si>
  <si>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</si>
  <si>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</si>
  <si>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</si>
  <si>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</si>
  <si>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</si>
  <si>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</si>
  <si>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</si>
  <si>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</si>
  <si>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</si>
  <si>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</si>
  <si>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</si>
  <si>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</si>
  <si>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</si>
  <si>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</si>
  <si>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</si>
  <si>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</si>
  <si>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</si>
  <si>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</si>
  <si>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</si>
  <si>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</si>
  <si>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</si>
  <si>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</si>
  <si>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</si>
  <si>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</si>
  <si>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</si>
  <si>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</si>
  <si>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</si>
  <si>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</si>
  <si>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</si>
  <si>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</si>
  <si>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</si>
  <si>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</si>
  <si>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</si>
  <si>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</si>
  <si>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</si>
  <si>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</si>
  <si>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</si>
  <si>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</si>
  <si>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</si>
  <si>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</si>
  <si>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</si>
  <si>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</si>
  <si>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</si>
  <si>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</si>
  <si>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</si>
  <si>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</si>
  <si>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</si>
  <si>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</si>
  <si>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</si>
  <si>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</si>
  <si>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</si>
  <si>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</si>
  <si>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</si>
  <si>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</si>
  <si>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</si>
  <si>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</si>
  <si>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</si>
  <si>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</si>
  <si>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</si>
  <si>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</si>
  <si>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</si>
  <si>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</si>
  <si>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</si>
  <si>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</si>
  <si>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</si>
  <si>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</si>
  <si>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</si>
  <si>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</si>
  <si>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</si>
  <si>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</si>
  <si>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</si>
  <si>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</si>
  <si>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</si>
  <si>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</si>
  <si>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</si>
  <si>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</si>
  <si>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</si>
  <si>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</si>
  <si>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</si>
  <si>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</si>
  <si>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</si>
  <si>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</si>
  <si>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</si>
  <si>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</si>
  <si>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</si>
  <si>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</si>
  <si>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</si>
  <si>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</si>
  <si>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</si>
  <si>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</si>
  <si>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</si>
  <si>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</si>
  <si>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</si>
  <si>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</si>
  <si>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</si>
  <si>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</si>
  <si>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</si>
  <si>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</si>
  <si>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</si>
  <si>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</si>
  <si>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</si>
  <si>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</si>
  <si>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</si>
  <si>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</si>
  <si>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</si>
  <si>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</si>
  <si>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</si>
  <si>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</si>
  <si>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</si>
  <si>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</si>
  <si>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</si>
  <si>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</si>
  <si>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</si>
  <si>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</si>
  <si>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</si>
  <si>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</si>
  <si>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</si>
  <si>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</si>
  <si>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</si>
  <si>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</si>
  <si>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</si>
  <si>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</si>
  <si>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</si>
  <si>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</si>
  <si>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</si>
  <si>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</si>
  <si>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</si>
  <si>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</si>
  <si>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</si>
  <si>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</si>
  <si>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</si>
  <si>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</si>
  <si>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</si>
  <si>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</si>
  <si>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</si>
  <si>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</si>
  <si>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</si>
  <si>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</si>
  <si>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</si>
  <si>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</si>
  <si>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</si>
  <si>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</si>
  <si>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</si>
  <si>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</si>
  <si>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</si>
  <si>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</si>
  <si>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</si>
  <si>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</si>
  <si>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</si>
  <si>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</si>
  <si>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</si>
  <si>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</si>
  <si>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</si>
  <si>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</si>
  <si>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</si>
  <si>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</si>
  <si>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</si>
  <si>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</si>
  <si>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</si>
  <si>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</si>
  <si>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</si>
  <si>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</si>
  <si>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</si>
  <si>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</si>
  <si>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</si>
  <si>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</si>
  <si>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</si>
  <si>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</si>
  <si>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</si>
  <si>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</si>
  <si>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</si>
  <si>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</si>
  <si>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</si>
  <si>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</si>
  <si>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</si>
  <si>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</si>
  <si>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</si>
  <si>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</si>
  <si>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</si>
  <si>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</si>
  <si>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</si>
  <si>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</si>
  <si>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</si>
  <si>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</si>
  <si>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</si>
  <si>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</si>
  <si>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</si>
  <si>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</si>
  <si>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</si>
  <si>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</si>
  <si>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</si>
  <si>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</si>
  <si>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</si>
  <si>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</si>
  <si>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</si>
  <si>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</si>
  <si>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</si>
  <si>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</si>
  <si>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</si>
  <si>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</si>
  <si>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</si>
  <si>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</si>
  <si>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</si>
  <si>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</si>
  <si>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</si>
  <si>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</si>
  <si>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</si>
  <si>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</si>
  <si>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</si>
  <si>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</si>
  <si>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</si>
  <si>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</si>
  <si>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</si>
  <si>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</si>
  <si>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</si>
  <si>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</si>
  <si>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</si>
  <si>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</si>
  <si>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</si>
  <si>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</si>
  <si>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</si>
  <si>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</si>
  <si>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</si>
  <si>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</si>
  <si>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</si>
  <si>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</si>
  <si>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</si>
  <si>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</si>
  <si>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</si>
  <si>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</si>
  <si>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</si>
  <si>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</si>
  <si>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</si>
  <si>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</si>
  <si>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</si>
  <si>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</si>
  <si>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</si>
  <si>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</si>
  <si>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</si>
  <si>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</si>
  <si>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</si>
  <si>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</si>
  <si>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</si>
  <si>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</si>
  <si>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</si>
  <si>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</si>
  <si>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</si>
  <si>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</si>
  <si>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</si>
  <si>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</si>
  <si>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</si>
  <si>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</si>
  <si>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</si>
  <si>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</si>
  <si>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</si>
  <si>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</si>
  <si>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</si>
  <si>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</si>
  <si>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</si>
  <si>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</si>
  <si>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</si>
  <si>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</si>
  <si>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</si>
  <si>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</si>
  <si>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</si>
  <si>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</si>
  <si>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</si>
  <si>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</si>
  <si>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</si>
  <si>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</si>
  <si>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</si>
  <si>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</si>
  <si>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</si>
  <si>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</si>
  <si>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</si>
  <si>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</si>
  <si>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</si>
  <si>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</si>
  <si>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</si>
  <si>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</si>
  <si>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</si>
  <si>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</si>
  <si>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</si>
  <si>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</si>
  <si>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</si>
  <si>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</si>
  <si>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</si>
  <si>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</si>
  <si>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</si>
  <si>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</si>
  <si>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</si>
  <si>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</si>
  <si>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</si>
  <si>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</si>
  <si>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</si>
  <si>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</si>
  <si>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</si>
  <si>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</si>
  <si>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</si>
  <si>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</si>
  <si>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</si>
  <si>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</si>
  <si>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</si>
  <si>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</si>
  <si>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</si>
  <si>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</si>
  <si>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</si>
  <si>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</si>
  <si>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</si>
  <si>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</si>
  <si>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</si>
  <si>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</si>
  <si>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</si>
  <si>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</si>
  <si>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</si>
  <si>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</si>
  <si>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</si>
  <si>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</si>
  <si>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</si>
  <si>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</si>
  <si>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</si>
  <si>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</si>
  <si>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</si>
  <si>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</si>
  <si>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</si>
  <si>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</si>
  <si>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</si>
  <si>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</si>
  <si>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</si>
  <si>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</si>
  <si>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</si>
  <si>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</si>
  <si>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</si>
  <si>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</si>
  <si>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</si>
  <si>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</si>
  <si>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</si>
  <si>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</si>
  <si>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</si>
  <si>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</si>
  <si>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</si>
  <si>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</si>
  <si>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</si>
  <si>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</si>
  <si>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</si>
  <si>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</si>
  <si>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</si>
  <si>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</si>
  <si>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</si>
  <si>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</si>
  <si>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</si>
  <si>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</si>
  <si>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</si>
  <si>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</si>
  <si>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</si>
  <si>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</si>
  <si>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</si>
  <si>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</si>
  <si>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</si>
  <si>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</si>
  <si>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</si>
  <si>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</si>
  <si>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</si>
  <si>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</si>
  <si>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</si>
  <si>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</si>
  <si>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</si>
  <si>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</si>
  <si>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</si>
  <si>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</si>
  <si>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</si>
  <si>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</si>
  <si>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</si>
  <si>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</si>
  <si>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</si>
  <si>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</si>
  <si>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</si>
  <si>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</si>
  <si>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</si>
  <si>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</si>
  <si>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</si>
  <si>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</si>
  <si>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</si>
  <si>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</si>
  <si>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</si>
  <si>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</si>
  <si>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</si>
  <si>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</si>
  <si>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</si>
  <si>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</si>
  <si>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</si>
  <si>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</si>
  <si>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</si>
  <si>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</si>
  <si>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</si>
  <si>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</si>
  <si>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</si>
  <si>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</si>
  <si>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</si>
  <si>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</si>
  <si>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</si>
  <si>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</si>
  <si>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</si>
  <si>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</si>
  <si>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</si>
  <si>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</si>
  <si>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</si>
  <si>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</si>
  <si>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</si>
  <si>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</si>
  <si>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</si>
  <si>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</si>
  <si>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</si>
  <si>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</si>
  <si>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</si>
  <si>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</si>
  <si>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</si>
  <si>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</si>
  <si>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</si>
  <si>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</si>
  <si>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</si>
  <si>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</si>
  <si>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</si>
  <si>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</si>
  <si>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</si>
  <si>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</si>
  <si>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</si>
  <si>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</si>
  <si>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</si>
  <si>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</si>
  <si>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</si>
  <si>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</si>
  <si>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</si>
  <si>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</si>
  <si>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</si>
  <si>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</si>
  <si>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</si>
  <si>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</si>
  <si>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</si>
  <si>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</si>
  <si>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</si>
  <si>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</si>
  <si>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</si>
  <si>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</si>
  <si>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</si>
  <si>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</si>
  <si>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</si>
  <si>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</si>
  <si>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</si>
  <si>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</si>
  <si>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</si>
  <si>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</si>
  <si>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</si>
  <si>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</si>
  <si>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</si>
  <si>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</si>
  <si>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</si>
  <si>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</si>
  <si>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</si>
  <si>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</si>
  <si>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2023-3</t>
    <phoneticPr fontId="4" type="noConversion"/>
  </si>
  <si>
    <t>2023-2</t>
    <phoneticPr fontId="4" type="noConversion"/>
  </si>
  <si>
    <t>公示增长率-国家级样点（中心城区）</t>
    <phoneticPr fontId="143" type="noConversion"/>
  </si>
  <si>
    <t>公示增长率-市级样点（非中心城区）</t>
    <phoneticPr fontId="143" type="noConversion"/>
  </si>
  <si>
    <t>2023-3</t>
    <phoneticPr fontId="4" type="noConversion"/>
  </si>
  <si>
    <t>2023-2</t>
    <phoneticPr fontId="4" type="noConversion"/>
  </si>
  <si>
    <t>2024-2</t>
    <phoneticPr fontId="4" type="noConversion"/>
  </si>
  <si>
    <t>2024-1</t>
    <phoneticPr fontId="4" type="noConversion"/>
  </si>
  <si>
    <t>2023-4</t>
    <phoneticPr fontId="4" type="noConversion"/>
  </si>
  <si>
    <t>抵押</t>
  </si>
  <si>
    <t>郑燚</t>
  </si>
  <si>
    <t>崔锴</t>
  </si>
  <si>
    <t>房地产抵押价值</t>
  </si>
  <si>
    <t>北京市</t>
  </si>
  <si>
    <t>是</t>
  </si>
  <si>
    <t>地上</t>
  </si>
  <si>
    <t>成新度</t>
  </si>
  <si>
    <t>收益法 (元)</t>
  </si>
  <si>
    <t>自定义容积率</t>
  </si>
  <si>
    <t>不临65条商业街</t>
  </si>
  <si>
    <t>通路</t>
  </si>
  <si>
    <t>通讯</t>
  </si>
  <si>
    <t>通上水</t>
  </si>
  <si>
    <t>通下水</t>
  </si>
  <si>
    <t>燃气</t>
  </si>
  <si>
    <t>平整</t>
  </si>
  <si>
    <t>中心城区以外</t>
  </si>
  <si>
    <t>较好</t>
  </si>
  <si>
    <t>一般</t>
  </si>
  <si>
    <t>未包含在土地购买价格中</t>
  </si>
  <si>
    <t>已包含在土地取得成本中</t>
  </si>
  <si>
    <t>押一</t>
  </si>
  <si>
    <t>钢混</t>
  </si>
  <si>
    <t>非生产用房</t>
  </si>
  <si>
    <t>否</t>
  </si>
  <si>
    <t>单套模式</t>
  </si>
  <si>
    <t>售价</t>
  </si>
  <si>
    <t>正常</t>
  </si>
  <si>
    <t>挂牌</t>
  </si>
  <si>
    <t>挂牌</t>
    <phoneticPr fontId="31" type="noConversion"/>
  </si>
  <si>
    <t>商业</t>
    <phoneticPr fontId="31" type="noConversion"/>
  </si>
  <si>
    <t>钢混</t>
    <phoneticPr fontId="31" type="noConversion"/>
  </si>
  <si>
    <t>精装修</t>
  </si>
  <si>
    <t>精装修</t>
    <phoneticPr fontId="31" type="noConversion"/>
  </si>
  <si>
    <r>
      <t>15-20</t>
    </r>
    <r>
      <rPr>
        <sz val="11"/>
        <color indexed="8"/>
        <rFont val="宋体"/>
        <family val="3"/>
        <charset val="134"/>
      </rPr>
      <t>（含）</t>
    </r>
    <phoneticPr fontId="31" type="noConversion"/>
  </si>
  <si>
    <t>大</t>
    <phoneticPr fontId="31" type="noConversion"/>
  </si>
  <si>
    <t>较大</t>
  </si>
  <si>
    <t>较大</t>
    <phoneticPr fontId="31" type="noConversion"/>
  </si>
  <si>
    <t>一般</t>
    <phoneticPr fontId="31" type="noConversion"/>
  </si>
  <si>
    <t>较小</t>
    <phoneticPr fontId="31" type="noConversion"/>
  </si>
  <si>
    <t>小</t>
    <phoneticPr fontId="31" type="noConversion"/>
  </si>
  <si>
    <r>
      <t>1</t>
    </r>
    <r>
      <rPr>
        <sz val="11"/>
        <color indexed="8"/>
        <rFont val="宋体"/>
        <family val="3"/>
        <charset val="134"/>
      </rPr>
      <t>层</t>
    </r>
    <phoneticPr fontId="31" type="noConversion"/>
  </si>
  <si>
    <r>
      <t>1-2</t>
    </r>
    <r>
      <rPr>
        <sz val="11"/>
        <color indexed="8"/>
        <rFont val="宋体"/>
        <family val="3"/>
        <charset val="134"/>
      </rPr>
      <t>层</t>
    </r>
    <phoneticPr fontId="31" type="noConversion"/>
  </si>
  <si>
    <t>商业街</t>
  </si>
  <si>
    <t>办公配套</t>
  </si>
  <si>
    <t>住宅配套</t>
  </si>
  <si>
    <t>七通</t>
  </si>
  <si>
    <t>1层</t>
  </si>
  <si>
    <t>可餐饮</t>
  </si>
  <si>
    <t>可餐饮</t>
    <phoneticPr fontId="31" type="noConversion"/>
  </si>
  <si>
    <t>不可餐饮</t>
    <phoneticPr fontId="31" type="noConversion"/>
  </si>
  <si>
    <t>超高层高</t>
    <phoneticPr fontId="31" type="noConversion"/>
  </si>
  <si>
    <t>标准层高</t>
  </si>
  <si>
    <t>标准层高</t>
    <phoneticPr fontId="31" type="noConversion"/>
  </si>
  <si>
    <t>精装</t>
    <phoneticPr fontId="31" type="noConversion"/>
  </si>
  <si>
    <t>普装</t>
  </si>
  <si>
    <t>普装</t>
    <phoneticPr fontId="31" type="noConversion"/>
  </si>
  <si>
    <t>简装</t>
  </si>
  <si>
    <t>简装</t>
    <phoneticPr fontId="31" type="noConversion"/>
  </si>
  <si>
    <t>毛坯</t>
    <phoneticPr fontId="31" type="noConversion"/>
  </si>
  <si>
    <t>楼面单价</t>
  </si>
  <si>
    <t>收益比率</t>
  </si>
  <si>
    <t>独栋商业</t>
    <phoneticPr fontId="31" type="noConversion"/>
  </si>
  <si>
    <t>御路园小区</t>
    <phoneticPr fontId="4" type="noConversion"/>
  </si>
  <si>
    <t>超高层高</t>
  </si>
  <si>
    <t>2009</t>
    <phoneticPr fontId="7" type="noConversion"/>
  </si>
  <si>
    <r>
      <t>2</t>
    </r>
    <r>
      <rPr>
        <sz val="11"/>
        <color theme="1"/>
        <rFont val="宋体"/>
        <family val="3"/>
        <charset val="134"/>
        <scheme val="minor"/>
      </rPr>
      <t>023-6-1至2024-5-31</t>
    </r>
    <phoneticPr fontId="135" type="noConversion"/>
  </si>
  <si>
    <r>
      <t>1</t>
    </r>
    <r>
      <rPr>
        <sz val="11"/>
        <color theme="1"/>
        <rFont val="宋体"/>
        <family val="3"/>
        <charset val="134"/>
        <scheme val="minor"/>
      </rPr>
      <t>48-20</t>
    </r>
    <phoneticPr fontId="135" type="noConversion"/>
  </si>
  <si>
    <t>半年支付</t>
    <phoneticPr fontId="135" type="noConversion"/>
  </si>
  <si>
    <r>
      <t>1</t>
    </r>
    <r>
      <rPr>
        <sz val="11"/>
        <color theme="1"/>
        <rFont val="宋体"/>
        <family val="3"/>
        <charset val="134"/>
        <scheme val="minor"/>
      </rPr>
      <t>48-21</t>
    </r>
    <r>
      <rPr>
        <sz val="11"/>
        <color theme="1"/>
        <rFont val="宋体"/>
        <family val="2"/>
        <charset val="134"/>
        <scheme val="minor"/>
      </rPr>
      <t/>
    </r>
  </si>
  <si>
    <t>东环路商业</t>
  </si>
  <si>
    <t>府学路商铺</t>
    <phoneticPr fontId="4" type="noConversion"/>
  </si>
  <si>
    <t>租金</t>
  </si>
  <si>
    <t>鼓楼东街</t>
    <phoneticPr fontId="4" type="noConversion"/>
  </si>
  <si>
    <t>独栋商业</t>
  </si>
  <si>
    <t>昌平图书馆</t>
    <phoneticPr fontId="4" type="noConversion"/>
  </si>
  <si>
    <t>148-22</t>
    <phoneticPr fontId="135" type="noConversion"/>
  </si>
  <si>
    <t>148-23</t>
    <phoneticPr fontId="135" type="noConversion"/>
  </si>
  <si>
    <t>148-24</t>
    <phoneticPr fontId="135" type="noConversion"/>
  </si>
  <si>
    <t>估价对象</t>
  </si>
  <si>
    <t>建筑面积（㎡）</t>
  </si>
  <si>
    <r>
      <t>单价（元</t>
    </r>
    <r>
      <rPr>
        <sz val="10.5"/>
        <color theme="1"/>
        <rFont val="Arial"/>
        <family val="2"/>
      </rPr>
      <t>/</t>
    </r>
    <r>
      <rPr>
        <sz val="10.5"/>
        <color theme="1"/>
        <rFont val="宋体"/>
        <family val="3"/>
        <charset val="134"/>
      </rPr>
      <t>㎡）</t>
    </r>
  </si>
  <si>
    <t>总额（元）</t>
  </si>
  <si>
    <t>鼓楼南街</t>
    <phoneticPr fontId="4" type="noConversion"/>
  </si>
  <si>
    <t>鼓楼西街</t>
    <phoneticPr fontId="4" type="noConversion"/>
  </si>
  <si>
    <t>容积率修正</t>
  </si>
  <si>
    <t>企业</t>
  </si>
  <si>
    <t>成本法 (元)</t>
  </si>
  <si>
    <r>
      <t>1-2</t>
    </r>
    <r>
      <rPr>
        <sz val="10"/>
        <color indexed="8"/>
        <rFont val="宋体"/>
        <family val="3"/>
        <charset val="134"/>
      </rPr>
      <t>层商业</t>
    </r>
    <phoneticPr fontId="4" type="noConversion"/>
  </si>
  <si>
    <t>1-2层商业</t>
    <phoneticPr fontId="8" type="noConversion"/>
  </si>
  <si>
    <t>Ⅸ-密1</t>
  </si>
  <si>
    <t>1-2层商业</t>
  </si>
  <si>
    <t>密云区沙河镇1号院</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</si>
</sst>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
      <sz val="10.5"/>
      <color theme="1"/>
      <name val="宋体"/>
      <family val="3"/>
      <charset val="134"/>
    </font>
    <font>
      <sz val="10.5"/>
      <color theme="1"/>
      <name val="Arial"/>
      <family val="2"/>
    </font>
    <font>
      <sz val="12"/>
      <color indexed="8"/>
      <name val="仿宋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43" fontId="270" fillId="0" borderId="0" applyFont="0" applyFill="0" applyBorder="0" applyAlignment="0" applyProtection="0">
      <alignment vertical="center"/>
    </xf>
  </cellStyleXfs>
  <cellXfs count="3814">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0" fontId="129" fillId="0" borderId="2" xfId="0" applyNumberFormat="1" applyFont="1" applyFill="1" applyBorder="1" applyAlignment="1" applyProtection="1">
      <alignment horizontal="center" vertical="center" wrapText="1"/>
      <protection locked="0"/>
    </xf>
    <xf numFmtId="0" fontId="129" fillId="0" borderId="51" xfId="0" applyNumberFormat="1"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wrapText="1"/>
      <protection locked="0"/>
    </xf>
    <xf numFmtId="0" fontId="45" fillId="6" borderId="1"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14" fontId="0" fillId="0" borderId="0" xfId="0" applyNumberFormat="1">
      <alignment vertical="center"/>
    </xf>
    <xf numFmtId="0" fontId="96" fillId="0" borderId="0" xfId="0" applyFont="1">
      <alignment vertical="center"/>
    </xf>
    <xf numFmtId="43" fontId="96" fillId="0" borderId="0" xfId="19" applyFont="1">
      <alignment vertical="center"/>
    </xf>
    <xf numFmtId="0" fontId="95" fillId="2" borderId="6" xfId="0" applyFont="1" applyFill="1" applyBorder="1" applyAlignment="1" applyProtection="1">
      <alignment horizontal="center" vertical="center" wrapText="1"/>
      <protection locked="0"/>
    </xf>
    <xf numFmtId="0" fontId="271" fillId="0" borderId="82" xfId="0" applyFont="1" applyBorder="1" applyAlignment="1">
      <alignment horizontal="center" vertical="center"/>
    </xf>
    <xf numFmtId="0" fontId="271" fillId="0" borderId="65" xfId="0" applyFont="1" applyBorder="1" applyAlignment="1">
      <alignment horizontal="center" vertical="center" wrapText="1"/>
    </xf>
    <xf numFmtId="0" fontId="271" fillId="0" borderId="81" xfId="0" applyFont="1" applyBorder="1" applyAlignment="1">
      <alignment horizontal="center" vertical="center"/>
    </xf>
    <xf numFmtId="0" fontId="271" fillId="0" borderId="43" xfId="0" applyFont="1" applyBorder="1" applyAlignment="1">
      <alignment horizontal="center" vertical="center" wrapText="1"/>
    </xf>
    <xf numFmtId="177" fontId="114" fillId="0" borderId="1" xfId="1" applyNumberFormat="1" applyFont="1" applyFill="1" applyBorder="1" applyAlignment="1" applyProtection="1">
      <alignment horizontal="center" vertical="center"/>
      <protection locked="0"/>
    </xf>
    <xf numFmtId="0" fontId="114" fillId="7" borderId="24" xfId="0" applyFont="1" applyFill="1" applyBorder="1" applyAlignment="1" applyProtection="1">
      <alignment horizontal="center" vertical="center"/>
      <protection locked="0"/>
    </xf>
    <xf numFmtId="49" fontId="223" fillId="12" borderId="4" xfId="0" applyNumberFormat="1" applyFont="1" applyFill="1" applyBorder="1" applyAlignment="1" applyProtection="1">
      <alignment horizontal="left" vertical="center"/>
      <protection locked="0"/>
    </xf>
    <xf numFmtId="183" fontId="273" fillId="0" borderId="1" xfId="10" applyNumberFormat="1" applyFont="1" applyFill="1" applyBorder="1" applyAlignment="1" applyProtection="1">
      <alignment horizontal="center" vertical="center" shrinkToFit="1"/>
      <protection locked="0"/>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46" fillId="0" borderId="1"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126"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125" fillId="0" borderId="0" xfId="0" applyFont="1" applyBorder="1" applyAlignment="1" applyProtection="1">
      <alignment horizontal="left" vertical="center" wrapText="1"/>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53" fillId="6" borderId="47" xfId="0" applyFont="1" applyFill="1" applyBorder="1" applyAlignment="1" applyProtection="1">
      <alignment horizontal="center" vertical="center"/>
    </xf>
    <xf numFmtId="0" fontId="45"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126" fillId="6" borderId="23" xfId="0" applyFont="1" applyFill="1" applyBorder="1" applyAlignment="1" applyProtection="1">
      <alignment horizontal="left" vertical="center"/>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6" borderId="5"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 xfId="0" applyFont="1" applyFill="1" applyBorder="1" applyAlignment="1" applyProtection="1">
      <alignment horizontal="center" vertical="center"/>
    </xf>
    <xf numFmtId="0" fontId="52" fillId="6" borderId="23"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209"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167" fillId="0" borderId="23"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209"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167" fillId="0" borderId="3" xfId="0" applyFont="1" applyFill="1" applyBorder="1" applyAlignment="1" applyProtection="1">
      <alignment horizontal="center" vertical="center" wrapText="1"/>
      <protection locked="0"/>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17" xfId="0"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17"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37" fillId="0" borderId="0" xfId="9" applyFont="1" applyAlignment="1">
      <alignment horizontal="left" vertical="center"/>
    </xf>
    <xf numFmtId="0" fontId="103" fillId="0" borderId="0" xfId="9" applyFont="1" applyAlignment="1">
      <alignment horizontal="left" vertical="center"/>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9" builtinId="3"/>
  </cellStyles>
  <dxfs count="252">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390525</xdr:colOff>
      <xdr:row>1</xdr:row>
      <xdr:rowOff>152400</xdr:rowOff>
    </xdr:from>
    <xdr:to>
      <xdr:col>12</xdr:col>
      <xdr:colOff>46640</xdr:colOff>
      <xdr:row>10</xdr:row>
      <xdr:rowOff>142683</xdr:rowOff>
    </xdr:to>
    <xdr:pic>
      <xdr:nvPicPr>
        <xdr:cNvPr id="2" name="图片 1"/>
        <xdr:cNvPicPr>
          <a:picLocks noChangeAspect="1"/>
        </xdr:cNvPicPr>
      </xdr:nvPicPr>
      <xdr:blipFill>
        <a:blip xmlns:r="http://schemas.openxmlformats.org/officeDocument/2006/relationships" r:embed="rId1"/>
        <a:stretch>
          <a:fillRect/>
        </a:stretch>
      </xdr:blipFill>
      <xdr:spPr>
        <a:xfrm>
          <a:off x="390525" y="323850"/>
          <a:ext cx="7885715" cy="1533333"/>
        </a:xfrm>
        <a:prstGeom prst="rect">
          <a:avLst/>
        </a:prstGeom>
      </xdr:spPr>
    </xdr:pic>
    <xdr:clientData/>
  </xdr:twoCellAnchor>
  <xdr:twoCellAnchor editAs="oneCell">
    <xdr:from>
      <xdr:col>0</xdr:col>
      <xdr:colOff>485775</xdr:colOff>
      <xdr:row>13</xdr:row>
      <xdr:rowOff>19050</xdr:rowOff>
    </xdr:from>
    <xdr:to>
      <xdr:col>7</xdr:col>
      <xdr:colOff>85175</xdr:colOff>
      <xdr:row>47</xdr:row>
      <xdr:rowOff>37369</xdr:rowOff>
    </xdr:to>
    <xdr:pic>
      <xdr:nvPicPr>
        <xdr:cNvPr id="3" name="图片 2"/>
        <xdr:cNvPicPr>
          <a:picLocks noChangeAspect="1"/>
        </xdr:cNvPicPr>
      </xdr:nvPicPr>
      <xdr:blipFill>
        <a:blip xmlns:r="http://schemas.openxmlformats.org/officeDocument/2006/relationships" r:embed="rId2"/>
        <a:stretch>
          <a:fillRect/>
        </a:stretch>
      </xdr:blipFill>
      <xdr:spPr>
        <a:xfrm>
          <a:off x="485775" y="2247900"/>
          <a:ext cx="4400000" cy="5847619"/>
        </a:xfrm>
        <a:prstGeom prst="rect">
          <a:avLst/>
        </a:prstGeom>
      </xdr:spPr>
    </xdr:pic>
    <xdr:clientData/>
  </xdr:twoCellAnchor>
  <xdr:twoCellAnchor editAs="oneCell">
    <xdr:from>
      <xdr:col>0</xdr:col>
      <xdr:colOff>466725</xdr:colOff>
      <xdr:row>48</xdr:row>
      <xdr:rowOff>38100</xdr:rowOff>
    </xdr:from>
    <xdr:to>
      <xdr:col>7</xdr:col>
      <xdr:colOff>266125</xdr:colOff>
      <xdr:row>82</xdr:row>
      <xdr:rowOff>56419</xdr:rowOff>
    </xdr:to>
    <xdr:pic>
      <xdr:nvPicPr>
        <xdr:cNvPr id="4" name="图片 3"/>
        <xdr:cNvPicPr>
          <a:picLocks noChangeAspect="1"/>
        </xdr:cNvPicPr>
      </xdr:nvPicPr>
      <xdr:blipFill>
        <a:blip xmlns:r="http://schemas.openxmlformats.org/officeDocument/2006/relationships" r:embed="rId3"/>
        <a:stretch>
          <a:fillRect/>
        </a:stretch>
      </xdr:blipFill>
      <xdr:spPr>
        <a:xfrm>
          <a:off x="466725" y="8267700"/>
          <a:ext cx="4600000" cy="5847619"/>
        </a:xfrm>
        <a:prstGeom prst="rect">
          <a:avLst/>
        </a:prstGeom>
      </xdr:spPr>
    </xdr:pic>
    <xdr:clientData/>
  </xdr:twoCellAnchor>
  <xdr:twoCellAnchor editAs="oneCell">
    <xdr:from>
      <xdr:col>8</xdr:col>
      <xdr:colOff>0</xdr:colOff>
      <xdr:row>55</xdr:row>
      <xdr:rowOff>0</xdr:rowOff>
    </xdr:from>
    <xdr:to>
      <xdr:col>15</xdr:col>
      <xdr:colOff>504162</xdr:colOff>
      <xdr:row>77</xdr:row>
      <xdr:rowOff>170957</xdr:rowOff>
    </xdr:to>
    <xdr:pic>
      <xdr:nvPicPr>
        <xdr:cNvPr id="5" name="图片 4"/>
        <xdr:cNvPicPr>
          <a:picLocks noChangeAspect="1"/>
        </xdr:cNvPicPr>
      </xdr:nvPicPr>
      <xdr:blipFill>
        <a:blip xmlns:r="http://schemas.openxmlformats.org/officeDocument/2006/relationships" r:embed="rId4"/>
        <a:stretch>
          <a:fillRect/>
        </a:stretch>
      </xdr:blipFill>
      <xdr:spPr>
        <a:xfrm>
          <a:off x="5486400" y="9429750"/>
          <a:ext cx="5304762" cy="39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北京市密云区沙河镇1号院房地产抵押价值预评估</v>
      </c>
    </row>
    <row r="3" spans="1:2" s="1203" customFormat="1">
      <c r="A3" s="1201" t="s">
        <v>523</v>
      </c>
      <c r="B3" s="1202">
        <f>'预评函-封皮'!B40</f>
        <v>0</v>
      </c>
    </row>
    <row r="4" spans="1:2" s="1203" customFormat="1">
      <c r="A4" s="1201" t="s">
        <v>524</v>
      </c>
      <c r="B4" s="1202" t="str">
        <f ca="1">'预评函-封皮'!B46</f>
        <v>郑燚（注册号：1120070131)、崔锴（注册号：1120100036)</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受贵公司委托，我公司对北京市密云区沙河镇1号院房地产抵押价值进行了预评估。</v>
      </c>
    </row>
    <row r="7" spans="1:2" s="1203" customFormat="1">
      <c r="A7" s="1201" t="s">
        <v>566</v>
      </c>
      <c r="B7" s="1202" t="str">
        <f>'预评函-1'!A7</f>
        <v>估价对象为北京市密云区沙河镇1号院房地产，为所有。根据《国有土地使用证》[]，估价对象（分摊）出让国有建设用地使用权面积为0平方米，建筑面积为1562.24平方米。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估价对象为北京市密云区沙河镇1号院房地产,属开发建设的，该项目尚在开发建设中。根据《国有土地使用证》[]，估价对象（分摊）出让国有建设用地使用权面积为0平方米，规划建筑面积为1562.24平方米。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密云区沙河镇1号院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2023年12月19日（评估专业人员实地查勘之日）</v>
      </c>
    </row>
    <row r="13" spans="1:2" s="1203" customFormat="1">
      <c r="A13" s="1201" t="s">
        <v>529</v>
      </c>
      <c r="B13" s="1202" t="str">
        <f>'预评函-1'!A18</f>
        <v>本次估价的“房地产价值”是指在正常市场情况下，在价值时点2023年12月19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1316</v>
      </c>
    </row>
    <row r="21" spans="1:2" s="1203" customFormat="1">
      <c r="A21" s="1201" t="s">
        <v>537</v>
      </c>
      <c r="B21" s="1202">
        <f ca="1">'预评函-2'!D7</f>
        <v>8425</v>
      </c>
    </row>
    <row r="22" spans="1:2" s="1203" customFormat="1">
      <c r="A22" s="1201" t="s">
        <v>538</v>
      </c>
      <c r="B22" s="1202" t="str">
        <f ca="1">'预评函-2'!D6</f>
        <v>壹仟叁佰壹拾陆万元整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1316</v>
      </c>
    </row>
    <row r="31" spans="1:2" s="1203" customFormat="1">
      <c r="A31" s="1201" t="s">
        <v>576</v>
      </c>
      <c r="B31" s="1202">
        <f ca="1">'预评函-2'!D15</f>
        <v>8425</v>
      </c>
    </row>
    <row r="32" spans="1:2" s="1203" customFormat="1">
      <c r="A32" s="1201" t="s">
        <v>543</v>
      </c>
      <c r="B32" s="1202" t="str">
        <f ca="1">'预评函-2'!D14</f>
        <v>壹仟叁佰壹拾陆万元整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北京市密云区沙河镇1号院房地产</v>
      </c>
    </row>
    <row r="42" spans="1:2" s="1203" customFormat="1">
      <c r="A42" s="1201" t="s">
        <v>590</v>
      </c>
      <c r="B42" s="1202" t="str">
        <f>'预评函-3'!B2</f>
        <v>建筑面积</v>
      </c>
    </row>
    <row r="43" spans="1:2" s="1203" customFormat="1">
      <c r="A43" s="1201" t="s">
        <v>591</v>
      </c>
      <c r="B43" s="1202">
        <f>'预评函-3'!B4</f>
        <v>1562.24</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836</v>
      </c>
    </row>
    <row r="48" spans="1:2" s="1203" customFormat="1">
      <c r="A48" s="1201" t="s">
        <v>549</v>
      </c>
      <c r="B48" s="1202">
        <f ca="1">'预评函-3'!E4</f>
        <v>5350</v>
      </c>
    </row>
    <row r="49" spans="1:2" s="1203" customFormat="1">
      <c r="A49" s="1201" t="s">
        <v>550</v>
      </c>
      <c r="B49" s="1202" t="str">
        <f ca="1">'预评函-3'!D5</f>
        <v>捌佰叁拾陆万元整</v>
      </c>
    </row>
    <row r="50" spans="1:2" s="1203" customFormat="1">
      <c r="A50" s="1201" t="s">
        <v>574</v>
      </c>
      <c r="B50" s="1202" t="str">
        <f>'预评函-3'!F2</f>
        <v>在建建筑物价值</v>
      </c>
    </row>
    <row r="51" spans="1:2" s="1203" customFormat="1">
      <c r="A51" s="1201" t="s">
        <v>551</v>
      </c>
      <c r="B51" s="1202">
        <f ca="1">'预评函-3'!F4</f>
        <v>480</v>
      </c>
    </row>
    <row r="52" spans="1:2" s="1203" customFormat="1">
      <c r="A52" s="1201" t="s">
        <v>552</v>
      </c>
      <c r="B52" s="1202">
        <f ca="1">'预评函-3'!G4</f>
        <v>3075</v>
      </c>
    </row>
    <row r="53" spans="1:2" s="1203" customFormat="1">
      <c r="A53" s="1201" t="s">
        <v>580</v>
      </c>
      <c r="B53" s="1202" t="str">
        <f ca="1">'预评函-3'!F5</f>
        <v>肆佰捌拾万元整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崔锴</v>
      </c>
    </row>
    <row r="73" spans="1:2" s="1197" customFormat="1" ht="15" thickBot="1">
      <c r="A73" s="1204" t="s">
        <v>565</v>
      </c>
      <c r="B73" s="1205">
        <f ca="1">'预评函-4'!B5</f>
        <v>1120100036</v>
      </c>
    </row>
    <row r="74" spans="1:2" ht="15" thickTop="1">
      <c r="A74" s="1194" t="s">
        <v>601</v>
      </c>
      <c r="B74" s="121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3343</v>
      </c>
    </row>
    <row r="8" spans="1:23">
      <c r="A8" s="1546" t="s">
        <v>1026</v>
      </c>
      <c r="B8" s="1546" t="s">
        <v>1027</v>
      </c>
      <c r="C8" s="1547" t="s">
        <v>319</v>
      </c>
      <c r="F8" s="1548" t="s">
        <v>1028</v>
      </c>
      <c r="H8" s="1548" t="s">
        <v>2580</v>
      </c>
      <c r="I8" s="1548" t="s">
        <v>3344</v>
      </c>
    </row>
    <row r="9" spans="1:23">
      <c r="A9" s="1546" t="s">
        <v>1029</v>
      </c>
      <c r="B9" s="1546" t="s">
        <v>1030</v>
      </c>
      <c r="C9" s="1547" t="s">
        <v>320</v>
      </c>
      <c r="F9" s="1548" t="s">
        <v>1031</v>
      </c>
      <c r="H9" s="1548"/>
      <c r="I9" s="1551" t="s">
        <v>3345</v>
      </c>
    </row>
    <row r="10" spans="1:23">
      <c r="A10" s="1546" t="s">
        <v>1032</v>
      </c>
      <c r="B10" s="1546" t="s">
        <v>1033</v>
      </c>
      <c r="C10" s="1547" t="s">
        <v>321</v>
      </c>
      <c r="F10" s="1548" t="s">
        <v>2581</v>
      </c>
      <c r="I10" s="1551" t="s">
        <v>3346</v>
      </c>
    </row>
    <row r="11" spans="1:23">
      <c r="A11" s="1546" t="s">
        <v>1034</v>
      </c>
      <c r="B11" s="1546" t="s">
        <v>1035</v>
      </c>
      <c r="C11" s="1547" t="s">
        <v>322</v>
      </c>
      <c r="F11" s="1548" t="s">
        <v>13</v>
      </c>
      <c r="I11" s="1551" t="s">
        <v>3347</v>
      </c>
    </row>
    <row r="12" spans="1:23">
      <c r="A12" s="1546" t="s">
        <v>1036</v>
      </c>
      <c r="B12" s="1546" t="s">
        <v>1037</v>
      </c>
      <c r="C12" s="1547" t="s">
        <v>323</v>
      </c>
      <c r="I12" s="1551" t="s">
        <v>3348</v>
      </c>
    </row>
    <row r="13" spans="1:23">
      <c r="A13" s="1546" t="s">
        <v>1038</v>
      </c>
      <c r="B13" s="1546" t="s">
        <v>1039</v>
      </c>
      <c r="C13" s="1547" t="s">
        <v>324</v>
      </c>
      <c r="I13" s="1551" t="s">
        <v>3349</v>
      </c>
    </row>
    <row r="14" spans="1:23">
      <c r="A14" s="1546" t="s">
        <v>1040</v>
      </c>
      <c r="B14" s="1546" t="s">
        <v>1041</v>
      </c>
      <c r="C14" s="1548" t="s">
        <v>13</v>
      </c>
      <c r="I14" s="1551" t="s">
        <v>3350</v>
      </c>
    </row>
    <row r="15" spans="1:23">
      <c r="A15" s="1546" t="s">
        <v>1042</v>
      </c>
      <c r="B15" s="1546" t="s">
        <v>1043</v>
      </c>
      <c r="C15" s="1547"/>
      <c r="I15" s="1551" t="s">
        <v>3351</v>
      </c>
    </row>
    <row r="16" spans="1:23">
      <c r="A16" s="1546" t="s">
        <v>1044</v>
      </c>
      <c r="B16" s="1546" t="s">
        <v>312</v>
      </c>
      <c r="C16" s="1547"/>
    </row>
    <row r="17" spans="1:3">
      <c r="A17" s="1546" t="s">
        <v>1045</v>
      </c>
      <c r="B17" s="1546" t="s">
        <v>2292</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密云区沙河镇1号院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3"/>
      <c r="B54" s="1554" t="s">
        <v>385</v>
      </c>
      <c r="C54" s="1551" t="s">
        <v>583</v>
      </c>
    </row>
    <row r="55" spans="1:4">
      <c r="A55" s="3513"/>
      <c r="B55" s="1554" t="s">
        <v>386</v>
      </c>
      <c r="C55" s="1551" t="s">
        <v>584</v>
      </c>
    </row>
    <row r="56" spans="1:4">
      <c r="A56" s="3513"/>
      <c r="B56" s="1554" t="s">
        <v>387</v>
      </c>
      <c r="C56" s="1551" t="s">
        <v>588</v>
      </c>
    </row>
    <row r="57" spans="1:4">
      <c r="A57" s="351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3" sqref="B3"/>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2503</v>
      </c>
      <c r="B1" s="3013"/>
      <c r="C1" s="3013"/>
      <c r="D1" s="3013"/>
      <c r="E1" s="3013"/>
      <c r="F1" s="3014"/>
      <c r="I1" s="3436" t="s">
        <v>2596</v>
      </c>
      <c r="J1" s="3225"/>
      <c r="K1" s="3225"/>
      <c r="L1" s="3225"/>
      <c r="M1" s="3225"/>
      <c r="N1" s="3437"/>
      <c r="O1" s="3437"/>
      <c r="P1" s="3437"/>
      <c r="Q1" s="3437"/>
      <c r="R1" s="3437"/>
    </row>
    <row r="2" spans="1:18">
      <c r="A2" s="3016"/>
      <c r="B2" s="3017"/>
      <c r="C2" s="3017"/>
      <c r="D2" s="3017"/>
      <c r="E2" s="3017"/>
      <c r="F2" s="3018"/>
      <c r="I2" s="3514" t="s">
        <v>2583</v>
      </c>
      <c r="J2" s="3514"/>
      <c r="K2" s="3514"/>
      <c r="L2" s="3514"/>
      <c r="M2" s="3514"/>
      <c r="N2" s="3514"/>
      <c r="O2" s="3514"/>
      <c r="P2" s="3514"/>
      <c r="Q2" s="3514"/>
      <c r="R2" s="3514"/>
    </row>
    <row r="3" spans="1:18">
      <c r="A3" s="3019" t="s">
        <v>2504</v>
      </c>
      <c r="B3" s="3020">
        <f>项目基本情况!D3</f>
        <v>45279</v>
      </c>
      <c r="C3" s="3022"/>
      <c r="D3" s="3022"/>
      <c r="E3" s="3022"/>
      <c r="F3" s="3018"/>
      <c r="I3" s="3438"/>
      <c r="J3" s="3438" t="s">
        <v>2587</v>
      </c>
      <c r="K3" s="3438" t="s">
        <v>2588</v>
      </c>
      <c r="L3" s="3438" t="s">
        <v>2589</v>
      </c>
      <c r="M3" s="3438" t="s">
        <v>2590</v>
      </c>
      <c r="N3" s="3439" t="s">
        <v>2591</v>
      </c>
      <c r="O3" s="3439" t="s">
        <v>2592</v>
      </c>
      <c r="P3" s="3439" t="s">
        <v>2593</v>
      </c>
      <c r="Q3" s="3439" t="s">
        <v>2594</v>
      </c>
      <c r="R3" s="3439" t="s">
        <v>2595</v>
      </c>
    </row>
    <row r="4" spans="1:18">
      <c r="A4" s="3019" t="s">
        <v>2505</v>
      </c>
      <c r="B4" s="3022" t="s">
        <v>2506</v>
      </c>
      <c r="C4" s="3022" t="s">
        <v>2507</v>
      </c>
      <c r="D4" s="3022" t="s">
        <v>2508</v>
      </c>
      <c r="E4" s="3022" t="s">
        <v>2509</v>
      </c>
      <c r="F4" s="3018"/>
      <c r="I4" s="3438" t="s">
        <v>2584</v>
      </c>
      <c r="J4" s="3438">
        <v>80</v>
      </c>
      <c r="K4" s="3438">
        <v>70</v>
      </c>
      <c r="L4" s="3438">
        <v>20</v>
      </c>
      <c r="M4" s="3438">
        <v>30</v>
      </c>
      <c r="N4" s="3022">
        <v>45</v>
      </c>
      <c r="O4" s="3022">
        <v>60</v>
      </c>
      <c r="P4" s="3022">
        <v>50</v>
      </c>
      <c r="Q4" s="3022">
        <v>20</v>
      </c>
      <c r="R4" s="3022">
        <v>375</v>
      </c>
    </row>
    <row r="5" spans="1:18">
      <c r="A5" s="3023">
        <v>40</v>
      </c>
      <c r="B5" s="3020">
        <v>46375</v>
      </c>
      <c r="C5" s="3022">
        <f>ROUNDDOWN(MIN((B5-B3)/365,A5),2)</f>
        <v>3</v>
      </c>
      <c r="D5" s="3024">
        <f>IF(ISERROR(ROUND(POWER(1+E5,A5-C5)*(POWER(1+E5,C5)-1)/(POWER(1+E5,A5)-1),3)),0,ROUND(POWER(1+E5,A5-C5)*(POWER(1+E5,C5)-1)/(POWER(1+E5,A5)-1),4))</f>
        <v>0.14019999999999999</v>
      </c>
      <c r="E5" s="3025">
        <v>0.04</v>
      </c>
      <c r="F5" s="3018"/>
      <c r="I5" s="3438" t="s">
        <v>2585</v>
      </c>
      <c r="J5" s="3438">
        <v>70</v>
      </c>
      <c r="K5" s="3438">
        <v>60</v>
      </c>
      <c r="L5" s="3438">
        <v>15</v>
      </c>
      <c r="M5" s="3438">
        <v>25</v>
      </c>
      <c r="N5" s="3022">
        <v>40</v>
      </c>
      <c r="O5" s="3022">
        <v>50</v>
      </c>
      <c r="P5" s="3022">
        <v>40</v>
      </c>
      <c r="Q5" s="3022">
        <v>15</v>
      </c>
      <c r="R5" s="3022">
        <v>315</v>
      </c>
    </row>
    <row r="6" spans="1:18">
      <c r="A6" s="3023">
        <v>50</v>
      </c>
      <c r="B6" s="3020">
        <v>50028</v>
      </c>
      <c r="C6" s="3022">
        <f>ROUNDDOWN(MIN((B6-B3)/365,A6),2)</f>
        <v>13.01</v>
      </c>
      <c r="D6" s="3024">
        <f>IF(ISERROR(ROUND(POWER(1+E6,A6-C6)*(POWER(1+E6,C6)-1)/(POWER(1+E6,A6)-1),3)),0,ROUND(POWER(1+E6,A6-C6)*(POWER(1+E6,C6)-1)/(POWER(1+E6,A6)-1),4))</f>
        <v>0.46510000000000001</v>
      </c>
      <c r="E6" s="3025">
        <v>0.04</v>
      </c>
      <c r="F6" s="3018"/>
      <c r="I6" s="3438" t="s">
        <v>2586</v>
      </c>
      <c r="J6" s="3438">
        <v>60</v>
      </c>
      <c r="K6" s="3438">
        <v>50</v>
      </c>
      <c r="L6" s="3438">
        <v>10</v>
      </c>
      <c r="M6" s="3438">
        <v>20</v>
      </c>
      <c r="N6" s="3022">
        <v>35</v>
      </c>
      <c r="O6" s="3022">
        <v>40</v>
      </c>
      <c r="P6" s="3022">
        <v>30</v>
      </c>
      <c r="Q6" s="3022">
        <v>10</v>
      </c>
      <c r="R6" s="3022">
        <v>255</v>
      </c>
    </row>
    <row r="7" spans="1:18">
      <c r="A7" s="3023">
        <v>70</v>
      </c>
      <c r="B7" s="3020">
        <v>57333</v>
      </c>
      <c r="C7" s="3022">
        <f>ROUNDDOWN(MIN((B7-B3)/365,A7),2)</f>
        <v>33.020000000000003</v>
      </c>
      <c r="D7" s="3024">
        <f>IF(ISERROR(ROUND(POWER(1+E7,A7-C7)*(POWER(1+E7,C7)-1)/(POWER(1+E7,A7)-1),3)),0,ROUND(POWER(1+E7,A7-C7)*(POWER(1+E7,C7)-1)/(POWER(1+E7,A7)-1),4))</f>
        <v>0.77600000000000002</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70</v>
      </c>
      <c r="C11" s="3022" t="s">
        <v>2513</v>
      </c>
      <c r="D11" s="3028">
        <v>4.4999999999999998E-2</v>
      </c>
      <c r="E11" s="3022" t="s">
        <v>2514</v>
      </c>
      <c r="F11" s="3029">
        <f>ROUND(1-(1/(POWER(1+D11,B11))),4)</f>
        <v>0.95409999999999995</v>
      </c>
    </row>
    <row r="12" spans="1:18">
      <c r="A12" s="3019" t="s">
        <v>2515</v>
      </c>
      <c r="B12" s="3027">
        <v>40</v>
      </c>
      <c r="C12" s="3022" t="s">
        <v>2516</v>
      </c>
      <c r="D12" s="3028">
        <v>4.4999999999999998E-2</v>
      </c>
      <c r="E12" s="3022" t="s">
        <v>2517</v>
      </c>
      <c r="F12" s="3029">
        <f>ROUND(1-(1/(POWER(1+D12,B12))),4)</f>
        <v>0.82809999999999995</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4339.6899999999996</v>
      </c>
      <c r="C15" s="3022">
        <f>ROUND(F12/F11,4)</f>
        <v>0.8679</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4.25" thickBot="1">
      <c r="A18" s="3030" t="s">
        <v>2519</v>
      </c>
      <c r="B18" s="3031">
        <f>ROUND(B17*F11/F12,2)</f>
        <v>5541.87</v>
      </c>
      <c r="C18" s="3031">
        <f>ROUND(F11/F12,4)</f>
        <v>1.1521999999999999</v>
      </c>
      <c r="D18" s="3032"/>
      <c r="E18" s="3032"/>
      <c r="F18" s="3033"/>
    </row>
    <row r="19" spans="1:13" ht="14.25" thickBot="1"/>
    <row r="20" spans="1:13" s="3068" customFormat="1" ht="14.2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4.2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11" sqref="F11"/>
    </sheetView>
  </sheetViews>
  <sheetFormatPr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9" style="1743"/>
    <col min="31" max="16384" width="9" style="1745"/>
  </cols>
  <sheetData>
    <row r="1" spans="1:30" ht="13.5" thickBot="1">
      <c r="A1" s="2366" t="s">
        <v>2167</v>
      </c>
      <c r="B1" s="3523" t="str">
        <f>IF(B10="北京市","北京市",C10)&amp;F10&amp;IF(结果表!G1="在建","出让国有建设用地使用权及在建建筑物",IF(结果表!G1="土地","出让国有建设用地使用权",))&amp;B9&amp;"预评估"</f>
        <v>北京市密云区沙河镇1号院房地产抵押价值预评估</v>
      </c>
      <c r="C1" s="3524"/>
      <c r="D1" s="3524"/>
      <c r="E1" s="3524"/>
      <c r="F1" s="3524"/>
      <c r="G1" s="3524"/>
      <c r="H1" s="3524"/>
      <c r="I1" s="3525"/>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北京市密云区沙河镇1号院房地产抵押价值</v>
      </c>
      <c r="T1" s="1745"/>
      <c r="U1" s="1745"/>
      <c r="V1" s="1745"/>
      <c r="W1" s="1745"/>
      <c r="X1" s="1745"/>
      <c r="Y1" s="1745"/>
      <c r="Z1" s="1745"/>
      <c r="AA1" s="1745"/>
      <c r="AB1" s="1745"/>
    </row>
    <row r="2" spans="1:30">
      <c r="A2" s="2367" t="s">
        <v>2168</v>
      </c>
      <c r="B2" s="2371"/>
      <c r="C2" s="2372"/>
      <c r="D2" s="2669"/>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北京市密云区沙河镇1号院房地产</v>
      </c>
      <c r="T2" s="1745"/>
      <c r="U2" s="1745"/>
      <c r="V2" s="1745"/>
      <c r="W2" s="1745"/>
      <c r="X2" s="1745"/>
      <c r="Y2" s="1745"/>
      <c r="Z2" s="1745"/>
      <c r="AA2" s="1745"/>
      <c r="AB2" s="1745"/>
    </row>
    <row r="3" spans="1:30">
      <c r="A3" s="302" t="s">
        <v>2169</v>
      </c>
      <c r="B3" s="2373">
        <v>45279</v>
      </c>
      <c r="C3" s="2374" t="s">
        <v>2170</v>
      </c>
      <c r="D3" s="2373">
        <f>B3</f>
        <v>45279</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t="s">
        <v>3381</v>
      </c>
      <c r="C4" s="2376">
        <f ca="1">SUMIF(注册房地产估价师,B4,估价师及机构信息!B3:B24)</f>
        <v>1120070131</v>
      </c>
      <c r="D4" s="2375" t="s">
        <v>3382</v>
      </c>
      <c r="E4" s="2377">
        <f ca="1">SUMIF(注册房地产估价师,D4,估价师及机构信息!B3:B24)</f>
        <v>1120100036</v>
      </c>
      <c r="F4" s="2375"/>
      <c r="G4" s="2377">
        <f>SUMIF(注册房地产估价师,F4,估价师及机构信息!B3:B24)</f>
        <v>0</v>
      </c>
      <c r="H4" s="2375"/>
      <c r="I4" s="2377">
        <f>SUMIF(注册房地产估价师,H4,估价师及机构信息!B3:B24)</f>
        <v>0</v>
      </c>
      <c r="J4" s="2439"/>
      <c r="K4" s="2378" t="str">
        <f ca="1">CONCATENATE(B4,"（注册号：",C4,")、",D4,"（注册号：",E4,")")</f>
        <v>郑燚（注册号：1120070131)、崔锴（注册号：1120100036)</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3380</v>
      </c>
      <c r="C8" s="2390"/>
      <c r="D8" s="3526" t="s">
        <v>2176</v>
      </c>
      <c r="E8" s="2391" t="s">
        <v>3383</v>
      </c>
      <c r="F8" s="2392"/>
      <c r="G8" s="2663"/>
      <c r="H8" s="2663"/>
      <c r="I8" s="2663"/>
      <c r="J8" s="2439"/>
      <c r="K8" s="2614"/>
      <c r="L8" s="2613"/>
      <c r="M8" s="2613"/>
      <c r="N8" s="2439"/>
      <c r="O8" s="2450"/>
      <c r="P8" s="2439"/>
      <c r="Q8" s="2439"/>
      <c r="R8" s="2439"/>
    </row>
    <row r="9" spans="1:30" ht="13.5" thickBot="1">
      <c r="A9" s="2393" t="s">
        <v>2177</v>
      </c>
      <c r="B9" s="2394" t="s">
        <v>3383</v>
      </c>
      <c r="C9" s="2395"/>
      <c r="D9" s="3527"/>
      <c r="E9" s="2394"/>
      <c r="F9" s="2396"/>
      <c r="G9" s="2665"/>
      <c r="H9" s="2665"/>
      <c r="I9" s="2665"/>
      <c r="J9" s="2439"/>
      <c r="K9" s="2616"/>
      <c r="L9" s="2613"/>
      <c r="M9" s="2613"/>
      <c r="N9" s="2439"/>
      <c r="O9" s="2450"/>
      <c r="P9" s="2439"/>
      <c r="Q9" s="2439"/>
      <c r="R9" s="2439"/>
    </row>
    <row r="10" spans="1:30" ht="13.5" thickTop="1">
      <c r="A10" s="2397" t="s">
        <v>2178</v>
      </c>
      <c r="B10" s="2398" t="s">
        <v>3384</v>
      </c>
      <c r="C10" s="2399"/>
      <c r="D10" s="2382"/>
      <c r="E10" s="2400" t="s">
        <v>2179</v>
      </c>
      <c r="F10" s="3471" t="s">
        <v>3473</v>
      </c>
      <c r="G10" s="2666"/>
      <c r="H10" s="2667"/>
      <c r="I10" s="2668"/>
      <c r="J10" s="2439"/>
      <c r="K10" s="2616"/>
      <c r="L10" s="2613"/>
      <c r="M10" s="2613"/>
      <c r="N10" s="2439"/>
      <c r="O10" s="2450"/>
      <c r="P10" s="2439"/>
      <c r="Q10" s="2439"/>
      <c r="R10" s="2439"/>
    </row>
    <row r="11" spans="1:30">
      <c r="A11" s="2401" t="s">
        <v>2180</v>
      </c>
      <c r="B11" s="2402" t="s">
        <v>3467</v>
      </c>
      <c r="C11" s="2403"/>
      <c r="D11" s="2404"/>
      <c r="E11" s="2370"/>
      <c r="F11" s="2370"/>
      <c r="G11" s="2370"/>
      <c r="H11" s="2370"/>
      <c r="I11" s="2370"/>
      <c r="J11" s="3060"/>
      <c r="K11" s="3059"/>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8" t="s">
        <v>2579</v>
      </c>
      <c r="J12" s="3061"/>
      <c r="K12" s="2613"/>
      <c r="L12" s="2613"/>
      <c r="M12" s="2439"/>
      <c r="N12" s="2450"/>
      <c r="O12" s="2439"/>
      <c r="P12" s="2439"/>
      <c r="Q12" s="2439"/>
      <c r="AD12" s="1745"/>
    </row>
    <row r="13" spans="1:30" ht="14.25">
      <c r="A13" s="3422" t="s">
        <v>3334</v>
      </c>
      <c r="B13" s="2407" t="s">
        <v>2189</v>
      </c>
      <c r="C13" s="856"/>
      <c r="D13" s="3472">
        <v>52162</v>
      </c>
      <c r="E13" s="856"/>
      <c r="F13" s="856"/>
      <c r="G13" s="856"/>
      <c r="H13" s="856"/>
      <c r="I13" s="856"/>
      <c r="J13" s="3061"/>
      <c r="K13" s="2613" t="s">
        <v>3446</v>
      </c>
      <c r="L13" s="2613"/>
      <c r="M13" s="2439"/>
      <c r="N13" s="2450"/>
      <c r="O13" s="2439"/>
      <c r="P13" s="2439"/>
      <c r="Q13" s="2439"/>
      <c r="AD13" s="1745"/>
    </row>
    <row r="14" spans="1:30">
      <c r="A14" s="1081"/>
      <c r="B14" s="2407" t="s">
        <v>2190</v>
      </c>
      <c r="C14" s="2408"/>
      <c r="D14" s="2408">
        <v>40</v>
      </c>
      <c r="E14" s="2408"/>
      <c r="F14" s="2408"/>
      <c r="G14" s="2408"/>
      <c r="H14" s="2408"/>
      <c r="I14" s="2408"/>
      <c r="J14" s="3062"/>
      <c r="K14" s="2613"/>
      <c r="L14" s="2613"/>
      <c r="M14" s="2439"/>
      <c r="N14" s="2450"/>
      <c r="O14" s="2439"/>
      <c r="P14" s="2439"/>
      <c r="Q14" s="2439"/>
      <c r="AD14" s="1745"/>
    </row>
    <row r="15" spans="1:30">
      <c r="A15" s="320"/>
      <c r="B15" s="2409" t="s">
        <v>2191</v>
      </c>
      <c r="C15" s="2410" t="str">
        <f>IF(A13="出让",IF(C13="","",ROUNDDOWN(MIN((C13-$D$3)/365,C14),2)),C14)</f>
        <v/>
      </c>
      <c r="D15" s="2410">
        <f>IF(A13="出让",IF(D13="","",ROUNDDOWN(MIN((D13-$D$3)/365,D14),2)),D14)</f>
        <v>18.850000000000001</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3"/>
      <c r="K15" s="2451"/>
      <c r="L15" s="2451"/>
      <c r="M15" s="2509"/>
      <c r="N15" s="2451"/>
      <c r="O15" s="2509"/>
      <c r="P15" s="2439"/>
      <c r="Q15" s="2439"/>
      <c r="AD15" s="1745"/>
    </row>
    <row r="16" spans="1:30">
      <c r="A16" s="2400" t="s">
        <v>2192</v>
      </c>
      <c r="B16" s="3533"/>
      <c r="C16" s="3534"/>
      <c r="D16" s="3535"/>
      <c r="E16" s="2413" t="s">
        <v>2193</v>
      </c>
      <c r="F16" s="3536"/>
      <c r="G16" s="3537"/>
      <c r="H16" s="3537"/>
      <c r="I16" s="3538"/>
      <c r="J16" s="2439"/>
      <c r="K16" s="2617"/>
      <c r="L16" s="2451"/>
      <c r="M16" s="2451"/>
      <c r="N16" s="2509"/>
      <c r="O16" s="2451"/>
      <c r="P16" s="2509"/>
      <c r="Q16" s="2439"/>
      <c r="R16" s="2439"/>
    </row>
    <row r="17" spans="1:28">
      <c r="A17" s="313" t="s">
        <v>2194</v>
      </c>
      <c r="B17" s="302" t="s">
        <v>2195</v>
      </c>
      <c r="C17" s="8">
        <f>'数据-汇总表'!E3</f>
        <v>1562.24</v>
      </c>
      <c r="D17" s="2322" t="s">
        <v>2196</v>
      </c>
      <c r="E17" s="3539" t="s">
        <v>2197</v>
      </c>
      <c r="F17" s="3540"/>
      <c r="G17" s="3540"/>
      <c r="H17" s="3540"/>
      <c r="I17" s="3541"/>
      <c r="J17" s="2439"/>
      <c r="K17" s="2618"/>
      <c r="L17" s="2451"/>
      <c r="M17" s="2451"/>
      <c r="N17" s="2509"/>
      <c r="O17" s="2451"/>
      <c r="P17" s="2509"/>
      <c r="Q17" s="2439"/>
      <c r="R17" s="2439"/>
      <c r="S17" s="2439"/>
      <c r="T17" s="2439"/>
      <c r="U17" s="2439"/>
      <c r="V17" s="2439"/>
    </row>
    <row r="18" spans="1:28" ht="24.75" thickBot="1">
      <c r="A18" s="2414" t="s">
        <v>2198</v>
      </c>
      <c r="B18" s="1090" t="s">
        <v>2199</v>
      </c>
      <c r="C18" s="2415">
        <f>'数据-汇总表'!D3</f>
        <v>0</v>
      </c>
      <c r="D18" s="1092" t="s">
        <v>2200</v>
      </c>
      <c r="E18" s="3542" t="s">
        <v>2201</v>
      </c>
      <c r="F18" s="3543"/>
      <c r="G18" s="3543"/>
      <c r="H18" s="3543"/>
      <c r="I18" s="3544"/>
      <c r="J18" s="2439"/>
      <c r="K18" s="2618"/>
      <c r="L18" s="2451"/>
      <c r="M18" s="2451"/>
      <c r="N18" s="2509"/>
      <c r="O18" s="2451"/>
      <c r="P18" s="2509"/>
      <c r="Q18" s="2439"/>
      <c r="R18" s="2439"/>
      <c r="S18" s="2439"/>
      <c r="T18" s="2439"/>
      <c r="U18" s="2439"/>
      <c r="V18" s="2439"/>
    </row>
    <row r="19" spans="1:28" ht="37.5"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29" t="s">
        <v>2205</v>
      </c>
      <c r="C20" s="3530"/>
      <c r="D20" s="3531" t="s">
        <v>2206</v>
      </c>
      <c r="E20" s="3532"/>
      <c r="F20" s="2647" t="s">
        <v>1056</v>
      </c>
      <c r="G20" s="2664"/>
      <c r="H20" s="2664"/>
      <c r="I20" s="2664"/>
      <c r="J20" s="2439"/>
      <c r="K20" s="3528"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2208</v>
      </c>
      <c r="C21" s="2634" t="s">
        <v>1057</v>
      </c>
      <c r="D21" s="1568" t="s">
        <v>2209</v>
      </c>
      <c r="E21" s="2635" t="s">
        <v>1057</v>
      </c>
      <c r="F21" s="2648"/>
      <c r="G21" s="2664"/>
      <c r="H21" s="2664"/>
      <c r="I21" s="2664"/>
      <c r="J21" s="2439"/>
      <c r="K21" s="352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2210</v>
      </c>
      <c r="C22" s="2634" t="s">
        <v>1058</v>
      </c>
      <c r="D22" s="2663"/>
      <c r="E22" s="2663"/>
      <c r="F22" s="2663"/>
      <c r="G22" s="2664"/>
      <c r="H22" s="2664"/>
      <c r="I22" s="2664"/>
      <c r="J22" s="2439"/>
      <c r="K22" s="352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6" t="s">
        <v>2213</v>
      </c>
      <c r="B27" s="320" t="s">
        <v>2214</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6"/>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6"/>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7"/>
      <c r="B30" s="302" t="s">
        <v>2217</v>
      </c>
      <c r="C30" s="3518"/>
      <c r="D30" s="3519"/>
      <c r="E30" s="2664"/>
      <c r="F30" s="2664"/>
      <c r="G30" s="2664"/>
      <c r="H30" s="2664"/>
      <c r="I30" s="2664"/>
      <c r="J30" s="2439"/>
      <c r="K30" s="2616"/>
      <c r="L30" s="2613"/>
      <c r="M30" s="2613"/>
      <c r="N30" s="2439"/>
      <c r="O30" s="2450"/>
      <c r="P30" s="2439"/>
      <c r="Q30" s="2439"/>
      <c r="R30" s="2439"/>
      <c r="S30" s="2439"/>
      <c r="T30" s="2439"/>
      <c r="U30" s="2439"/>
      <c r="V30" s="2439"/>
    </row>
    <row r="31" spans="1:28">
      <c r="A31" s="3520"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1"/>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1"/>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515" t="s">
        <v>2227</v>
      </c>
      <c r="T34" s="2428" t="str">
        <f>NUMBERSTRING(7-K34,1)&amp;"通"</f>
        <v>七通</v>
      </c>
      <c r="U34" s="2439"/>
      <c r="V34" s="2439"/>
    </row>
    <row r="35" spans="1:30">
      <c r="A35" s="2429"/>
      <c r="B35" s="3522" t="s">
        <v>2228</v>
      </c>
      <c r="C35" s="3522"/>
      <c r="D35" s="3522"/>
      <c r="E35" s="3522"/>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5"/>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4" t="s">
        <v>2582</v>
      </c>
      <c r="G36" s="2664"/>
      <c r="H36" s="2664"/>
      <c r="I36" s="2664"/>
      <c r="J36" s="2439"/>
      <c r="K36" s="2616"/>
      <c r="L36" s="2613"/>
      <c r="M36" s="2613"/>
      <c r="N36" s="2439"/>
      <c r="O36" s="2450"/>
      <c r="P36" s="2439"/>
      <c r="Q36" s="2439"/>
      <c r="R36" s="2439"/>
      <c r="S36" s="2439"/>
      <c r="T36" s="2439"/>
      <c r="U36" s="2439"/>
      <c r="V36" s="2439"/>
    </row>
    <row r="37" spans="1:30">
      <c r="A37" s="2630" t="s">
        <v>2229</v>
      </c>
      <c r="B37" s="2431" t="s">
        <v>306</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2230</v>
      </c>
      <c r="B38" s="2432" t="s">
        <v>3471</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1562.24</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1562.24</v>
      </c>
      <c r="H5" s="13">
        <f t="shared" ref="H5:AT5" si="0">SUM(H13:H656)</f>
        <v>1562.24</v>
      </c>
      <c r="I5" s="13">
        <f t="shared" si="0"/>
        <v>1562.24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1562.24</v>
      </c>
      <c r="BA5" s="15">
        <f t="shared" si="1"/>
        <v>1562.24</v>
      </c>
      <c r="BB5" s="15">
        <f t="shared" si="1"/>
        <v>1562.24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53" t="s">
        <v>3469</v>
      </c>
      <c r="D13" s="1625" t="s">
        <v>3385</v>
      </c>
      <c r="E13" s="13">
        <f>IF($C$3="是",ROUND($A$3*G13/$B$3,2),ROUND($A$3*(G13-AT13)/$B$3,2))</f>
        <v>0</v>
      </c>
      <c r="F13" s="29"/>
      <c r="G13" s="30">
        <f>H13+AC13+AT13</f>
        <v>1562.24</v>
      </c>
      <c r="H13" s="17">
        <f>SUMIF(I$12:AB$12,"总值",I13:AB13)</f>
        <v>1562.24</v>
      </c>
      <c r="I13" s="1626">
        <v>1562.24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1-2层商业</v>
      </c>
      <c r="AY13" s="1349">
        <f>ROUND($AY$6*AZ13/$AZ$5,2)</f>
        <v>0</v>
      </c>
      <c r="AZ13" s="13">
        <f>BA13+BL13</f>
        <v>1562.24</v>
      </c>
      <c r="BA13" s="13">
        <f>SUM(BB13:BK13)</f>
        <v>1562.24</v>
      </c>
      <c r="BB13" s="13">
        <f>IF($D13="是",I13-J13,0)</f>
        <v>1562.24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3453"/>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3453"/>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3453"/>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3453"/>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85" zoomScaleNormal="100" zoomScaleSheetLayoutView="85" workbookViewId="0">
      <selection activeCell="C20" sqref="C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4" t="s">
        <v>1131</v>
      </c>
      <c r="B2" s="3554"/>
      <c r="C2" s="3554"/>
      <c r="D2" s="796" t="s">
        <v>1107</v>
      </c>
      <c r="E2" s="1639" t="s">
        <v>1108</v>
      </c>
      <c r="F2" s="2659"/>
      <c r="G2" s="2650"/>
      <c r="H2" s="2651"/>
      <c r="I2" s="2325" t="s">
        <v>1132</v>
      </c>
      <c r="J2" s="2659"/>
      <c r="K2" s="2659"/>
      <c r="L2" s="2659"/>
      <c r="M2" s="2659"/>
      <c r="N2" s="2661"/>
      <c r="O2" s="2659"/>
      <c r="P2" s="2659"/>
    </row>
    <row r="3" spans="1:16" ht="15.75" thickBot="1">
      <c r="A3" s="3555" t="s">
        <v>1105</v>
      </c>
      <c r="B3" s="3555"/>
      <c r="C3" s="3555"/>
      <c r="D3" s="43">
        <f>'数据-基础表'!AY6</f>
        <v>0</v>
      </c>
      <c r="E3" s="43">
        <f>'数据-基础表'!AZ5</f>
        <v>1562.24</v>
      </c>
      <c r="F3" s="2659"/>
      <c r="G3" s="1145"/>
      <c r="H3" s="1026" t="s">
        <v>1106</v>
      </c>
      <c r="I3" s="855" t="e">
        <f>ROUND('数据-基础表'!B3/'数据-基础表'!A3,2)</f>
        <v>#DIV/0!</v>
      </c>
      <c r="J3" s="2659"/>
      <c r="K3" s="2659"/>
      <c r="L3" s="2659"/>
      <c r="M3" s="2659"/>
      <c r="N3" s="2661"/>
      <c r="O3" s="2659"/>
      <c r="P3" s="2659"/>
    </row>
    <row r="4" spans="1:16" ht="15">
      <c r="A4" s="3556"/>
      <c r="B4" s="3557"/>
      <c r="C4" s="3558"/>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59" t="s">
        <v>1110</v>
      </c>
      <c r="C5" s="3559"/>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59" t="s">
        <v>1111</v>
      </c>
      <c r="C6" s="3559"/>
      <c r="D6" s="45">
        <f>ROUND($D$3*E6/$E$3,2)</f>
        <v>0</v>
      </c>
      <c r="E6" s="46">
        <f>E3-E5</f>
        <v>1562.24</v>
      </c>
      <c r="F6" s="2659"/>
      <c r="G6" s="2653" t="s">
        <v>1112</v>
      </c>
      <c r="H6" s="1146" t="s">
        <v>1113</v>
      </c>
      <c r="I6" s="2654" t="e">
        <f>ROUND(F31/D31,2)</f>
        <v>#DIV/0!</v>
      </c>
      <c r="J6" s="2659"/>
      <c r="K6" s="2659"/>
      <c r="L6" s="2659"/>
      <c r="M6" s="2659"/>
      <c r="N6" s="2659"/>
      <c r="O6" s="2659"/>
      <c r="P6" s="2659"/>
    </row>
    <row r="7" spans="1:16" ht="15.75" thickBot="1">
      <c r="A7" s="3551"/>
      <c r="B7" s="3552"/>
      <c r="C7" s="3553"/>
      <c r="D7" s="1641" t="s">
        <v>1107</v>
      </c>
      <c r="E7" s="1645" t="s">
        <v>1114</v>
      </c>
      <c r="F7" s="2659"/>
      <c r="G7" s="2655" t="s">
        <v>1115</v>
      </c>
      <c r="H7" s="2656"/>
      <c r="I7" s="2657">
        <v>2.5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1562.24</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1562.24</v>
      </c>
      <c r="F16" s="2659"/>
      <c r="G16" s="2660"/>
      <c r="H16" s="1648" t="s">
        <v>1135</v>
      </c>
      <c r="I16" s="1649"/>
      <c r="J16" s="1139"/>
      <c r="K16" s="3548" t="s">
        <v>1135</v>
      </c>
      <c r="L16" s="3549"/>
      <c r="M16" s="3549"/>
      <c r="N16" s="3549"/>
      <c r="O16" s="3549"/>
      <c r="P16" s="3550"/>
    </row>
    <row r="17" spans="1:19" ht="15">
      <c r="A17" s="1650" t="s">
        <v>1136</v>
      </c>
      <c r="B17" s="1651" t="s">
        <v>1137</v>
      </c>
      <c r="C17" s="1652" t="s">
        <v>1138</v>
      </c>
      <c r="D17" s="1653" t="s">
        <v>1126</v>
      </c>
      <c r="E17" s="1654" t="s">
        <v>1127</v>
      </c>
      <c r="F17" s="1655"/>
      <c r="G17" s="1656"/>
      <c r="H17" s="1657" t="s">
        <v>1139</v>
      </c>
      <c r="I17" s="1658" t="s">
        <v>1124</v>
      </c>
      <c r="J17" s="1139"/>
      <c r="K17" s="3545" t="s">
        <v>1140</v>
      </c>
      <c r="L17" s="3546"/>
      <c r="M17" s="3547"/>
      <c r="N17" s="3545" t="s">
        <v>1141</v>
      </c>
      <c r="O17" s="3546"/>
      <c r="P17" s="3547"/>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3470</v>
      </c>
      <c r="D19" s="45">
        <f>ROUND($D$3*E19/$E$3,2)</f>
        <v>0</v>
      </c>
      <c r="E19" s="53">
        <f t="shared" ref="E19:E26" si="1">SUM(F19:G19)</f>
        <v>1562.24</v>
      </c>
      <c r="F19" s="2794">
        <f>'数据-基础表'!I13</f>
        <v>1562.24</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1562.24</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1562.24</v>
      </c>
      <c r="F27" s="1140">
        <f>IF(SUM(F19:F26)=E8,SUM(F19:F26),"地上面积有误")</f>
        <v>1562.24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1562.24</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1562.24</v>
      </c>
      <c r="F31" s="677">
        <f>F27+F30</f>
        <v>1562.24</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N6" activePane="bottomRight" state="frozen"/>
      <selection activeCell="C50" sqref="C50"/>
      <selection pane="topRight" activeCell="C50" sqref="C50"/>
      <selection pane="bottomLeft" activeCell="C50" sqref="C50"/>
      <selection pane="bottomRight" activeCell="R28" sqref="R28"/>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45279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3387</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1-2层商业</v>
      </c>
      <c r="B6" s="1713" t="str">
        <f>IF(A6=0,"","经营性")</f>
        <v>经营性</v>
      </c>
      <c r="C6" s="1714" t="s">
        <v>673</v>
      </c>
      <c r="D6" s="858">
        <f>SUMIF(项目基本情况!C$12:I$12,C6,项目基本情况!C$14:I$14)</f>
        <v>40</v>
      </c>
      <c r="E6" s="857">
        <f>IF(B6="","",SUMIF(项目基本情况!C$12:I$12,C6,项目基本情况!C$13:I$13))</f>
        <v>52162</v>
      </c>
      <c r="F6" s="64">
        <f>SUMIF(项目基本情况!C$12:I$12,C6,项目基本情况!C$15:I$15)</f>
        <v>18.850000000000001</v>
      </c>
      <c r="G6" s="65">
        <f>IF(ISERROR(ROUND(POWER(1+H6,D6-F6)*(POWER(1+H6,F6)-1)/(POWER(1+H6,D6)-1),3)),0,ROUND(POWER(1+H6,D6-F6)*(POWER(1+H6,F6)-1)/(POWER(1+H6,D6)-1),3))</f>
        <v>0.70099999999999996</v>
      </c>
      <c r="H6" s="732">
        <v>0.05</v>
      </c>
      <c r="I6" s="732">
        <v>5.5E-2</v>
      </c>
      <c r="J6" s="66">
        <v>7.0000000000000007E-2</v>
      </c>
      <c r="K6" s="1030">
        <f>SUMIF('数据-汇总表'!C$19:C$33,A6,'数据-汇总表'!E$19:E$33)</f>
        <v>1562.24</v>
      </c>
      <c r="L6" s="3469">
        <v>3000</v>
      </c>
      <c r="M6" s="67">
        <f t="shared" ref="M6:M14" si="0">ROUND(K6*L6/10000,0)</f>
        <v>469</v>
      </c>
      <c r="N6" s="731">
        <v>0.7</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7">
        <v>2.2999999999999998</v>
      </c>
      <c r="V6" s="70">
        <v>0.02</v>
      </c>
      <c r="W6" s="70">
        <v>0.1</v>
      </c>
      <c r="X6" s="1040"/>
      <c r="Y6" s="71">
        <f>N6</f>
        <v>0.7</v>
      </c>
      <c r="Z6" s="72"/>
      <c r="AA6" s="66"/>
      <c r="AB6" s="66"/>
      <c r="AC6" s="1040"/>
      <c r="AD6" s="73"/>
      <c r="AE6" s="1041">
        <f ca="1">IF(AN6="",0,SUMIF(INDIRECT("'"&amp;AN6&amp;"'"&amp;"!E:E"),$AE$5,INDIRECT("'"&amp;AN6&amp;"'"&amp;"!F:F")))</f>
        <v>18.850000000000001</v>
      </c>
      <c r="AF6" s="1348"/>
      <c r="AG6" s="138">
        <f>IF(AF6="",0,AE6-AF6)</f>
        <v>0</v>
      </c>
      <c r="AH6" s="74"/>
      <c r="AI6" s="76">
        <v>365</v>
      </c>
      <c r="AJ6" s="77"/>
      <c r="AK6" s="78">
        <v>0.01</v>
      </c>
      <c r="AL6" s="79">
        <v>1E-3</v>
      </c>
      <c r="AM6" s="80">
        <v>0.01</v>
      </c>
      <c r="AN6" s="1715" t="s">
        <v>3388</v>
      </c>
      <c r="AO6" s="52">
        <f ca="1">SUMIF(INDIRECT("'"&amp;AN6&amp;"'"&amp;"!A:A"),"总价",INDIRECT("'"&amp;AN6&amp;"'"&amp;"!B:B"))</f>
        <v>1283.9688000000001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0.70099999999999996</v>
      </c>
      <c r="H16" s="90">
        <f>ROUND(SUMPRODUCT(H6:H13,K6:K13)/SUMPRODUCT((H6:H13&gt;0)*(K6:K13)),3)</f>
        <v>0.05</v>
      </c>
      <c r="I16" s="91"/>
      <c r="J16" s="91"/>
      <c r="K16" s="92">
        <f>SUM(K6:K15)</f>
        <v>1562.24</v>
      </c>
      <c r="L16" s="93">
        <f>ROUND(M16*10000/SUM(K6:K14),0)</f>
        <v>3002</v>
      </c>
      <c r="M16" s="93">
        <f>SUM(M6:M14)</f>
        <v>469</v>
      </c>
      <c r="N16" s="94">
        <f>ROUND(SUMPRODUCT(M6:M14,N6:N14)/M16,3)</f>
        <v>0.7</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v>2018</v>
      </c>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v>0</v>
      </c>
      <c r="C19" s="2798" t="s">
        <v>2304</v>
      </c>
      <c r="D19" s="2675"/>
      <c r="E19" s="2672"/>
      <c r="F19" s="2672"/>
      <c r="G19" s="2672"/>
      <c r="H19" s="2672"/>
      <c r="I19" s="2672"/>
      <c r="J19" s="2672"/>
      <c r="K19" s="2671"/>
      <c r="L19" s="2671"/>
      <c r="M19" s="2670"/>
      <c r="N19" s="2670">
        <f>ROUND(1-(2023-N18)/60,2)</f>
        <v>0.92</v>
      </c>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1</v>
      </c>
      <c r="C20" s="2799" t="s">
        <v>2302</v>
      </c>
      <c r="D20" s="2675"/>
      <c r="E20" s="2672"/>
      <c r="F20" s="2672"/>
      <c r="G20" s="2672"/>
      <c r="H20" s="2672"/>
      <c r="I20" s="2672"/>
      <c r="J20" s="2672"/>
      <c r="K20" s="2671"/>
      <c r="L20" s="2671"/>
      <c r="M20" s="2670"/>
      <c r="N20" s="2670">
        <v>0.8</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v>1</v>
      </c>
      <c r="C21" s="2672"/>
      <c r="D21" s="2675"/>
      <c r="E21" s="2672"/>
      <c r="F21" s="2672"/>
      <c r="G21" s="2672"/>
      <c r="H21" s="2672"/>
      <c r="I21" s="2672"/>
      <c r="J21" s="2672"/>
      <c r="K21" s="2671"/>
      <c r="L21" s="2671"/>
      <c r="M21" s="2670"/>
      <c r="N21" s="2670">
        <f>(N19+N20)/2</f>
        <v>0.8600000000000001</v>
      </c>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1</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1</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c r="C27" s="2800" t="s">
        <v>2306</v>
      </c>
      <c r="D27" s="2678"/>
      <c r="E27" s="2661"/>
      <c r="F27" s="2661"/>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190</v>
      </c>
      <c r="C28" s="2679"/>
      <c r="D28" s="2678"/>
      <c r="E28" s="2661"/>
      <c r="F28" s="2661"/>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1" t="s">
        <v>2293</v>
      </c>
      <c r="D29" s="2678"/>
      <c r="E29" s="2661"/>
      <c r="F29" s="2661"/>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1"/>
      <c r="F30" s="2661"/>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1"/>
      <c r="F31" s="2661"/>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2" t="s">
        <v>2294</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2" t="s">
        <v>2295</v>
      </c>
      <c r="D34" s="2683" t="s">
        <v>2303</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2296</v>
      </c>
      <c r="D35" s="2678"/>
      <c r="E35" s="2661"/>
      <c r="F35" s="2661"/>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2" t="s">
        <v>2297</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0.02</v>
      </c>
      <c r="C37" s="2802" t="s">
        <v>2298</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0.02</v>
      </c>
      <c r="C38" s="2802" t="s">
        <v>2298</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2313</v>
      </c>
      <c r="B40" s="1078">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0.05</v>
      </c>
      <c r="C44" s="2802" t="s">
        <v>2307</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2299</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2300</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2308</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2299</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2301</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1"/>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1"/>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0</v>
      </c>
      <c r="C52" s="2661"/>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c r="C53" s="2661" t="s">
        <v>1246</v>
      </c>
      <c r="D53" s="2803" t="s">
        <v>2305</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1">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1">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1">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1">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1">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c r="C59" s="2661">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4"/>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4"/>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4"/>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4"/>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4"/>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0" t="s">
        <v>2285</v>
      </c>
      <c r="B1" s="3561"/>
      <c r="C1" s="3561"/>
      <c r="D1" s="3561"/>
      <c r="E1" s="3561"/>
      <c r="F1" s="3561"/>
      <c r="G1" s="356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6.75">
      <c r="A4" s="2442"/>
      <c r="B4" s="323" t="s">
        <v>2253</v>
      </c>
      <c r="C4" s="2468" t="s">
        <v>2254</v>
      </c>
      <c r="D4" s="2465"/>
      <c r="E4" s="2469"/>
      <c r="F4" s="1373" t="s">
        <v>2255</v>
      </c>
      <c r="G4" s="2470" t="s">
        <v>2256</v>
      </c>
      <c r="H4" s="799"/>
      <c r="I4" s="799"/>
      <c r="J4" s="799"/>
      <c r="K4" s="799"/>
      <c r="L4" s="799"/>
      <c r="M4" s="799"/>
      <c r="N4" s="799"/>
      <c r="O4" s="799"/>
      <c r="P4" s="799"/>
      <c r="Q4" s="799"/>
      <c r="R4" s="799"/>
    </row>
    <row r="5" spans="1:29" ht="36.75">
      <c r="A5" s="2442"/>
      <c r="B5" s="323" t="s">
        <v>2257</v>
      </c>
      <c r="C5" s="2468" t="s">
        <v>2258</v>
      </c>
      <c r="D5" s="2465"/>
      <c r="E5" s="2469"/>
      <c r="F5" s="323" t="s">
        <v>2259</v>
      </c>
      <c r="G5" s="2470" t="s">
        <v>2260</v>
      </c>
      <c r="H5" s="799"/>
      <c r="I5" s="799"/>
      <c r="J5" s="799"/>
      <c r="K5" s="799"/>
      <c r="L5" s="799"/>
      <c r="M5" s="799"/>
      <c r="N5" s="799"/>
      <c r="O5" s="799"/>
      <c r="P5" s="799"/>
      <c r="Q5" s="799"/>
      <c r="R5" s="799"/>
    </row>
    <row r="6" spans="1:29" ht="36">
      <c r="A6" s="2442"/>
      <c r="B6" s="323" t="s">
        <v>2261</v>
      </c>
      <c r="C6" s="2470" t="s">
        <v>2256</v>
      </c>
      <c r="D6" s="2465"/>
      <c r="E6" s="2469"/>
      <c r="F6" s="323" t="s">
        <v>2262</v>
      </c>
      <c r="G6" s="2470" t="s">
        <v>2263</v>
      </c>
      <c r="H6" s="799"/>
      <c r="I6" s="799"/>
      <c r="J6" s="799"/>
      <c r="K6" s="799"/>
      <c r="L6" s="799"/>
      <c r="M6" s="799"/>
      <c r="N6" s="799"/>
      <c r="O6" s="799"/>
      <c r="P6" s="799"/>
      <c r="Q6" s="799"/>
      <c r="R6" s="799"/>
    </row>
    <row r="7" spans="1:29" ht="24.75"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5"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2286</v>
      </c>
      <c r="B13" s="2484"/>
      <c r="C13" s="2484"/>
      <c r="D13" s="2482"/>
      <c r="E13" s="2484"/>
      <c r="F13" s="2484"/>
      <c r="G13" s="2484"/>
    </row>
    <row r="14" spans="1:29" ht="15" thickBot="1">
      <c r="A14" s="2494"/>
      <c r="B14" s="2494"/>
      <c r="C14" s="2495" t="s">
        <v>2269</v>
      </c>
      <c r="D14" s="2465"/>
      <c r="E14" s="2496"/>
      <c r="F14" s="2496"/>
      <c r="G14" s="2460" t="s">
        <v>2270</v>
      </c>
    </row>
    <row r="15" spans="1:29" ht="51">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8.25">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8.25">
      <c r="A17" s="2446"/>
      <c r="B17" s="2500" t="s">
        <v>2257</v>
      </c>
      <c r="C17" s="2501" t="str">
        <f>C5</f>
        <v>估价对象位于XX商圈，周边办公楼项目较多，入驻率高，办公集聚程度较好</v>
      </c>
      <c r="D17" s="2471"/>
      <c r="E17" s="2447"/>
      <c r="F17" s="2502" t="s">
        <v>2274</v>
      </c>
      <c r="G17" s="2504"/>
    </row>
    <row r="18" spans="1:18" ht="38.25">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5.5">
      <c r="A19" s="2446"/>
      <c r="B19" s="2502" t="s">
        <v>2275</v>
      </c>
      <c r="C19" s="2504"/>
      <c r="D19" s="2465"/>
      <c r="E19" s="2447"/>
      <c r="F19" s="323" t="s">
        <v>2259</v>
      </c>
      <c r="G19" s="2503" t="str">
        <f>G5</f>
        <v>估价对象所在区域公共配套设施齐备情况</v>
      </c>
    </row>
    <row r="20" spans="1:18" ht="25.5">
      <c r="A20" s="2446"/>
      <c r="B20" s="2502" t="s">
        <v>2276</v>
      </c>
      <c r="C20" s="2501" t="str">
        <f>C9</f>
        <v>区域自然环境：；人文环境；综合评价环境状况一般</v>
      </c>
      <c r="D20" s="2471"/>
      <c r="E20" s="2447"/>
      <c r="F20" s="323" t="s">
        <v>2262</v>
      </c>
      <c r="G20" s="2503" t="str">
        <f>G6</f>
        <v>估价对象所在区域基础设施水平</v>
      </c>
    </row>
    <row r="21" spans="1:18" ht="25.5">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5"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5"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B3" sqref="B3"/>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1562.24</v>
      </c>
      <c r="C1" s="2685"/>
      <c r="D1" s="2685"/>
      <c r="E1" s="2685"/>
      <c r="F1" s="2685"/>
      <c r="G1" s="2686"/>
      <c r="H1" s="2687"/>
      <c r="I1" s="2687"/>
      <c r="J1" s="2687"/>
      <c r="K1" s="2687"/>
    </row>
    <row r="2" spans="1:11" ht="16.5">
      <c r="A2" s="2512" t="s">
        <v>653</v>
      </c>
      <c r="B2" s="2512">
        <f>SUM(C14:C23)</f>
        <v>0</v>
      </c>
      <c r="C2" s="2685"/>
      <c r="D2" s="2685"/>
      <c r="E2" s="2685"/>
      <c r="F2" s="2685"/>
      <c r="G2" s="2686"/>
      <c r="H2" s="2687"/>
      <c r="I2" s="2687"/>
      <c r="J2" s="2687"/>
      <c r="K2" s="2687"/>
    </row>
    <row r="3" spans="1:11" ht="16.5">
      <c r="A3" s="2512" t="s">
        <v>662</v>
      </c>
      <c r="B3" s="2514">
        <f>项目基本情况!D3</f>
        <v>45279</v>
      </c>
      <c r="C3" s="2685"/>
      <c r="D3" s="2685"/>
      <c r="E3" s="2685"/>
      <c r="F3" s="2685"/>
      <c r="G3" s="2686"/>
      <c r="H3" s="2687"/>
      <c r="I3" s="2687"/>
      <c r="J3" s="2687"/>
      <c r="K3" s="2687"/>
    </row>
    <row r="4" spans="1:11" ht="33">
      <c r="A4" s="2512" t="s">
        <v>661</v>
      </c>
      <c r="B4" s="2512" t="s">
        <v>660</v>
      </c>
      <c r="C4" s="2512" t="s">
        <v>659</v>
      </c>
      <c r="D4" s="2512" t="s">
        <v>658</v>
      </c>
      <c r="E4" s="2685"/>
      <c r="F4" s="2686"/>
      <c r="G4" s="2686"/>
      <c r="H4" s="2687"/>
      <c r="I4" s="2687"/>
      <c r="J4" s="2687"/>
      <c r="K4" s="2687"/>
    </row>
    <row r="5" spans="1:11" ht="16.5">
      <c r="A5" s="2512" t="s">
        <v>657</v>
      </c>
      <c r="B5" s="2512">
        <f ca="1">SUM(D14:D23)</f>
        <v>1316</v>
      </c>
      <c r="C5" s="2512">
        <f ca="1">IF(B5=D14,结果表!H102,ROUND(B5*10000/$B$1,0))</f>
        <v>8425</v>
      </c>
      <c r="D5" s="2512" t="e">
        <f ca="1">ROUND(B5*10000/$B$2,0)</f>
        <v>#DIV/0!</v>
      </c>
      <c r="E5" s="2685"/>
      <c r="F5" s="2686"/>
      <c r="G5" s="2686"/>
      <c r="H5" s="2687"/>
      <c r="I5" s="2687"/>
      <c r="J5" s="2687"/>
      <c r="K5" s="2687"/>
    </row>
    <row r="6" spans="1:11" ht="16.5">
      <c r="A6" s="2512" t="s">
        <v>656</v>
      </c>
      <c r="B6" s="2512">
        <f ca="1">SUM(G14:G23)</f>
        <v>1316</v>
      </c>
      <c r="C6" s="2512">
        <f ca="1">IF(B6=G14,结果表!H108,ROUND(B6*10000/$B$1,0))</f>
        <v>8425</v>
      </c>
      <c r="D6" s="2512" t="e">
        <f ca="1">ROUND(B6*10000/$B$2,0)</f>
        <v>#DIV/0!</v>
      </c>
      <c r="E6" s="2685"/>
      <c r="F6" s="2686"/>
      <c r="G6" s="2686"/>
      <c r="H6" s="2687"/>
      <c r="I6" s="2687"/>
      <c r="J6" s="2687"/>
      <c r="K6" s="2687"/>
    </row>
    <row r="7" spans="1:11" ht="16.5">
      <c r="A7" s="2512" t="s">
        <v>664</v>
      </c>
      <c r="B7" s="2512">
        <f>SUM(H14:H23)</f>
        <v>0</v>
      </c>
      <c r="C7" s="2512" t="str">
        <f>IF(B7=H14,结果表!H110,ROUND(B7*10000/$B$1,0))</f>
        <v>——</v>
      </c>
      <c r="D7" s="2512" t="e">
        <f>ROUND(B7*10000/$B$2,0)</f>
        <v>#DIV/0!</v>
      </c>
      <c r="E7" s="2685"/>
      <c r="F7" s="2686"/>
      <c r="G7" s="2686"/>
      <c r="H7" s="2687"/>
      <c r="I7" s="2687"/>
      <c r="J7" s="2687"/>
      <c r="K7" s="2687"/>
    </row>
    <row r="8" spans="1:11" ht="16.5">
      <c r="A8" s="2512" t="s">
        <v>587</v>
      </c>
      <c r="B8" s="2512">
        <f>SUM(I14:I23)</f>
        <v>0</v>
      </c>
      <c r="C8" s="2512" t="str">
        <f>IF(B8=I14,结果表!H112,ROUND(B8*10000/$B$1,0))</f>
        <v>——</v>
      </c>
      <c r="D8" s="2512" t="e">
        <f>ROUND(B8*10000/$B$2,0)</f>
        <v>#DIV/0!</v>
      </c>
      <c r="E8" s="2685"/>
      <c r="F8" s="2686"/>
      <c r="G8" s="2686"/>
      <c r="H8" s="2687"/>
      <c r="I8" s="2687"/>
      <c r="J8" s="2687"/>
      <c r="K8" s="2687"/>
    </row>
    <row r="9" spans="1:11" ht="16.5">
      <c r="A9" s="2512" t="s">
        <v>655</v>
      </c>
      <c r="B9" s="2520"/>
      <c r="C9" s="2685"/>
      <c r="D9" s="2685"/>
      <c r="E9" s="2685"/>
      <c r="F9" s="2686"/>
      <c r="G9" s="2686"/>
      <c r="H9" s="2687"/>
      <c r="I9" s="2687"/>
      <c r="J9" s="2687"/>
      <c r="K9" s="2687"/>
    </row>
    <row r="10" spans="1:11" ht="16.5">
      <c r="A10" s="2512" t="s">
        <v>654</v>
      </c>
      <c r="B10" s="2512">
        <f>IF(E10="",0,ROUND(B1*(E10*365/G10)/10000,0))</f>
        <v>0</v>
      </c>
      <c r="C10" s="2512" t="s">
        <v>3357</v>
      </c>
      <c r="D10" s="2512" t="s">
        <v>3358</v>
      </c>
      <c r="E10" s="3440"/>
      <c r="F10" s="3444" t="s">
        <v>3359</v>
      </c>
      <c r="G10" s="3441"/>
      <c r="H10" s="2687"/>
      <c r="I10" s="2687"/>
      <c r="J10" s="2687"/>
      <c r="K10" s="2687"/>
    </row>
    <row r="11" spans="1:11" ht="16.5">
      <c r="A11" s="2512" t="s">
        <v>670</v>
      </c>
      <c r="B11" s="2520"/>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5" t="s">
        <v>669</v>
      </c>
      <c r="B13" s="2516" t="s">
        <v>666</v>
      </c>
      <c r="C13" s="2516" t="s">
        <v>668</v>
      </c>
      <c r="D13" s="2516" t="s">
        <v>667</v>
      </c>
      <c r="E13" s="2512" t="s">
        <v>659</v>
      </c>
      <c r="F13" s="2512" t="s">
        <v>658</v>
      </c>
      <c r="G13" s="2516" t="s">
        <v>652</v>
      </c>
      <c r="H13" s="2516" t="s">
        <v>663</v>
      </c>
      <c r="I13" s="2516" t="s">
        <v>651</v>
      </c>
      <c r="J13" s="2686"/>
      <c r="K13" s="2687"/>
    </row>
    <row r="14" spans="1:11" ht="16.5">
      <c r="A14" s="2517" t="s">
        <v>650</v>
      </c>
      <c r="B14" s="2518">
        <f>典型户型修正!B22</f>
        <v>1562.24</v>
      </c>
      <c r="C14" s="2518"/>
      <c r="D14" s="2518">
        <f ca="1">ROUND(B14*E14/10000,0)</f>
        <v>1316</v>
      </c>
      <c r="E14" s="2518">
        <f ca="1">结果表!G20</f>
        <v>8425</v>
      </c>
      <c r="F14" s="2518" t="e">
        <f ca="1">ROUND(D14*10000/C14,0)</f>
        <v>#DIV/0!</v>
      </c>
      <c r="G14" s="2518">
        <f ca="1">D14</f>
        <v>1316</v>
      </c>
      <c r="H14" s="2518"/>
      <c r="I14" s="2518"/>
      <c r="J14" s="2686"/>
      <c r="K14" s="2687"/>
    </row>
    <row r="15" spans="1:11" ht="16.5">
      <c r="A15" s="2517" t="s">
        <v>649</v>
      </c>
      <c r="B15" s="2519"/>
      <c r="C15" s="2519"/>
      <c r="D15" s="2519"/>
      <c r="E15" s="2518" t="e">
        <f t="shared" ref="E15:E23" si="0">ROUND(D15*10000/B15,0)</f>
        <v>#DIV/0!</v>
      </c>
      <c r="F15" s="2518" t="e">
        <f t="shared" ref="F15:F23" si="1">ROUND(D15*10000/C15,0)</f>
        <v>#DIV/0!</v>
      </c>
      <c r="G15" s="1331"/>
      <c r="H15" s="1331"/>
      <c r="I15" s="2519"/>
      <c r="J15" s="2686"/>
      <c r="K15" s="2687"/>
    </row>
    <row r="16" spans="1:11" ht="16.5">
      <c r="A16" s="2517" t="s">
        <v>648</v>
      </c>
      <c r="B16" s="2519"/>
      <c r="C16" s="2519"/>
      <c r="D16" s="2519"/>
      <c r="E16" s="2518" t="e">
        <f t="shared" si="0"/>
        <v>#DIV/0!</v>
      </c>
      <c r="F16" s="2518" t="e">
        <f t="shared" si="1"/>
        <v>#DIV/0!</v>
      </c>
      <c r="G16" s="1331"/>
      <c r="H16" s="1331"/>
      <c r="I16" s="2519"/>
      <c r="J16" s="2687"/>
      <c r="K16" s="2687"/>
    </row>
    <row r="17" spans="1:11" ht="16.5">
      <c r="A17" s="2517" t="s">
        <v>647</v>
      </c>
      <c r="B17" s="2519"/>
      <c r="C17" s="2519"/>
      <c r="D17" s="2519"/>
      <c r="E17" s="2518" t="e">
        <f t="shared" si="0"/>
        <v>#DIV/0!</v>
      </c>
      <c r="F17" s="2518" t="e">
        <f t="shared" si="1"/>
        <v>#DIV/0!</v>
      </c>
      <c r="G17" s="1331"/>
      <c r="H17" s="1331"/>
      <c r="I17" s="2519"/>
      <c r="J17" s="2687"/>
      <c r="K17" s="2687"/>
    </row>
    <row r="18" spans="1:11" ht="16.5">
      <c r="A18" s="2517" t="s">
        <v>646</v>
      </c>
      <c r="B18" s="2519"/>
      <c r="C18" s="2519"/>
      <c r="D18" s="2519"/>
      <c r="E18" s="2518" t="e">
        <f t="shared" si="0"/>
        <v>#DIV/0!</v>
      </c>
      <c r="F18" s="2518" t="e">
        <f t="shared" si="1"/>
        <v>#DIV/0!</v>
      </c>
      <c r="G18" s="2519"/>
      <c r="H18" s="2519"/>
      <c r="I18" s="2519"/>
      <c r="J18" s="2687"/>
      <c r="K18" s="2687"/>
    </row>
    <row r="19" spans="1:11" ht="16.5">
      <c r="A19" s="2517" t="s">
        <v>645</v>
      </c>
      <c r="B19" s="2519"/>
      <c r="C19" s="2519"/>
      <c r="D19" s="2519"/>
      <c r="E19" s="2518" t="e">
        <f t="shared" si="0"/>
        <v>#DIV/0!</v>
      </c>
      <c r="F19" s="2518" t="e">
        <f t="shared" si="1"/>
        <v>#DIV/0!</v>
      </c>
      <c r="G19" s="2519"/>
      <c r="H19" s="2519"/>
      <c r="I19" s="2519"/>
      <c r="J19" s="2687"/>
      <c r="K19" s="2687"/>
    </row>
    <row r="20" spans="1:11" ht="16.5">
      <c r="A20" s="2517" t="s">
        <v>644</v>
      </c>
      <c r="B20" s="2519"/>
      <c r="C20" s="2519"/>
      <c r="D20" s="2519"/>
      <c r="E20" s="2518" t="e">
        <f t="shared" si="0"/>
        <v>#DIV/0!</v>
      </c>
      <c r="F20" s="2518" t="e">
        <f t="shared" si="1"/>
        <v>#DIV/0!</v>
      </c>
      <c r="G20" s="2519"/>
      <c r="H20" s="2519"/>
      <c r="I20" s="2519"/>
      <c r="J20" s="2687"/>
      <c r="K20" s="2687"/>
    </row>
    <row r="21" spans="1:11" ht="16.5">
      <c r="A21" s="2517" t="s">
        <v>643</v>
      </c>
      <c r="B21" s="2519"/>
      <c r="C21" s="2519"/>
      <c r="D21" s="2519"/>
      <c r="E21" s="2518" t="e">
        <f t="shared" si="0"/>
        <v>#DIV/0!</v>
      </c>
      <c r="F21" s="2518" t="e">
        <f t="shared" si="1"/>
        <v>#DIV/0!</v>
      </c>
      <c r="G21" s="2519"/>
      <c r="H21" s="2519"/>
      <c r="I21" s="2519"/>
      <c r="J21" s="2687"/>
      <c r="K21" s="2687"/>
    </row>
    <row r="22" spans="1:11" ht="16.5">
      <c r="A22" s="2517" t="s">
        <v>642</v>
      </c>
      <c r="B22" s="2519"/>
      <c r="C22" s="2519"/>
      <c r="D22" s="2519"/>
      <c r="E22" s="2518" t="e">
        <f t="shared" si="0"/>
        <v>#DIV/0!</v>
      </c>
      <c r="F22" s="2518" t="e">
        <f t="shared" si="1"/>
        <v>#DIV/0!</v>
      </c>
      <c r="G22" s="2519"/>
      <c r="H22" s="2519"/>
      <c r="I22" s="2519"/>
      <c r="J22" s="2687"/>
      <c r="K22" s="2687"/>
    </row>
    <row r="23" spans="1:11" ht="16.5">
      <c r="A23" s="2517" t="s">
        <v>641</v>
      </c>
      <c r="B23" s="2519"/>
      <c r="C23" s="2519"/>
      <c r="D23" s="2519"/>
      <c r="E23" s="2520" t="e">
        <f t="shared" si="0"/>
        <v>#DIV/0!</v>
      </c>
      <c r="F23" s="2520" t="e">
        <f t="shared" si="1"/>
        <v>#DIV/0!</v>
      </c>
      <c r="G23" s="2519"/>
      <c r="H23" s="2519"/>
      <c r="I23" s="2519"/>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K24" sqref="K2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3472</v>
      </c>
      <c r="D1" s="1747"/>
      <c r="E1" s="1747"/>
      <c r="F1" s="1749" t="s">
        <v>1263</v>
      </c>
      <c r="G1" s="1561"/>
      <c r="H1" s="1750" t="str">
        <f>IF(G1="现房","——","估价对象范围")</f>
        <v>估价对象范围</v>
      </c>
      <c r="I1" s="1751"/>
    </row>
    <row r="2" spans="1:12" ht="21.75" customHeight="1" thickBot="1">
      <c r="A2" s="3596" t="str">
        <f>项目基本情况!S2</f>
        <v>北京市密云区沙河镇1号院房地产</v>
      </c>
      <c r="B2" s="3597"/>
      <c r="C2" s="3597"/>
      <c r="D2" s="3597"/>
      <c r="E2" s="3597"/>
      <c r="F2" s="3597"/>
      <c r="G2" s="3597"/>
      <c r="H2" s="3597"/>
      <c r="I2" s="3598"/>
    </row>
    <row r="3" spans="1:12" ht="12.75">
      <c r="A3" s="3600" t="s">
        <v>1264</v>
      </c>
      <c r="B3" s="3601"/>
      <c r="C3" s="3601"/>
      <c r="D3" s="3601"/>
      <c r="E3" s="3601"/>
      <c r="F3" s="3601"/>
      <c r="G3" s="3601"/>
      <c r="H3" s="3601"/>
      <c r="I3" s="3601"/>
    </row>
    <row r="4" spans="1:12" ht="14.25">
      <c r="A4" s="1754" t="s">
        <v>1265</v>
      </c>
      <c r="B4" s="1755" t="s">
        <v>1266</v>
      </c>
      <c r="C4" s="1756" t="s">
        <v>3468</v>
      </c>
      <c r="D4" s="1756" t="s">
        <v>3388</v>
      </c>
      <c r="E4" s="3602" t="s">
        <v>1267</v>
      </c>
      <c r="F4" s="3603"/>
      <c r="G4" s="3603"/>
      <c r="H4" s="3603"/>
      <c r="I4" s="360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6" t="s">
        <v>1268</v>
      </c>
      <c r="B5" s="3563">
        <v>25</v>
      </c>
      <c r="C5" s="3579"/>
      <c r="D5" s="3599"/>
      <c r="E5" s="131" t="s">
        <v>1269</v>
      </c>
      <c r="F5" s="1757"/>
      <c r="G5" s="1757"/>
      <c r="H5" s="1757"/>
      <c r="I5" s="1373"/>
    </row>
    <row r="6" spans="1:12" ht="12.75">
      <c r="A6" s="3576"/>
      <c r="B6" s="3563"/>
      <c r="C6" s="3580"/>
      <c r="D6" s="3599"/>
      <c r="E6" s="131" t="s">
        <v>1270</v>
      </c>
      <c r="F6" s="1757"/>
      <c r="G6" s="1757"/>
      <c r="H6" s="1757"/>
      <c r="I6" s="1373"/>
    </row>
    <row r="7" spans="1:12" ht="12.75">
      <c r="A7" s="3576"/>
      <c r="B7" s="3563"/>
      <c r="C7" s="3581"/>
      <c r="D7" s="3599"/>
      <c r="E7" s="131" t="s">
        <v>1271</v>
      </c>
      <c r="F7" s="1757"/>
      <c r="G7" s="1757"/>
      <c r="H7" s="1757"/>
      <c r="I7" s="1373"/>
    </row>
    <row r="8" spans="1:12" ht="12.75">
      <c r="A8" s="3576" t="s">
        <v>1272</v>
      </c>
      <c r="B8" s="3563">
        <v>15</v>
      </c>
      <c r="C8" s="3579"/>
      <c r="D8" s="3599"/>
      <c r="E8" s="131" t="s">
        <v>1273</v>
      </c>
      <c r="F8" s="1757"/>
      <c r="G8" s="1757"/>
      <c r="H8" s="1757"/>
      <c r="I8" s="1373"/>
    </row>
    <row r="9" spans="1:12" ht="12.75">
      <c r="A9" s="3576"/>
      <c r="B9" s="3563"/>
      <c r="C9" s="3581"/>
      <c r="D9" s="3599"/>
      <c r="E9" s="131" t="s">
        <v>1274</v>
      </c>
      <c r="F9" s="1757"/>
      <c r="G9" s="1757"/>
      <c r="H9" s="1757"/>
      <c r="I9" s="1373"/>
    </row>
    <row r="10" spans="1:12" ht="12.75">
      <c r="A10" s="3576" t="s">
        <v>1275</v>
      </c>
      <c r="B10" s="3563">
        <v>15</v>
      </c>
      <c r="C10" s="3579"/>
      <c r="D10" s="3599"/>
      <c r="E10" s="131" t="s">
        <v>1276</v>
      </c>
      <c r="F10" s="1757"/>
      <c r="G10" s="1757"/>
      <c r="H10" s="1757"/>
      <c r="I10" s="1373"/>
    </row>
    <row r="11" spans="1:12" ht="12.75">
      <c r="A11" s="3576"/>
      <c r="B11" s="3563"/>
      <c r="C11" s="3581"/>
      <c r="D11" s="3599"/>
      <c r="E11" s="131" t="s">
        <v>1277</v>
      </c>
      <c r="F11" s="1757"/>
      <c r="G11" s="1757"/>
      <c r="H11" s="1757"/>
      <c r="I11" s="1373"/>
    </row>
    <row r="12" spans="1:12" ht="12.75">
      <c r="A12" s="3576" t="s">
        <v>1278</v>
      </c>
      <c r="B12" s="3563">
        <v>15</v>
      </c>
      <c r="C12" s="3579"/>
      <c r="D12" s="3599"/>
      <c r="E12" s="131" t="s">
        <v>1279</v>
      </c>
      <c r="F12" s="1757"/>
      <c r="G12" s="1757"/>
      <c r="H12" s="1757"/>
      <c r="I12" s="1373"/>
    </row>
    <row r="13" spans="1:12" ht="12.75">
      <c r="A13" s="3576"/>
      <c r="B13" s="3563"/>
      <c r="C13" s="3581"/>
      <c r="D13" s="3599"/>
      <c r="E13" s="131" t="s">
        <v>1280</v>
      </c>
      <c r="F13" s="1757"/>
      <c r="G13" s="1757"/>
      <c r="H13" s="1757"/>
      <c r="I13" s="1373"/>
    </row>
    <row r="14" spans="1:12" ht="12.75">
      <c r="A14" s="3576" t="s">
        <v>1281</v>
      </c>
      <c r="B14" s="3563">
        <v>30</v>
      </c>
      <c r="C14" s="3579">
        <v>5</v>
      </c>
      <c r="D14" s="3599">
        <v>5</v>
      </c>
      <c r="E14" s="131" t="s">
        <v>1282</v>
      </c>
      <c r="F14" s="1757"/>
      <c r="G14" s="1757"/>
      <c r="H14" s="1757"/>
      <c r="I14" s="1373"/>
    </row>
    <row r="15" spans="1:12" ht="12.75">
      <c r="A15" s="3576"/>
      <c r="B15" s="3563"/>
      <c r="C15" s="3580"/>
      <c r="D15" s="3599"/>
      <c r="E15" s="131" t="s">
        <v>1283</v>
      </c>
      <c r="F15" s="1757"/>
      <c r="G15" s="1757"/>
      <c r="H15" s="1757"/>
      <c r="I15" s="1373"/>
    </row>
    <row r="16" spans="1:12" ht="12.75">
      <c r="A16" s="3576"/>
      <c r="B16" s="3563"/>
      <c r="C16" s="3581"/>
      <c r="D16" s="3599"/>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86" t="s">
        <v>2130</v>
      </c>
      <c r="F18" s="3587"/>
      <c r="G18" s="3587"/>
      <c r="H18" s="3587"/>
      <c r="I18" s="3587"/>
      <c r="K18" s="302" t="s">
        <v>1289</v>
      </c>
      <c r="L18" s="302">
        <f>IF(C1="",'数据-汇总表'!E3,SUMIF(项目类型,C1,'数据-汇总表'!E17:E26)+SUMIF(项目类型,C1,'数据-汇总表'!I17:I26))</f>
        <v>1562.24</v>
      </c>
      <c r="M18" s="302">
        <f>IF(C1="",'数据-汇总表'!E3,SUMIF(项目类型,C1,'数据-汇总表'!E17:E26))</f>
        <v>1562.24</v>
      </c>
    </row>
    <row r="19" spans="1:36" ht="15">
      <c r="A19" s="1761" t="s">
        <v>1290</v>
      </c>
      <c r="B19" s="1762" t="s">
        <v>1291</v>
      </c>
      <c r="C19" s="134">
        <f ca="1">SUMIF(INDIRECT("'"&amp;C4&amp;"'"&amp;"!A:A"),结果表!B19,INDIRECT("'"&amp;C4&amp;"'"&amp;"!B:B"))</f>
        <v>1348.1727000000001</v>
      </c>
      <c r="D19" s="135">
        <f ca="1">SUMIF(INDIRECT("'"&amp;D4&amp;"'"&amp;"!A:A"),结果表!B19,INDIRECT("'"&amp;D4&amp;"'"&amp;"!B:B"))</f>
        <v>1283.9688000000001</v>
      </c>
      <c r="E19" s="1761" t="s">
        <v>1292</v>
      </c>
      <c r="F19" s="1762" t="s">
        <v>1291</v>
      </c>
      <c r="G19" s="136">
        <f ca="1">ROUND(C19*$C$18+D19*$D$18,0)</f>
        <v>1316</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8630</v>
      </c>
      <c r="D20" s="138">
        <f ca="1">SUMIF(INDIRECT("'"&amp;D4&amp;"'"&amp;"!A:A"),结果表!B20,INDIRECT("'"&amp;D4&amp;"'"&amp;"!B:B"))</f>
        <v>8219</v>
      </c>
      <c r="E20" s="1764"/>
      <c r="F20" s="1026" t="s">
        <v>1295</v>
      </c>
      <c r="G20" s="139">
        <f ca="1">ROUND(C20*$C$18+D20*$D$18,0)</f>
        <v>8425</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5.0004252439778796E-2</v>
      </c>
      <c r="E22" s="129"/>
      <c r="F22" s="129"/>
      <c r="G22" s="129"/>
      <c r="H22" s="129"/>
      <c r="I22" s="129"/>
    </row>
    <row r="23" spans="1:36" ht="13.5" thickBot="1">
      <c r="A23" s="1747"/>
      <c r="B23" s="1747"/>
      <c r="C23" s="1747"/>
      <c r="D23" s="1747"/>
      <c r="E23" s="129"/>
      <c r="F23" s="129"/>
      <c r="G23" s="129"/>
      <c r="H23" s="129"/>
      <c r="I23" s="129"/>
    </row>
    <row r="24" spans="1:36" ht="14.25">
      <c r="A24" s="3570" t="s">
        <v>1299</v>
      </c>
      <c r="B24" s="1762" t="s">
        <v>1291</v>
      </c>
      <c r="C24" s="136">
        <f>IF(B30=0,0,D30)</f>
        <v>0</v>
      </c>
      <c r="D24" s="1769"/>
      <c r="E24" s="129"/>
      <c r="F24" s="129"/>
      <c r="G24" s="129"/>
      <c r="H24" s="129"/>
      <c r="I24" s="129"/>
    </row>
    <row r="25" spans="1:36" ht="14.25">
      <c r="A25" s="3571"/>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8425</v>
      </c>
      <c r="D32" s="1775" t="s">
        <v>3441</v>
      </c>
      <c r="E32" s="129"/>
      <c r="F32" s="129"/>
      <c r="G32" s="129"/>
      <c r="H32" s="129"/>
      <c r="I32" s="129"/>
    </row>
    <row r="33" spans="1:15" ht="15">
      <c r="A33" s="786" t="s">
        <v>1306</v>
      </c>
      <c r="B33" s="1776"/>
      <c r="C33" s="1777" t="s">
        <v>3442</v>
      </c>
      <c r="D33" s="1778" t="s">
        <v>3388</v>
      </c>
      <c r="E33" s="1779" t="s">
        <v>1307</v>
      </c>
      <c r="F33" s="1780" t="str">
        <f>IF(D32="楼面单价","取值（单价）","取值（总价）")</f>
        <v>取值（单价）</v>
      </c>
      <c r="G33" s="129"/>
      <c r="H33" s="129"/>
      <c r="I33" s="129"/>
    </row>
    <row r="34" spans="1:15" ht="15">
      <c r="A34" s="1781"/>
      <c r="B34" s="1782" t="s">
        <v>1308</v>
      </c>
      <c r="C34" s="148">
        <f ca="1">IF(C33="自定义",F34,C32-C35)</f>
        <v>5350</v>
      </c>
      <c r="D34" s="861">
        <f ca="1">IF(C33="自定义",ROUND(C34/C32,3),IF(C33="收益比率",SUMIF(INDIRECT("'"&amp;D33&amp;"'"&amp;"!b:b"),"土地收益比率",INDIRECT("'"&amp;D33&amp;"'"&amp;"!c:c")),SUMIF(INDIRECT("'"&amp;D33&amp;"'"&amp;"!b:b"),"土地成本比率",INDIRECT("'"&amp;D33&amp;"'"&amp;"!c:c"))))</f>
        <v>0.63500000000000001</v>
      </c>
      <c r="E34" s="1783" t="s">
        <v>1309</v>
      </c>
      <c r="F34" s="1330"/>
      <c r="G34" s="129"/>
      <c r="H34" s="129"/>
      <c r="I34" s="129"/>
    </row>
    <row r="35" spans="1:15" ht="15.75" thickBot="1">
      <c r="A35" s="1784"/>
      <c r="B35" s="1785" t="s">
        <v>1310</v>
      </c>
      <c r="C35" s="1170">
        <f ca="1">IF(C33="自定义",F35,ROUND(C32*D35,0))</f>
        <v>3075</v>
      </c>
      <c r="D35" s="1171">
        <f ca="1">IF(C33="自定义",ROUND(C35/C32,3),IF(C33="收益比率",SUMIF(INDIRECT("'"&amp;D33&amp;"'"&amp;"!b:b"),"建筑物收益比率",INDIRECT("'"&amp;D33&amp;"'"&amp;"!c:c")),SUMIF(INDIRECT("'"&amp;D33&amp;"'"&amp;"!b:b"),"建筑物成本比率",INDIRECT("'"&amp;D33&amp;"'"&amp;"!c:c"))))</f>
        <v>0.36499999999999999</v>
      </c>
      <c r="E35" s="1786" t="s">
        <v>1311</v>
      </c>
      <c r="F35" s="154"/>
      <c r="G35" s="129"/>
      <c r="H35" s="129"/>
      <c r="I35" s="129"/>
    </row>
    <row r="36" spans="1:15" ht="15.75" thickBot="1">
      <c r="A36" s="3590" t="s">
        <v>1312</v>
      </c>
      <c r="B36" s="1787" t="s">
        <v>1313</v>
      </c>
      <c r="C36" s="145"/>
      <c r="D36" s="1788"/>
      <c r="E36" s="1789"/>
      <c r="F36" s="1790"/>
      <c r="G36" s="129"/>
      <c r="H36" s="129"/>
      <c r="I36" s="129"/>
    </row>
    <row r="37" spans="1:15" ht="15.75" thickBot="1">
      <c r="A37" s="3591"/>
      <c r="B37" s="1674" t="s">
        <v>1314</v>
      </c>
      <c r="C37" s="147"/>
      <c r="D37" s="1139"/>
      <c r="E37" s="1139"/>
      <c r="F37" s="1790"/>
      <c r="G37" s="129"/>
      <c r="H37" s="129"/>
      <c r="I37" s="129"/>
    </row>
    <row r="38" spans="1:15" ht="15.75" thickBot="1">
      <c r="A38" s="359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67" t="s">
        <v>1326</v>
      </c>
      <c r="B45" s="3568"/>
      <c r="C45" s="3569"/>
      <c r="D45" s="155">
        <f ca="1">ROUND(H101*F45,0)</f>
        <v>1316</v>
      </c>
      <c r="E45" s="156" t="s">
        <v>1327</v>
      </c>
      <c r="F45" s="157">
        <v>1</v>
      </c>
      <c r="G45" s="158" t="s">
        <v>1328</v>
      </c>
      <c r="H45" s="129"/>
      <c r="I45" s="129"/>
      <c r="J45" s="3645" t="s">
        <v>1329</v>
      </c>
      <c r="K45" s="3645"/>
      <c r="L45" s="3645"/>
      <c r="M45" s="3645"/>
      <c r="N45" s="3645"/>
      <c r="O45" s="3645"/>
    </row>
    <row r="46" spans="1:15" ht="14.25" customHeight="1">
      <c r="A46" s="3564" t="s">
        <v>1330</v>
      </c>
      <c r="B46" s="3565"/>
      <c r="C46" s="3565"/>
      <c r="D46" s="3565"/>
      <c r="E46" s="3565"/>
      <c r="F46" s="3565"/>
      <c r="G46" s="3566"/>
      <c r="H46" s="1806"/>
      <c r="I46" s="159"/>
      <c r="J46" s="2523">
        <v>1</v>
      </c>
      <c r="K46" s="3626" t="s">
        <v>1331</v>
      </c>
      <c r="L46" s="3626"/>
      <c r="M46" s="3646"/>
      <c r="N46" s="3646"/>
      <c r="O46" s="3646"/>
    </row>
    <row r="47" spans="1:15" ht="12" customHeight="1">
      <c r="A47" s="160" t="s">
        <v>1332</v>
      </c>
      <c r="B47" s="161"/>
      <c r="C47" s="162"/>
      <c r="D47" s="1087" t="s">
        <v>1333</v>
      </c>
      <c r="E47" s="302" t="s">
        <v>1334</v>
      </c>
      <c r="F47" s="163" t="s">
        <v>1335</v>
      </c>
      <c r="G47" s="2546" t="s">
        <v>1336</v>
      </c>
      <c r="H47" s="2547"/>
      <c r="I47" s="159"/>
      <c r="J47" s="2523">
        <v>2</v>
      </c>
      <c r="K47" s="3626" t="s">
        <v>1337</v>
      </c>
      <c r="L47" s="3626"/>
      <c r="M47" s="3647">
        <f>'数据-取费表'!B2</f>
        <v>45279</v>
      </c>
      <c r="N47" s="3647"/>
      <c r="O47" s="3647"/>
    </row>
    <row r="48" spans="1:15" ht="25.5">
      <c r="A48" s="3595" t="s">
        <v>1338</v>
      </c>
      <c r="B48" s="3578"/>
      <c r="C48" s="3578"/>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26" t="s">
        <v>1340</v>
      </c>
      <c r="L48" s="3626"/>
      <c r="M48" s="3648">
        <f ca="1">H101</f>
        <v>1316</v>
      </c>
      <c r="N48" s="3648"/>
      <c r="O48" s="3648"/>
    </row>
    <row r="49" spans="1:35" ht="25.5" customHeight="1">
      <c r="A49" s="2333" t="s">
        <v>1341</v>
      </c>
      <c r="B49" s="3562" t="s">
        <v>1342</v>
      </c>
      <c r="C49" s="3562"/>
      <c r="D49" s="1590">
        <v>0</v>
      </c>
      <c r="E49" s="324" t="s">
        <v>1343</v>
      </c>
      <c r="F49" s="2424" t="s">
        <v>28</v>
      </c>
      <c r="G49" s="3632"/>
      <c r="H49" s="2310" t="s">
        <v>2133</v>
      </c>
      <c r="I49" s="2311"/>
      <c r="J49" s="2523">
        <v>4</v>
      </c>
      <c r="K49" s="3626" t="str">
        <f>IF(项目基本情况!E8="房地产抵押价值","房地产抵押价值","抵押担保权已注销时的房地产抵押价值")</f>
        <v>房地产抵押价值</v>
      </c>
      <c r="L49" s="3626"/>
      <c r="M49" s="3648">
        <f ca="1">IF(项目基本情况!E8="房地产抵押价值",H107,H109)</f>
        <v>1316</v>
      </c>
      <c r="N49" s="3648"/>
      <c r="O49" s="3648"/>
    </row>
    <row r="50" spans="1:35" ht="25.5" customHeight="1">
      <c r="A50" s="2551"/>
      <c r="B50" s="3562" t="s">
        <v>1344</v>
      </c>
      <c r="C50" s="3562"/>
      <c r="D50" s="2552"/>
      <c r="E50" s="332"/>
      <c r="F50" s="2424"/>
      <c r="G50" s="3633"/>
      <c r="H50" s="2312" t="s">
        <v>2134</v>
      </c>
      <c r="I50" s="2311"/>
      <c r="J50" s="3645" t="s">
        <v>1345</v>
      </c>
      <c r="K50" s="3645"/>
      <c r="L50" s="3645"/>
      <c r="M50" s="3645"/>
      <c r="N50" s="3645"/>
      <c r="O50" s="3645"/>
    </row>
    <row r="51" spans="1:35" ht="20.45" customHeight="1">
      <c r="A51" s="2553"/>
      <c r="B51" s="3562" t="s">
        <v>1346</v>
      </c>
      <c r="C51" s="3562"/>
      <c r="D51" s="1087"/>
      <c r="E51" s="327"/>
      <c r="F51" s="2424"/>
      <c r="G51" s="3634"/>
      <c r="H51" s="2312" t="s">
        <v>2135</v>
      </c>
      <c r="I51" s="2311"/>
      <c r="J51" s="2524" t="s">
        <v>1347</v>
      </c>
      <c r="K51" s="3626" t="s">
        <v>1348</v>
      </c>
      <c r="L51" s="3626"/>
      <c r="M51" s="2524" t="s">
        <v>1349</v>
      </c>
      <c r="N51" s="2524" t="s">
        <v>1350</v>
      </c>
      <c r="O51" s="2524" t="s">
        <v>1351</v>
      </c>
    </row>
    <row r="52" spans="1:35" ht="24" customHeight="1">
      <c r="A52" s="2335" t="s">
        <v>1352</v>
      </c>
      <c r="B52" s="3562" t="s">
        <v>1353</v>
      </c>
      <c r="C52" s="3562"/>
      <c r="D52" s="1087">
        <f ca="1">ROUND(D45*'数据-取费表'!B41/(1+'数据-取费表'!C42),0)</f>
        <v>69</v>
      </c>
      <c r="E52" s="2334" t="s">
        <v>1354</v>
      </c>
      <c r="F52" s="2554">
        <f>'数据-取费表'!B41</f>
        <v>5.5000000000000007E-2</v>
      </c>
      <c r="G52" s="2555"/>
      <c r="H52" s="2544"/>
      <c r="I52" s="1807"/>
      <c r="J52" s="2523">
        <v>1</v>
      </c>
      <c r="K52" s="3627" t="s">
        <v>1355</v>
      </c>
      <c r="L52" s="3627"/>
      <c r="M52" s="2525" t="b">
        <f>D48</f>
        <v>0</v>
      </c>
      <c r="N52" s="2523" t="str">
        <f>E48</f>
        <v>销售额×税（费）率</v>
      </c>
      <c r="O52" s="2526">
        <f>F48</f>
        <v>5.5000000000000007E-2</v>
      </c>
    </row>
    <row r="53" spans="1:35" ht="12" customHeight="1">
      <c r="A53" s="2335" t="s">
        <v>1356</v>
      </c>
      <c r="B53" s="3588" t="s">
        <v>2290</v>
      </c>
      <c r="C53" s="3589"/>
      <c r="D53" s="1087">
        <f ca="1">ROUND(D45*'数据-取费表'!B41/(1+'数据-取费表'!C42),0)</f>
        <v>69</v>
      </c>
      <c r="E53" s="2334" t="s">
        <v>1354</v>
      </c>
      <c r="F53" s="2554">
        <f>'数据-取费表'!B41</f>
        <v>5.5000000000000007E-2</v>
      </c>
      <c r="G53" s="2555"/>
      <c r="H53" s="2544"/>
      <c r="I53" s="1807"/>
      <c r="J53" s="2523">
        <v>2</v>
      </c>
      <c r="K53" s="3627" t="s">
        <v>1357</v>
      </c>
      <c r="L53" s="3627"/>
      <c r="M53" s="2525">
        <f t="shared" ref="M53:O54" ca="1" si="0">D55</f>
        <v>1</v>
      </c>
      <c r="N53" s="2523" t="str">
        <f t="shared" si="0"/>
        <v>销售额×税（费）率</v>
      </c>
      <c r="O53" s="2526" t="str">
        <f t="shared" si="0"/>
        <v>免征</v>
      </c>
    </row>
    <row r="54" spans="1:35" ht="12" customHeight="1">
      <c r="A54" s="2335" t="s">
        <v>1358</v>
      </c>
      <c r="B54" s="3588" t="s">
        <v>2291</v>
      </c>
      <c r="C54" s="3589"/>
      <c r="D54" s="1087">
        <f ca="1">C68</f>
        <v>69</v>
      </c>
      <c r="E54" s="327" t="s">
        <v>1359</v>
      </c>
      <c r="F54" s="2554">
        <f>'数据-取费表'!B41</f>
        <v>5.5000000000000007E-2</v>
      </c>
      <c r="G54" s="2555"/>
      <c r="H54" s="2556"/>
      <c r="I54" s="1807"/>
      <c r="J54" s="2523">
        <v>3</v>
      </c>
      <c r="K54" s="3627" t="s">
        <v>1360</v>
      </c>
      <c r="L54" s="3627"/>
      <c r="M54" s="2525">
        <f t="shared" ca="1" si="0"/>
        <v>746</v>
      </c>
      <c r="N54" s="2523" t="str">
        <f t="shared" si="0"/>
        <v>增值额×税（费）率</v>
      </c>
      <c r="O54" s="2527" t="str">
        <f t="shared" si="0"/>
        <v>免征</v>
      </c>
    </row>
    <row r="55" spans="1:35" ht="24" customHeight="1">
      <c r="A55" s="3577" t="s">
        <v>1361</v>
      </c>
      <c r="B55" s="3578"/>
      <c r="C55" s="3578"/>
      <c r="D55" s="2324">
        <f ca="1">IF(H55="个人住宅",0,ROUND(D45*I55,0))</f>
        <v>1</v>
      </c>
      <c r="E55" s="2334" t="s">
        <v>1362</v>
      </c>
      <c r="F55" s="2554" t="str">
        <f>IF(H55="正常",I55,"免征")</f>
        <v>免征</v>
      </c>
      <c r="G55" s="2555"/>
      <c r="H55" s="2550"/>
      <c r="I55" s="165">
        <f>'数据-取费表'!B49</f>
        <v>5.0000000000000001E-4</v>
      </c>
      <c r="J55" s="2523">
        <f>IF(H59="非个人房产","",4)</f>
        <v>4</v>
      </c>
      <c r="K55" s="3627" t="str">
        <f>IF(H59="非个人房产","——","个人所得税")</f>
        <v>个人所得税</v>
      </c>
      <c r="L55" s="3627"/>
      <c r="M55" s="2528">
        <f ca="1">D59</f>
        <v>13</v>
      </c>
      <c r="N55" s="2040" t="str">
        <f>E59</f>
        <v>差额计税</v>
      </c>
      <c r="O55" s="2529">
        <f>F59</f>
        <v>0.01</v>
      </c>
    </row>
    <row r="56" spans="1:35" ht="24.75">
      <c r="A56" s="3577" t="s">
        <v>1363</v>
      </c>
      <c r="B56" s="3578"/>
      <c r="C56" s="3578"/>
      <c r="D56" s="2324">
        <f ca="1">IF(H56="个人住宅",D57,D58)</f>
        <v>746</v>
      </c>
      <c r="E56" s="2334" t="s">
        <v>1364</v>
      </c>
      <c r="F56" s="2554" t="str">
        <f>IF(H56="正常",F58,"免征")</f>
        <v>免征</v>
      </c>
      <c r="G56" s="2557" t="s">
        <v>1365</v>
      </c>
      <c r="H56" s="2558"/>
      <c r="I56" s="1808"/>
      <c r="J56" s="2523" t="str">
        <f>IF(项目基本情况!K6="上海银行",IF(J55="",4,J55+1),"")</f>
        <v/>
      </c>
      <c r="K56" s="3650" t="str">
        <f>IF(项目基本情况!K6="上海银行","其他处置费用","")</f>
        <v/>
      </c>
      <c r="L56" s="3651"/>
      <c r="M56" s="2525" t="str">
        <f>IF(项目基本情况!K6="上海银行",M69,"")</f>
        <v/>
      </c>
      <c r="N56" s="3650" t="str">
        <f>IF(项目基本情况!K6="上海银行","包含处置中涉及的律师、诉讼、拍卖、评估等费用","")</f>
        <v/>
      </c>
      <c r="O56" s="3653"/>
    </row>
    <row r="57" spans="1:35" ht="12.75">
      <c r="A57" s="2335" t="s">
        <v>1341</v>
      </c>
      <c r="B57" s="3588" t="s">
        <v>1366</v>
      </c>
      <c r="C57" s="3589"/>
      <c r="D57" s="1590">
        <v>0</v>
      </c>
      <c r="E57" s="324" t="s">
        <v>1343</v>
      </c>
      <c r="F57" s="302"/>
      <c r="G57" s="2555"/>
      <c r="H57" s="2559"/>
      <c r="I57" s="1808"/>
      <c r="J57" s="3627">
        <f>IF(AND(J55="",J56=""),4,IF(项目基本情况!K6="上海银行",结果表!J56+1,结果表!J55+1))</f>
        <v>5</v>
      </c>
      <c r="K57" s="3627" t="s">
        <v>1367</v>
      </c>
      <c r="L57" s="2530" t="s">
        <v>1368</v>
      </c>
      <c r="M57" s="2531"/>
      <c r="N57" s="2532">
        <f ca="1">SUMIF(M52:M56,"&lt;9e307")</f>
        <v>760</v>
      </c>
      <c r="O57" s="2533"/>
      <c r="P57" s="2689">
        <f ca="1">N57/M49</f>
        <v>0.57750759878419455</v>
      </c>
    </row>
    <row r="58" spans="1:35" ht="24.75">
      <c r="A58" s="2335" t="s">
        <v>1352</v>
      </c>
      <c r="B58" s="3588" t="s">
        <v>1369</v>
      </c>
      <c r="C58" s="3562"/>
      <c r="D58" s="2324">
        <f ca="1">IF(H58="转让取得",C81,C97)</f>
        <v>746</v>
      </c>
      <c r="E58" s="2334" t="s">
        <v>1364</v>
      </c>
      <c r="F58" s="302" t="s">
        <v>28</v>
      </c>
      <c r="G58" s="2555"/>
      <c r="H58" s="2558"/>
      <c r="I58" s="1808"/>
      <c r="J58" s="3627"/>
      <c r="K58" s="3627"/>
      <c r="L58" s="2530" t="s">
        <v>1370</v>
      </c>
      <c r="M58" s="2534"/>
      <c r="N58" s="2535" t="str">
        <f ca="1">NUMBERSTRING(INT(N57*10000),2)&amp;"元整"</f>
        <v>柒佰陆拾万元整</v>
      </c>
      <c r="O58" s="2536"/>
    </row>
    <row r="59" spans="1:35" ht="24.75" thickBot="1">
      <c r="A59" s="3630" t="s">
        <v>1371</v>
      </c>
      <c r="B59" s="3631"/>
      <c r="C59" s="3631"/>
      <c r="D59" s="2560">
        <f ca="1">IF(H59="非个人房产","——",IF(H59="个人住宅（满五唯一有凭证）",0,IF(H59="个人其他（无凭证）",ROUND(D45*F59,0),ROUND(C67*F59,0))))</f>
        <v>13</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628">
        <f>J57+1</f>
        <v>6</v>
      </c>
      <c r="K59" s="3627" t="s">
        <v>1372</v>
      </c>
      <c r="L59" s="2523" t="s">
        <v>1368</v>
      </c>
      <c r="M59" s="2537"/>
      <c r="N59" s="2538">
        <f ca="1">M49-N57</f>
        <v>556</v>
      </c>
      <c r="O59" s="2539"/>
    </row>
    <row r="60" spans="1:35" ht="12" customHeight="1">
      <c r="A60" s="1809"/>
      <c r="B60" s="1747"/>
      <c r="C60" s="1747"/>
      <c r="D60" s="1747"/>
      <c r="E60" s="1578"/>
      <c r="F60" s="1808"/>
      <c r="G60" s="1808"/>
      <c r="H60" s="1810"/>
      <c r="I60" s="129"/>
      <c r="J60" s="3629"/>
      <c r="K60" s="3627"/>
      <c r="L60" s="2530" t="s">
        <v>1370</v>
      </c>
      <c r="M60" s="2534"/>
      <c r="N60" s="2535" t="str">
        <f ca="1">NUMBERSTRING(INT(N59*10000),2)&amp;"元整"</f>
        <v>伍佰伍拾陆万元整</v>
      </c>
      <c r="O60" s="2536"/>
    </row>
    <row r="61" spans="1:35" ht="13.5" thickBot="1">
      <c r="A61" s="3575" t="s">
        <v>1373</v>
      </c>
      <c r="B61" s="3575"/>
      <c r="C61" s="3575"/>
      <c r="D61" s="3575"/>
      <c r="E61" s="3575"/>
      <c r="F61" s="1808"/>
      <c r="G61" s="1808"/>
      <c r="H61" s="1810"/>
      <c r="I61" s="129"/>
      <c r="J61" s="2523">
        <f>J59+1</f>
        <v>7</v>
      </c>
      <c r="K61" s="3627" t="s">
        <v>1374</v>
      </c>
      <c r="L61" s="3627"/>
      <c r="M61" s="2540"/>
      <c r="N61" s="2541">
        <f ca="1">ROUND(N59*10000/'数据-汇总表'!E3,0)</f>
        <v>3559</v>
      </c>
      <c r="O61" s="2542"/>
    </row>
    <row r="62" spans="1:35" ht="12.75">
      <c r="A62" s="3593" t="s">
        <v>1375</v>
      </c>
      <c r="B62" s="3594"/>
      <c r="C62" s="2021"/>
      <c r="D62" s="2021" t="s">
        <v>1376</v>
      </c>
      <c r="E62" s="166" t="s">
        <v>1377</v>
      </c>
      <c r="F62" s="1808"/>
      <c r="G62" s="1808"/>
      <c r="H62" s="1810"/>
      <c r="I62" s="129"/>
    </row>
    <row r="63" spans="1:35" ht="12.75">
      <c r="A63" s="173" t="s">
        <v>330</v>
      </c>
      <c r="B63" s="167" t="s">
        <v>1378</v>
      </c>
      <c r="C63" s="2564">
        <f ca="1">ROUND((C64+C65)/(1+'数据-取费表'!C42),0)</f>
        <v>1253</v>
      </c>
      <c r="D63" s="167"/>
      <c r="E63" s="168"/>
      <c r="F63" s="1808"/>
      <c r="G63" s="1808"/>
      <c r="H63" s="1810"/>
      <c r="I63" s="129"/>
      <c r="J63" s="3652" t="s">
        <v>1379</v>
      </c>
      <c r="K63" s="1332" t="s">
        <v>1380</v>
      </c>
      <c r="L63" s="1332">
        <f ca="1">IF(M49&gt;10000,M49*0.5%,IF(AND(M49&gt;1000,M49&lt;=10000),M49*1%,IF(AND(M49&gt;100,M49&lt;=1000),M49*3%,IF(AND(M49&gt;10,M49&lt;=100),M49*5%,M49*8%))))</f>
        <v>13.16</v>
      </c>
      <c r="M63" s="302">
        <f ca="1">ROUND(L63,1)</f>
        <v>13.2</v>
      </c>
      <c r="N63" s="2543"/>
      <c r="Z63" s="1752"/>
      <c r="AI63" s="1753"/>
    </row>
    <row r="64" spans="1:35" ht="14.25" customHeight="1">
      <c r="A64" s="169" t="s">
        <v>325</v>
      </c>
      <c r="B64" s="170" t="s">
        <v>1381</v>
      </c>
      <c r="C64" s="2565">
        <f ca="1">D45</f>
        <v>1316</v>
      </c>
      <c r="D64" s="170" t="s">
        <v>26</v>
      </c>
      <c r="E64" s="172"/>
      <c r="F64" s="1808"/>
      <c r="G64" s="1808"/>
      <c r="H64" s="1810"/>
      <c r="I64" s="129"/>
      <c r="J64" s="3652"/>
      <c r="K64" s="1332" t="s">
        <v>1382</v>
      </c>
      <c r="L64" s="1332">
        <f ca="1">IF(M49&gt;2000,M49*0.5%,IF(AND(M49&gt;1000,M49&lt;=2000),M49*0.6%,IF(AND(M49&gt;500,M49&lt;=1000),M49*0.7%,IF(AND(M49&gt;200,M49&lt;=500),M49*0.8%,IF(AND(M49&gt;100,M49&lt;=200),M49*0.9%,IF(AND(M49&gt;50,M49&lt;=100),M49*1%,IF(AND(M49&gt;20,M49&lt;=50),M49*1.5%,IF(AND(M49&gt;10,M49&lt;=20),M49*2%,IF(AND(M49&gt;1,M49&lt;=10),M49*2.5%)))))))))</f>
        <v>7.8959999999999999</v>
      </c>
      <c r="M64" s="302">
        <f t="shared" ref="M64:M65" ca="1" si="1">ROUND(L64,1)</f>
        <v>7.9</v>
      </c>
      <c r="N64" s="2544" t="s">
        <v>1383</v>
      </c>
      <c r="Z64" s="1752"/>
      <c r="AI64" s="1753"/>
    </row>
    <row r="65" spans="1:35" ht="14.25" customHeight="1">
      <c r="A65" s="169" t="s">
        <v>326</v>
      </c>
      <c r="B65" s="170" t="s">
        <v>1384</v>
      </c>
      <c r="C65" s="2566"/>
      <c r="D65" s="170"/>
      <c r="E65" s="172"/>
      <c r="F65" s="1808"/>
      <c r="G65" s="1808"/>
      <c r="H65" s="1810"/>
      <c r="I65" s="129"/>
      <c r="J65" s="3652"/>
      <c r="K65" s="1332" t="s">
        <v>1385</v>
      </c>
      <c r="L65" s="1332">
        <f ca="1">IF(M49&gt;1000,M49*0.1%,IF(AND(M49&gt;500,M49&lt;=1000),M49*0.5%,IF(AND(M49&gt;50,M49&lt;=500),M49*1%,IF(AND(M49&gt;1,M49&lt;=50),M49*1.5%))))</f>
        <v>1.3160000000000001</v>
      </c>
      <c r="M65" s="302">
        <f t="shared" ca="1" si="1"/>
        <v>1.3</v>
      </c>
      <c r="N65" s="2544" t="s">
        <v>1383</v>
      </c>
      <c r="Z65" s="1752"/>
      <c r="AI65" s="1753"/>
    </row>
    <row r="66" spans="1:35" ht="14.25" customHeight="1">
      <c r="A66" s="173" t="s">
        <v>327</v>
      </c>
      <c r="B66" s="174" t="s">
        <v>1386</v>
      </c>
      <c r="C66" s="2567"/>
      <c r="D66" s="174" t="s">
        <v>26</v>
      </c>
      <c r="E66" s="1338" t="s">
        <v>671</v>
      </c>
      <c r="F66" s="1808"/>
      <c r="G66" s="1808"/>
      <c r="H66" s="1810"/>
      <c r="I66" s="129"/>
      <c r="J66" s="3652"/>
      <c r="K66" s="1332" t="s">
        <v>1387</v>
      </c>
      <c r="L66" s="1332">
        <f ca="1">M49*0.5%</f>
        <v>6.58</v>
      </c>
      <c r="M66" s="302">
        <f ca="1">IF(L66&gt;0.5,0.5,ROUND(L66,0))</f>
        <v>0.5</v>
      </c>
      <c r="N66" s="2544" t="s">
        <v>1388</v>
      </c>
      <c r="Z66" s="1752"/>
      <c r="AI66" s="1753"/>
    </row>
    <row r="67" spans="1:35" ht="14.25" customHeight="1">
      <c r="A67" s="173" t="s">
        <v>328</v>
      </c>
      <c r="B67" s="174" t="s">
        <v>1389</v>
      </c>
      <c r="C67" s="2568">
        <f ca="1">C63-C66</f>
        <v>1253</v>
      </c>
      <c r="D67" s="170" t="s">
        <v>26</v>
      </c>
      <c r="E67" s="172"/>
      <c r="F67" s="1808"/>
      <c r="G67" s="1808"/>
      <c r="H67" s="1810"/>
      <c r="I67" s="129"/>
      <c r="J67" s="3652"/>
      <c r="K67" s="1332" t="s">
        <v>1390</v>
      </c>
      <c r="L67" s="1332">
        <f ca="1">IF(M49&gt;=10000,(8.25+(M49-10000)*0.01%),IF(AND(M49&gt;=8000,M49&lt;10000),(7.85+(M49-8000)*0.02%),IF(AND(M49&gt;=5000,M49&lt;8000),(6.65+(M49-5000)*0.04%),IF(AND(M49&gt;=2000,M49&lt;5000),(4.25+(PM49-2000)*0.08%),IF(AND(M49&gt;=1000,M49&lt;2000),(2.75+(M49-1000)*0.15%),IF(AND(M49&gt;=100,M49&lt;1000),(0.5+(M49-100)*0.25%),IF(AND(M49&gt;0,M49&lt;100),M49*0.5%)))))))</f>
        <v>3.2240000000000002</v>
      </c>
      <c r="M67" s="302">
        <f ca="1">ROUND(L67*0.9,1)</f>
        <v>2.9</v>
      </c>
      <c r="N67" s="2543"/>
      <c r="Z67" s="1752"/>
      <c r="AI67" s="1753"/>
    </row>
    <row r="68" spans="1:35" ht="14.25" customHeight="1" thickBot="1">
      <c r="A68" s="176" t="s">
        <v>329</v>
      </c>
      <c r="B68" s="177" t="s">
        <v>1391</v>
      </c>
      <c r="C68" s="2569">
        <f ca="1">IF(C67&lt;=0,0,ROUND(C67*D68,0))</f>
        <v>69</v>
      </c>
      <c r="D68" s="2570">
        <f>'数据-取费表'!B41</f>
        <v>5.5000000000000007E-2</v>
      </c>
      <c r="E68" s="178"/>
      <c r="F68" s="1808"/>
      <c r="G68" s="1808"/>
      <c r="H68" s="1810"/>
      <c r="I68" s="129"/>
      <c r="J68" s="3652"/>
      <c r="K68" s="1332" t="s">
        <v>1392</v>
      </c>
      <c r="L68" s="1332">
        <f ca="1">IF(M49&gt;10000,M49*0.5%,IF(AND(M49&gt;5000,M49&lt;=10000),M49*1%,IF(AND(M49&gt;1000,M49&lt;=5000),M49*2%,IF(AND(M49&gt;200,M49&lt;=1000),M49*3%,M49*5%))))</f>
        <v>26.32</v>
      </c>
      <c r="M68" s="302">
        <f ca="1">ROUND(L68,1)</f>
        <v>26.3</v>
      </c>
      <c r="N68" s="2543"/>
      <c r="Z68" s="1752"/>
      <c r="AI68" s="1753"/>
    </row>
    <row r="69" spans="1:35" s="1772" customFormat="1" ht="16.5" customHeight="1">
      <c r="A69" s="1811"/>
      <c r="B69" s="1812"/>
      <c r="C69" s="1813"/>
      <c r="D69" s="1814"/>
      <c r="E69" s="1815"/>
      <c r="F69" s="1578"/>
      <c r="G69" s="1578"/>
      <c r="H69" s="1577"/>
      <c r="I69" s="1747"/>
      <c r="J69" s="3652"/>
      <c r="K69" s="1332" t="s">
        <v>1393</v>
      </c>
      <c r="L69" s="1332"/>
      <c r="M69" s="302">
        <f ca="1">ROUND(SUM(M63:M68),0)</f>
        <v>52</v>
      </c>
      <c r="N69" s="2545">
        <f ca="1">M69/M49</f>
        <v>3.9513677811550151E-2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4" t="s">
        <v>1394</v>
      </c>
      <c r="B70" s="3615"/>
      <c r="C70" s="3615"/>
      <c r="D70" s="3615"/>
      <c r="E70" s="3615"/>
      <c r="F70" s="3615"/>
      <c r="G70" s="3615"/>
      <c r="H70" s="3615"/>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3" t="s">
        <v>1375</v>
      </c>
      <c r="B71" s="3594"/>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1253</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6</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88" t="s">
        <v>1402</v>
      </c>
      <c r="F76" s="3562"/>
      <c r="G76" s="3562"/>
      <c r="H76" s="361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6</v>
      </c>
      <c r="D78" s="2577">
        <f>'数据-取费表'!B43</f>
        <v>5.000000000000001E-3</v>
      </c>
      <c r="E78" s="3572" t="s">
        <v>1406</v>
      </c>
      <c r="F78" s="3573"/>
      <c r="G78" s="3573"/>
      <c r="H78" s="358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1247</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207.83333333333334</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746</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4" t="s">
        <v>1410</v>
      </c>
      <c r="B83" s="3615"/>
      <c r="C83" s="3615"/>
      <c r="D83" s="3615"/>
      <c r="E83" s="3615"/>
      <c r="F83" s="3615"/>
      <c r="G83" s="3615"/>
      <c r="H83" s="361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3" t="s">
        <v>1375</v>
      </c>
      <c r="B84" s="3594"/>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1253</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6</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54" t="s">
        <v>2128</v>
      </c>
      <c r="H90" s="3655"/>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72" t="s">
        <v>1419</v>
      </c>
      <c r="F91" s="3573"/>
      <c r="G91" s="357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72" t="s">
        <v>1422</v>
      </c>
      <c r="F92" s="3573"/>
      <c r="G92" s="3573"/>
      <c r="H92" s="3582"/>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6</v>
      </c>
      <c r="D93" s="2577">
        <f>'数据-取费表'!B43</f>
        <v>5.000000000000001E-3</v>
      </c>
      <c r="E93" s="3572" t="s">
        <v>1406</v>
      </c>
      <c r="F93" s="3573"/>
      <c r="G93" s="3573"/>
      <c r="H93" s="358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83" t="s">
        <v>1426</v>
      </c>
      <c r="F94" s="3584"/>
      <c r="G94" s="3584"/>
      <c r="H94" s="358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1247</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207.83333333333334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746</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6" t="s">
        <v>1428</v>
      </c>
      <c r="B100" s="3557"/>
      <c r="C100" s="3557"/>
      <c r="D100" s="3574"/>
      <c r="E100" s="3557" t="s">
        <v>1429</v>
      </c>
      <c r="F100" s="3557"/>
      <c r="G100" s="3557"/>
      <c r="H100" s="3574"/>
      <c r="I100" s="129"/>
    </row>
    <row r="101" spans="1:35" ht="18.75" customHeight="1">
      <c r="A101" s="3635" t="s">
        <v>1430</v>
      </c>
      <c r="B101" s="3636"/>
      <c r="C101" s="2585" t="str">
        <f>C4</f>
        <v>成本法 (元)</v>
      </c>
      <c r="D101" s="2586" t="str">
        <f>D4</f>
        <v>收益法 (元)</v>
      </c>
      <c r="E101" s="3649" t="s">
        <v>1431</v>
      </c>
      <c r="F101" s="3606"/>
      <c r="G101" s="1827" t="s">
        <v>1432</v>
      </c>
      <c r="H101" s="2595">
        <f ca="1">H118</f>
        <v>1316</v>
      </c>
      <c r="I101" s="129"/>
    </row>
    <row r="102" spans="1:35" ht="18.75" customHeight="1">
      <c r="A102" s="3608" t="s">
        <v>1433</v>
      </c>
      <c r="B102" s="2584" t="s">
        <v>1432</v>
      </c>
      <c r="C102" s="2585">
        <f ca="1">IF(D32="楼面单价",ROUND(C19,0),C19)</f>
        <v>1348</v>
      </c>
      <c r="D102" s="2586">
        <f ca="1">IF(D32="楼面单价",ROUND(D19,0),D19)</f>
        <v>1284</v>
      </c>
      <c r="E102" s="3649"/>
      <c r="F102" s="3606"/>
      <c r="G102" s="1827" t="s">
        <v>1434</v>
      </c>
      <c r="H102" s="2555">
        <f ca="1">I118</f>
        <v>8425</v>
      </c>
      <c r="I102" s="129"/>
    </row>
    <row r="103" spans="1:35" ht="42.75" customHeight="1">
      <c r="A103" s="3608"/>
      <c r="B103" s="2584" t="s">
        <v>1434</v>
      </c>
      <c r="C103" s="2587">
        <f ca="1">C20</f>
        <v>8630</v>
      </c>
      <c r="D103" s="2588">
        <f ca="1">D20</f>
        <v>8219</v>
      </c>
      <c r="E103" s="3643" t="s">
        <v>1435</v>
      </c>
      <c r="F103" s="3644"/>
      <c r="G103" s="1828" t="s">
        <v>1436</v>
      </c>
      <c r="H103" s="2595">
        <f>IF(D36="正常操作",H104+H105+H106,H105+H106)</f>
        <v>0</v>
      </c>
      <c r="I103" s="129"/>
    </row>
    <row r="104" spans="1:35" ht="18.75" customHeight="1">
      <c r="A104" s="3608" t="s">
        <v>1437</v>
      </c>
      <c r="B104" s="2589" t="s">
        <v>1432</v>
      </c>
      <c r="C104" s="2590">
        <f ca="1">H118</f>
        <v>1316</v>
      </c>
      <c r="D104" s="2591"/>
      <c r="E104" s="1674" t="s">
        <v>1438</v>
      </c>
      <c r="F104" s="1666"/>
      <c r="G104" s="1828" t="s">
        <v>1436</v>
      </c>
      <c r="H104" s="2596">
        <f>IF(D36="同一抵押权人同一抵押物续贷",C36&amp;"（续贷，未扣减，详见特别提示）",C36)</f>
        <v>0</v>
      </c>
      <c r="I104" s="129"/>
    </row>
    <row r="105" spans="1:35" ht="18.75" customHeight="1" thickBot="1">
      <c r="A105" s="3609"/>
      <c r="B105" s="2592" t="s">
        <v>1434</v>
      </c>
      <c r="C105" s="2593">
        <f ca="1">I118</f>
        <v>8425</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5" t="str">
        <f>IF(项目基本情况!E8="已注销","——","3.房地产抵押价值")</f>
        <v>3.房地产抵押价值</v>
      </c>
      <c r="F107" s="3606"/>
      <c r="G107" s="1827" t="s">
        <v>1432</v>
      </c>
      <c r="H107" s="2595">
        <f ca="1">IF(E107="——","——",H101-H103)</f>
        <v>1316</v>
      </c>
      <c r="I107" s="129"/>
    </row>
    <row r="108" spans="1:35" ht="18.75" customHeight="1">
      <c r="A108" s="129"/>
      <c r="B108" s="129"/>
      <c r="C108" s="129"/>
      <c r="D108" s="129"/>
      <c r="E108" s="3605"/>
      <c r="F108" s="3606"/>
      <c r="G108" s="1827" t="s">
        <v>1434</v>
      </c>
      <c r="H108" s="2555">
        <f ca="1">IF(H107=H101,H102,ROUND(H107*10000/'数据-汇总表'!E3,0))</f>
        <v>8425</v>
      </c>
      <c r="I108" s="129"/>
    </row>
    <row r="109" spans="1:35" ht="18.75" customHeight="1">
      <c r="A109" s="129"/>
      <c r="B109" s="129"/>
      <c r="C109" s="129"/>
      <c r="D109" s="129"/>
      <c r="E109" s="3605" t="str">
        <f>IF(项目基本情况!E8="已注销及未注销","4.抵押担保权已注销时的房地产抵押价值",IF(项目基本情况!E8="已注销","3.抵押担保权已注销时的房地产抵押价值","——"))</f>
        <v>——</v>
      </c>
      <c r="F109" s="3606"/>
      <c r="G109" s="1827" t="s">
        <v>1432</v>
      </c>
      <c r="H109" s="2598" t="str">
        <f>IF(E109="——","——",H101-H105-H106)</f>
        <v>——</v>
      </c>
      <c r="I109" s="129"/>
    </row>
    <row r="110" spans="1:35" ht="18.75" customHeight="1">
      <c r="A110" s="129"/>
      <c r="B110" s="129"/>
      <c r="C110" s="129"/>
      <c r="D110" s="129"/>
      <c r="E110" s="3605"/>
      <c r="F110" s="3606"/>
      <c r="G110" s="1827" t="s">
        <v>1434</v>
      </c>
      <c r="H110" s="2555" t="str">
        <f>IF(H109="——","——",ROUND(H109*10000/'数据-汇总表'!E3,0))</f>
        <v>——</v>
      </c>
      <c r="I110" s="129"/>
    </row>
    <row r="111" spans="1:35" ht="18.75" customHeight="1">
      <c r="A111" s="129"/>
      <c r="B111" s="129"/>
      <c r="C111" s="129"/>
      <c r="D111" s="129"/>
      <c r="E111" s="3637" t="str">
        <f>IF(项目基本情况!E9="抵押净值",IF(OR(项目基本情况!E8="已注销",项目基本情况!E8="房地产抵押价值"),"4.抵押净值","5.抵押净值"),"——")</f>
        <v>——</v>
      </c>
      <c r="F111" s="3607"/>
      <c r="G111" s="1827" t="s">
        <v>1432</v>
      </c>
      <c r="H111" s="2595" t="str">
        <f>IF(E111="——","——",N59)</f>
        <v>——</v>
      </c>
      <c r="I111" s="129"/>
    </row>
    <row r="112" spans="1:35" ht="18.75" customHeight="1" thickBot="1">
      <c r="A112" s="129"/>
      <c r="B112" s="129"/>
      <c r="C112" s="129"/>
      <c r="D112" s="129"/>
      <c r="E112" s="3638"/>
      <c r="F112" s="3639"/>
      <c r="G112" s="1830" t="s">
        <v>1434</v>
      </c>
      <c r="H112" s="2599" t="str">
        <f>IF(E111="——","——",N61)</f>
        <v>——</v>
      </c>
      <c r="I112" s="129"/>
    </row>
    <row r="113" spans="1:27" ht="18.75" customHeight="1">
      <c r="A113" s="129"/>
      <c r="B113" s="129"/>
      <c r="C113" s="129"/>
      <c r="D113" s="129"/>
      <c r="E113" s="3610" t="s">
        <v>1440</v>
      </c>
      <c r="F113" s="3610"/>
      <c r="G113" s="3610"/>
      <c r="H113" s="3610"/>
      <c r="I113" s="129"/>
    </row>
    <row r="114" spans="1:27" ht="3.75" customHeight="1">
      <c r="A114" s="1747"/>
      <c r="B114" s="1747"/>
      <c r="C114" s="1747"/>
      <c r="D114" s="1747"/>
      <c r="E114" s="1809"/>
      <c r="F114" s="1809"/>
      <c r="G114" s="1809"/>
      <c r="H114" s="1809"/>
      <c r="I114" s="1747"/>
    </row>
    <row r="115" spans="1:27" ht="18.75" customHeight="1">
      <c r="A115" s="3620" t="s">
        <v>1442</v>
      </c>
      <c r="B115" s="3621"/>
      <c r="C115" s="3621"/>
      <c r="D115" s="3621"/>
      <c r="E115" s="3621"/>
      <c r="F115" s="3621"/>
      <c r="G115" s="3621"/>
      <c r="H115" s="3621"/>
      <c r="I115" s="3622"/>
    </row>
    <row r="116" spans="1:27" ht="27" customHeight="1">
      <c r="A116" s="3576" t="s">
        <v>1443</v>
      </c>
      <c r="B116" s="3611" t="s">
        <v>1444</v>
      </c>
      <c r="C116" s="3611" t="s">
        <v>1445</v>
      </c>
      <c r="D116" s="3624" t="s">
        <v>1446</v>
      </c>
      <c r="E116" s="3625"/>
      <c r="F116" s="3619" t="s">
        <v>1447</v>
      </c>
      <c r="G116" s="3619"/>
      <c r="H116" s="3576" t="s">
        <v>1448</v>
      </c>
      <c r="I116" s="3576"/>
    </row>
    <row r="117" spans="1:27" ht="18.75" customHeight="1">
      <c r="A117" s="3576"/>
      <c r="B117" s="3612"/>
      <c r="C117" s="3612"/>
      <c r="D117" s="2329" t="s">
        <v>1449</v>
      </c>
      <c r="E117" s="2329" t="s">
        <v>1450</v>
      </c>
      <c r="F117" s="2329" t="s">
        <v>1449</v>
      </c>
      <c r="G117" s="2329" t="s">
        <v>1451</v>
      </c>
      <c r="H117" s="2329" t="s">
        <v>1449</v>
      </c>
      <c r="I117" s="2329" t="s">
        <v>1451</v>
      </c>
    </row>
    <row r="118" spans="1:27" ht="24.75" customHeight="1">
      <c r="A118" s="2600" t="str">
        <f>项目基本情况!S2</f>
        <v>北京市密云区沙河镇1号院房地产</v>
      </c>
      <c r="B118" s="2329">
        <f>M18</f>
        <v>1562.24</v>
      </c>
      <c r="C118" s="2329">
        <f>M19</f>
        <v>0</v>
      </c>
      <c r="D118" s="2329">
        <f ca="1">ROUND(IF(D32="总价",C34,E118*B118/10000),0)</f>
        <v>836</v>
      </c>
      <c r="E118" s="2329">
        <f ca="1">ROUND(IF(C33="自定义",IF(D32="楼面单价",C34,D118*10000/B118),I118-G118),0)</f>
        <v>5350</v>
      </c>
      <c r="F118" s="2329">
        <f ca="1">ROUND(IF(D32="总价",C35,G118*B118/10000),0)</f>
        <v>480</v>
      </c>
      <c r="G118" s="2329">
        <f ca="1">ROUND(IF(D32="楼面单价",C35,F118*10000/B118),0)</f>
        <v>3075</v>
      </c>
      <c r="H118" s="2329">
        <f ca="1">ROUND(IF(D32="总价",C32,I118*B118/10000),0)</f>
        <v>1316</v>
      </c>
      <c r="I118" s="2329">
        <f ca="1">ROUND(IF(D32="楼面单价",C32,H118*10000/B118),0)</f>
        <v>8425</v>
      </c>
    </row>
    <row r="119" spans="1:27" ht="18.75" customHeight="1">
      <c r="A119" s="3576" t="s">
        <v>1452</v>
      </c>
      <c r="B119" s="3576"/>
      <c r="C119" s="3576"/>
      <c r="D119" s="3616" t="str">
        <f ca="1">NUMBERSTRING(INT(D118*10000),2)&amp;"元整"</f>
        <v>捌佰叁拾陆万元整</v>
      </c>
      <c r="E119" s="3618"/>
      <c r="F119" s="3616" t="str">
        <f ca="1">NUMBERSTRING(INT(F118*10000),2)&amp;"元整"</f>
        <v>肆佰捌拾万元整</v>
      </c>
      <c r="G119" s="3618"/>
      <c r="H119" s="3616" t="str">
        <f ca="1">NUMBERSTRING(INT(H118*10000),2)&amp;"元整"</f>
        <v>壹仟叁佰壹拾陆万元整</v>
      </c>
      <c r="I119" s="3618"/>
    </row>
    <row r="120" spans="1:27" ht="18.75" customHeight="1">
      <c r="A120" s="3640" t="str">
        <f>IF(项目基本情况!B9="房地产市场价值","",MID(E103,3,LEN(E103)-2))</f>
        <v>估价师知悉的法定优先受偿款</v>
      </c>
      <c r="B120" s="3641"/>
      <c r="C120" s="3642"/>
      <c r="D120" s="3640">
        <f>H103</f>
        <v>0</v>
      </c>
      <c r="E120" s="3641"/>
      <c r="F120" s="3641"/>
      <c r="G120" s="3641"/>
      <c r="H120" s="3641"/>
      <c r="I120" s="364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16" t="s">
        <v>1452</v>
      </c>
      <c r="B121" s="3617"/>
      <c r="C121" s="3618"/>
      <c r="D121" s="3616" t="str">
        <f>IF(D120=0,"零元整",NUMBERSTRING(INT(D120*10000),2)&amp;"元整")</f>
        <v>零元整</v>
      </c>
      <c r="E121" s="3617"/>
      <c r="F121" s="3617"/>
      <c r="G121" s="3617"/>
      <c r="H121" s="3617"/>
      <c r="I121" s="3618"/>
      <c r="AA121" s="725"/>
    </row>
    <row r="122" spans="1:27" ht="18.75" customHeight="1">
      <c r="A122" s="3607" t="str">
        <f>IF(项目基本情况!B9="房地产市场价值","",MID(E107,3,LEN(E107)-2))</f>
        <v>房地产抵押价值</v>
      </c>
      <c r="B122" s="3607"/>
      <c r="C122" s="3607"/>
      <c r="D122" s="3640">
        <f ca="1">H107</f>
        <v>1316</v>
      </c>
      <c r="E122" s="3641"/>
      <c r="F122" s="3641"/>
      <c r="G122" s="3641"/>
      <c r="H122" s="3641"/>
      <c r="I122" s="3642"/>
      <c r="AA122" s="725"/>
    </row>
    <row r="123" spans="1:27" ht="18.75" customHeight="1">
      <c r="A123" s="3576" t="s">
        <v>1452</v>
      </c>
      <c r="B123" s="3576"/>
      <c r="C123" s="3576"/>
      <c r="D123" s="3616" t="str">
        <f ca="1">NUMBERSTRING(INT(D122*10000),2)&amp;"元整"</f>
        <v>壹仟叁佰壹拾陆万元整</v>
      </c>
      <c r="E123" s="3617"/>
      <c r="F123" s="3617"/>
      <c r="G123" s="3617"/>
      <c r="H123" s="3617"/>
      <c r="I123" s="3618"/>
      <c r="AA123" s="725"/>
    </row>
    <row r="124" spans="1:27" ht="18.75" customHeight="1">
      <c r="A124" s="3607" t="str">
        <f>IF(项目基本情况!B9="房地产市场价值","",MID(E109,3,LEN(E109)-2))</f>
        <v/>
      </c>
      <c r="B124" s="3607"/>
      <c r="C124" s="3607"/>
      <c r="D124" s="3640" t="str">
        <f>H109</f>
        <v>——</v>
      </c>
      <c r="E124" s="3641"/>
      <c r="F124" s="3641"/>
      <c r="G124" s="3641"/>
      <c r="H124" s="3641"/>
      <c r="I124" s="3642"/>
      <c r="AA124" s="725"/>
    </row>
    <row r="125" spans="1:27" ht="18.75" customHeight="1">
      <c r="A125" s="3576" t="s">
        <v>1452</v>
      </c>
      <c r="B125" s="3576"/>
      <c r="C125" s="3576"/>
      <c r="D125" s="3616" t="e">
        <f>NUMBERSTRING(INT(D124*10000),2)&amp;"元整"</f>
        <v>#VALUE!</v>
      </c>
      <c r="E125" s="3617"/>
      <c r="F125" s="3617"/>
      <c r="G125" s="3617"/>
      <c r="H125" s="3617"/>
      <c r="I125" s="3618"/>
      <c r="AA125" s="725"/>
    </row>
    <row r="126" spans="1:27" ht="18.75" customHeight="1">
      <c r="A126" s="3607" t="str">
        <f>IF(项目基本情况!B9="房地产市场价值","",MID(E111,3,LEN(E111)-2))</f>
        <v/>
      </c>
      <c r="B126" s="3607"/>
      <c r="C126" s="3607"/>
      <c r="D126" s="3640" t="str">
        <f>H111</f>
        <v>——</v>
      </c>
      <c r="E126" s="3641"/>
      <c r="F126" s="3641"/>
      <c r="G126" s="3641"/>
      <c r="H126" s="3641"/>
      <c r="I126" s="3642"/>
      <c r="AA126" s="725"/>
    </row>
    <row r="127" spans="1:27" ht="18.75" customHeight="1">
      <c r="A127" s="3576" t="s">
        <v>1452</v>
      </c>
      <c r="B127" s="3576"/>
      <c r="C127" s="3576"/>
      <c r="D127" s="3616" t="e">
        <f>NUMBERSTRING(INT(D126*10000),2)&amp;"元整"</f>
        <v>#VALUE!</v>
      </c>
      <c r="E127" s="3617"/>
      <c r="F127" s="3617"/>
      <c r="G127" s="3617"/>
      <c r="H127" s="3617"/>
      <c r="I127" s="3618"/>
      <c r="AA127" s="725"/>
    </row>
    <row r="128" spans="1:27" ht="21.75" customHeight="1">
      <c r="A128" s="3623" t="s">
        <v>1453</v>
      </c>
      <c r="B128" s="3623"/>
      <c r="C128" s="3623"/>
      <c r="D128" s="3623"/>
      <c r="E128" s="3623"/>
      <c r="F128" s="3623"/>
      <c r="G128" s="3623"/>
      <c r="H128" s="3623"/>
      <c r="I128" s="362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511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3271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30</v>
      </c>
      <c r="D10" s="845">
        <f ca="1">IF(B1="",'数据-汇总表'!E6,IF(INDIRECT("'数据-取费表'!c"&amp;$G$1)="住宅",INDIRECT("'数据-取费表'!s"&amp;$G$1),INDIRECT("'数据-取费表'!k"&amp;$G$1)+INDIRECT("'数据-取费表'!s"&amp;$G$1)))</f>
        <v>1562.24</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31</v>
      </c>
      <c r="D19" s="849">
        <f ca="1">D9+D10</f>
        <v>1562.24</v>
      </c>
      <c r="E19" s="211">
        <f>'数据-取费表'!B31</f>
        <v>200</v>
      </c>
      <c r="F19" s="231"/>
      <c r="G19" s="1856"/>
    </row>
    <row r="20" spans="1:7" s="214" customFormat="1" ht="13.5" customHeight="1">
      <c r="A20" s="255" t="s">
        <v>1493</v>
      </c>
      <c r="B20" s="210" t="s">
        <v>1494</v>
      </c>
      <c r="C20" s="232">
        <f ca="1">ROUND((C5+C19)*F20,0)</f>
        <v>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v>
      </c>
      <c r="D22" s="235">
        <f ca="1">C26</f>
        <v>2.9999999999999997E-4</v>
      </c>
      <c r="E22" s="236" t="s">
        <v>1498</v>
      </c>
      <c r="F22" s="237">
        <f ca="1">'数据-取费表'!B40</f>
        <v>3.4500000000000003E-2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5</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5</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521</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469</v>
      </c>
      <c r="D34" s="217"/>
      <c r="E34" s="220"/>
      <c r="F34" s="257">
        <f ca="1">IF('数据-取费表'!B24=0,1,IF(B1="",'数据-取费表'!N16,INDIRECT("'数据-取费表'!n"&amp;$G$1)))</f>
        <v>1</v>
      </c>
      <c r="G34" s="219" t="s">
        <v>1526</v>
      </c>
    </row>
    <row r="35" spans="1:7" ht="13.5" customHeight="1">
      <c r="A35" s="780" t="s">
        <v>351</v>
      </c>
      <c r="B35" s="215" t="s">
        <v>1527</v>
      </c>
      <c r="C35" s="220">
        <f ca="1">ROUND(C34*F35,0)</f>
        <v>14</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31</v>
      </c>
      <c r="D37" s="217">
        <f ca="1">D19</f>
        <v>1562.24</v>
      </c>
      <c r="E37" s="249">
        <f>'数据-取费表'!B35</f>
        <v>200</v>
      </c>
      <c r="F37" s="259"/>
      <c r="G37" s="261" t="s">
        <v>1532</v>
      </c>
    </row>
    <row r="38" spans="1:7" ht="13.5" customHeight="1">
      <c r="A38" s="780" t="s">
        <v>354</v>
      </c>
      <c r="B38" s="215" t="s">
        <v>1533</v>
      </c>
      <c r="C38" s="220">
        <f ca="1">ROUND(C34*F38,0)</f>
        <v>7</v>
      </c>
      <c r="D38" s="220"/>
      <c r="E38" s="220"/>
      <c r="F38" s="259">
        <f>'数据-取费表'!B36</f>
        <v>1.4999999999999999E-2</v>
      </c>
      <c r="G38" s="219" t="s">
        <v>1528</v>
      </c>
    </row>
    <row r="39" spans="1:7" s="214" customFormat="1" ht="13.5" customHeight="1">
      <c r="A39" s="255" t="s">
        <v>1534</v>
      </c>
      <c r="B39" s="210" t="s">
        <v>1535</v>
      </c>
      <c r="C39" s="232">
        <f ca="1">ROUND(C33*F20,0)</f>
        <v>10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9</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9</v>
      </c>
      <c r="D42" s="238"/>
      <c r="E42" s="238"/>
      <c r="F42" s="239"/>
      <c r="G42" s="3656" t="s">
        <v>1544</v>
      </c>
    </row>
    <row r="43" spans="1:7" ht="13.5" customHeight="1">
      <c r="A43" s="780" t="s">
        <v>347</v>
      </c>
      <c r="B43" s="215" t="s">
        <v>1545</v>
      </c>
      <c r="C43" s="238">
        <f ca="1">ROUND(IF('数据-取费表'!B22&lt;=1,C39*F22*'数据-取费表'!B21/2,C39*(POWER((1+F22),'数据-取费表'!B21/2)-1)),0)</f>
        <v>0</v>
      </c>
      <c r="D43" s="238"/>
      <c r="E43" s="238"/>
      <c r="F43" s="239"/>
      <c r="G43" s="3657"/>
    </row>
    <row r="44" spans="1:7" ht="13.5" customHeight="1">
      <c r="A44" s="780" t="s">
        <v>348</v>
      </c>
      <c r="B44" s="215" t="s">
        <v>1546</v>
      </c>
      <c r="C44" s="238">
        <f ca="1">ROUND(IF('数据-取费表'!B22&lt;=1,C40*F22*'数据-取费表'!B21/2,C40*(POWER((1+F22),'数据-取费表'!B21/2)-1)),4)</f>
        <v>2.9999999999999997E-4</v>
      </c>
      <c r="D44" s="238"/>
      <c r="E44" s="238"/>
      <c r="F44" s="239"/>
      <c r="G44" s="3658"/>
    </row>
    <row r="45" spans="1:7" s="214" customFormat="1" ht="13.5" customHeight="1">
      <c r="A45" s="255" t="s">
        <v>1547</v>
      </c>
      <c r="B45" s="244" t="s">
        <v>1513</v>
      </c>
      <c r="C45" s="245">
        <f ca="1">C46</f>
        <v>80</v>
      </c>
      <c r="D45" s="235">
        <f ca="1">C47</f>
        <v>3.0000000000000001E-3</v>
      </c>
      <c r="E45" s="236" t="s">
        <v>1539</v>
      </c>
      <c r="F45" s="246">
        <f ca="1">F27</f>
        <v>0.15</v>
      </c>
      <c r="G45" s="247" t="s">
        <v>1548</v>
      </c>
    </row>
    <row r="46" spans="1:7" s="214" customFormat="1" ht="13.5" customHeight="1">
      <c r="A46" s="780" t="s">
        <v>346</v>
      </c>
      <c r="B46" s="248" t="s">
        <v>1549</v>
      </c>
      <c r="C46" s="249">
        <f ca="1">ROUND((C33+C39)*F27,0)</f>
        <v>80</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671</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470</v>
      </c>
      <c r="D51" s="232"/>
      <c r="E51" s="232"/>
      <c r="F51" s="264"/>
      <c r="G51" s="234" t="s">
        <v>1560</v>
      </c>
    </row>
    <row r="52" spans="1:7" s="208" customFormat="1" ht="16.5" thickBot="1">
      <c r="A52" s="265" t="s">
        <v>1561</v>
      </c>
      <c r="B52" s="266"/>
      <c r="C52" s="267">
        <f ca="1">C31+C51</f>
        <v>511</v>
      </c>
      <c r="D52" s="266"/>
      <c r="E52" s="266"/>
      <c r="F52" s="266"/>
      <c r="G52" s="268"/>
    </row>
    <row r="55" spans="1:7" ht="15">
      <c r="B55" s="270" t="s">
        <v>1562</v>
      </c>
      <c r="C55" s="271"/>
    </row>
    <row r="56" spans="1:7">
      <c r="B56" s="273" t="s">
        <v>802</v>
      </c>
      <c r="C56" s="275">
        <f ca="1">1-C57</f>
        <v>7.999999999999996E-2</v>
      </c>
    </row>
    <row r="57" spans="1:7">
      <c r="B57" s="273" t="s">
        <v>803</v>
      </c>
      <c r="C57" s="274">
        <f ca="1">ROUND(C51/C52,3)</f>
        <v>0.92</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3" t="str">
        <f>项目基本情况!B1</f>
        <v>北京市密云区沙河镇1号院房地产抵押价值预评估</v>
      </c>
      <c r="C37" s="3473"/>
      <c r="D37" s="3473"/>
      <c r="E37" s="3473"/>
      <c r="F37" s="3473"/>
      <c r="G37" s="3473"/>
      <c r="H37" s="3473"/>
      <c r="I37" s="347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郑燚（注册号：1120070131)、崔锴（注册号：1120100036)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85" zoomScaleNormal="80" zoomScaleSheetLayoutView="85" workbookViewId="0">
      <selection activeCell="C21" sqref="C21"/>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1562.24</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623</v>
      </c>
      <c r="C2" s="1999" t="s">
        <v>1935</v>
      </c>
      <c r="D2" s="2000" t="s">
        <v>1936</v>
      </c>
      <c r="E2" s="3421" t="s">
        <v>673</v>
      </c>
      <c r="F2" s="2000" t="s">
        <v>1937</v>
      </c>
      <c r="G2" s="2001" t="str">
        <f>IF(E2="商业",项目基本情况!B37,IF(E2="办公",项目基本情况!C37,IF(E2="住宅",项目基本情况!D37,IF(E2="工业",项目基本情况!E37,项目基本情况!F37))))</f>
        <v>九级</v>
      </c>
      <c r="H2" s="2000" t="s">
        <v>1938</v>
      </c>
      <c r="I2" s="2001" t="str">
        <f>IF(E2="商业",项目基本情况!B38,IF(E2="办公",项目基本情况!C38,IF(E2="住宅",项目基本情况!D38,IF(E2="工业",项目基本情况!E38,项目基本情况!F38))))</f>
        <v>Ⅸ-密1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1.5418000000000001</v>
      </c>
      <c r="T2" s="3360">
        <f t="shared" ref="T2:T16" si="0">ROUND($C$5*$C$22*$C$23*$C$24*S2*$C$28,0)</f>
        <v>6503</v>
      </c>
      <c r="U2" s="1213">
        <f>'数据-基础表'!I13/2</f>
        <v>781.12</v>
      </c>
      <c r="V2" s="3360">
        <f>ROUND(T2*U2/10000,0)</f>
        <v>508</v>
      </c>
      <c r="W2" s="1216"/>
      <c r="X2" s="1216"/>
      <c r="Y2" s="1216"/>
      <c r="Z2" s="1216"/>
      <c r="AA2" s="1216"/>
      <c r="AB2" s="1216"/>
      <c r="AC2" s="1217"/>
      <c r="AD2" s="1218"/>
      <c r="AE2" s="1218"/>
      <c r="AF2" s="1218"/>
      <c r="AG2" s="1218"/>
      <c r="AH2" s="1218"/>
      <c r="AI2" s="1218"/>
      <c r="AJ2" s="1219"/>
    </row>
    <row r="3" spans="1:36" ht="15.75">
      <c r="A3" s="203" t="s">
        <v>1940</v>
      </c>
      <c r="B3" s="204">
        <f>ROUND(B2*10000/D1,0)</f>
        <v>3988</v>
      </c>
      <c r="C3" s="1999" t="s">
        <v>1941</v>
      </c>
      <c r="D3" s="2000" t="s">
        <v>1942</v>
      </c>
      <c r="E3" s="3419" t="s">
        <v>2442</v>
      </c>
      <c r="F3" s="2004" t="s">
        <v>3389</v>
      </c>
      <c r="G3" s="752">
        <f>IF(F3="宗地容积率",'数据-汇总表'!I4,IF(F3="估价对象容积率",'数据-汇总表'!I6,'数据-汇总表'!I7))</f>
        <v>2.5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1.1883999999999999</v>
      </c>
      <c r="T3" s="3360">
        <f t="shared" si="0"/>
        <v>5013</v>
      </c>
      <c r="U3" s="1213">
        <f>U2</f>
        <v>781.12</v>
      </c>
      <c r="V3" s="3360">
        <f t="shared" ref="V3:V16" si="1">ROUND(T3*U3/10000,0)</f>
        <v>392</v>
      </c>
      <c r="W3" s="1216"/>
      <c r="X3" s="1216"/>
      <c r="Y3" s="1216"/>
      <c r="Z3" s="1216"/>
      <c r="AA3" s="1216"/>
      <c r="AB3" s="1216"/>
      <c r="AC3" s="1217"/>
      <c r="AD3" s="1218"/>
      <c r="AE3" s="1218"/>
      <c r="AF3" s="1218"/>
      <c r="AG3" s="1218"/>
      <c r="AH3" s="1218"/>
      <c r="AI3" s="1218"/>
      <c r="AJ3" s="1219"/>
    </row>
    <row r="4" spans="1:36" ht="15.75">
      <c r="A4" s="3666"/>
      <c r="B4" s="3667"/>
      <c r="C4" s="3667"/>
      <c r="D4" s="3668"/>
      <c r="E4" s="3668"/>
      <c r="F4" s="3668"/>
      <c r="G4" s="3668"/>
      <c r="H4" s="3668"/>
      <c r="I4" s="3668"/>
      <c r="J4" s="3669"/>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0.96940000000000004</v>
      </c>
      <c r="T4" s="3360">
        <f t="shared" si="0"/>
        <v>4089</v>
      </c>
      <c r="U4" s="1213"/>
      <c r="V4" s="3360">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5615</v>
      </c>
      <c r="D5" s="1339">
        <f>ROUND(C6*C17+C20,0)</f>
        <v>5615</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0.82299999999999995</v>
      </c>
      <c r="T5" s="3360">
        <f t="shared" si="0"/>
        <v>3471</v>
      </c>
      <c r="U5" s="1213"/>
      <c r="V5" s="3360">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5620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0.74980000000000002</v>
      </c>
      <c r="T6" s="3360">
        <f t="shared" si="0"/>
        <v>3163</v>
      </c>
      <c r="U6" s="1213"/>
      <c r="V6" s="3360">
        <f t="shared" si="1"/>
        <v>0</v>
      </c>
      <c r="W6" s="1216"/>
      <c r="X6" s="1216"/>
      <c r="Y6" s="1216"/>
      <c r="Z6" s="1216"/>
      <c r="AA6" s="1216"/>
      <c r="AB6" s="1216"/>
      <c r="AC6" s="2011"/>
      <c r="AD6" s="2012"/>
      <c r="AE6" s="2012"/>
      <c r="AF6" s="2012"/>
      <c r="AG6" s="2012"/>
      <c r="AH6" s="2012"/>
      <c r="AI6" s="2012"/>
      <c r="AJ6" s="2013"/>
    </row>
    <row r="7" spans="1:36" ht="24.75" thickBot="1">
      <c r="A7" s="3303" t="s">
        <v>3240</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f t="shared" si="0"/>
        <v>0</v>
      </c>
      <c r="U7" s="1213"/>
      <c r="V7" s="3360">
        <f t="shared" si="1"/>
        <v>0</v>
      </c>
      <c r="W7" s="1358" t="s">
        <v>1955</v>
      </c>
      <c r="X7" s="1214" t="str">
        <f>G2</f>
        <v>九级</v>
      </c>
      <c r="Y7" s="1214" t="s">
        <v>1956</v>
      </c>
      <c r="Z7" s="1215">
        <f>G3</f>
        <v>2.5</v>
      </c>
      <c r="AA7" s="1216"/>
      <c r="AB7" s="1216"/>
      <c r="AC7" s="1217"/>
      <c r="AD7" s="1218"/>
      <c r="AE7" s="1218"/>
      <c r="AF7" s="1218"/>
      <c r="AG7" s="1218"/>
      <c r="AH7" s="1218"/>
      <c r="AI7" s="1218"/>
      <c r="AJ7" s="1219"/>
    </row>
    <row r="8" spans="1:36" ht="25.5">
      <c r="A8" s="3298"/>
      <c r="B8" s="170" t="s">
        <v>1957</v>
      </c>
      <c r="C8" s="2026" t="s">
        <v>3390</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f t="shared" si="0"/>
        <v>0</v>
      </c>
      <c r="U8" s="1213"/>
      <c r="V8" s="3360">
        <f t="shared" si="1"/>
        <v>0</v>
      </c>
      <c r="W8" s="3663" t="s">
        <v>1960</v>
      </c>
      <c r="X8" s="366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5620</v>
      </c>
      <c r="N9" s="866">
        <f>SUMPRODUCT((因素修正幅度!B277:B326=I2)*(因素修正幅度!C3:G3=E2)*(因素修正幅度!C277:G326))</f>
        <v>0.15</v>
      </c>
      <c r="O9" s="1119"/>
      <c r="P9" s="1119"/>
      <c r="Q9" s="1119"/>
      <c r="R9" s="1212">
        <v>8</v>
      </c>
      <c r="S9" s="1213"/>
      <c r="T9" s="3360">
        <f t="shared" si="0"/>
        <v>0</v>
      </c>
      <c r="U9" s="1213"/>
      <c r="V9" s="3360">
        <f t="shared" si="1"/>
        <v>0</v>
      </c>
      <c r="W9" s="3665"/>
      <c r="X9" s="3361" t="s">
        <v>3270</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f t="shared" si="0"/>
        <v>0</v>
      </c>
      <c r="U10" s="1213"/>
      <c r="V10" s="3360">
        <f t="shared" si="1"/>
        <v>0</v>
      </c>
      <c r="W10" s="3665"/>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f t="shared" si="0"/>
        <v>0</v>
      </c>
      <c r="U11" s="1213"/>
      <c r="V11" s="3360">
        <f t="shared" si="1"/>
        <v>0</v>
      </c>
      <c r="W11" s="1216"/>
      <c r="X11" s="1216"/>
      <c r="Y11" s="1216"/>
      <c r="Z11" s="1216"/>
      <c r="AA11" s="1216"/>
      <c r="AB11" s="1216"/>
      <c r="AC11" s="1217"/>
      <c r="AD11" s="2788"/>
      <c r="AE11" s="2788"/>
      <c r="AF11" s="2788"/>
      <c r="AG11" s="2788"/>
      <c r="AH11" s="2788"/>
      <c r="AI11" s="2788"/>
      <c r="AJ11" s="2789"/>
    </row>
    <row r="12" spans="1:36" ht="25.5" thickBot="1">
      <c r="A12" s="3303" t="s">
        <v>3241</v>
      </c>
      <c r="B12" s="3304" t="s">
        <v>3242</v>
      </c>
      <c r="C12" s="3305"/>
      <c r="D12" s="3306" t="s">
        <v>3243</v>
      </c>
      <c r="E12" s="3307" t="s">
        <v>3244</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f t="shared" si="0"/>
        <v>0</v>
      </c>
      <c r="U12" s="1213"/>
      <c r="V12" s="3360">
        <f t="shared" si="1"/>
        <v>0</v>
      </c>
      <c r="W12" s="1216"/>
      <c r="X12" s="1216"/>
      <c r="Y12" s="1216"/>
      <c r="Z12" s="1216"/>
      <c r="AA12" s="1216"/>
      <c r="AB12" s="1216"/>
      <c r="AC12" s="1217"/>
      <c r="AD12" s="2788"/>
      <c r="AE12" s="2788"/>
      <c r="AF12" s="2788"/>
      <c r="AG12" s="2788"/>
      <c r="AH12" s="2788"/>
      <c r="AI12" s="2788"/>
      <c r="AJ12" s="2789"/>
    </row>
    <row r="13" spans="1:36" ht="15.75" thickBot="1">
      <c r="A13" s="3303" t="s">
        <v>3245</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f t="shared" si="0"/>
        <v>0</v>
      </c>
      <c r="U13" s="1213"/>
      <c r="V13" s="3360">
        <f t="shared" si="1"/>
        <v>0</v>
      </c>
      <c r="W13" s="1216"/>
      <c r="X13" s="1216"/>
      <c r="Y13" s="1216"/>
      <c r="Z13" s="1216"/>
      <c r="AA13" s="1216"/>
      <c r="AB13" s="1216"/>
      <c r="AC13" s="1217"/>
      <c r="AD13" s="2788"/>
      <c r="AE13" s="2788"/>
      <c r="AF13" s="2788"/>
      <c r="AG13" s="2788"/>
      <c r="AH13" s="2788"/>
      <c r="AI13" s="2788"/>
      <c r="AJ13" s="2789"/>
    </row>
    <row r="14" spans="1:36" ht="15">
      <c r="A14" s="3297"/>
      <c r="B14" s="2040" t="s">
        <v>1985</v>
      </c>
      <c r="C14" s="2041" t="s">
        <v>1986</v>
      </c>
      <c r="D14" s="1350" t="s">
        <v>1987</v>
      </c>
      <c r="E14" s="27" t="s">
        <v>1988</v>
      </c>
      <c r="F14" s="3311" t="s">
        <v>3246</v>
      </c>
      <c r="G14" s="3311" t="s">
        <v>3246</v>
      </c>
      <c r="H14" s="3311" t="s">
        <v>3246</v>
      </c>
      <c r="I14" s="3311" t="s">
        <v>3246</v>
      </c>
      <c r="J14" s="3311" t="s">
        <v>3246</v>
      </c>
      <c r="K14" s="1119"/>
      <c r="L14" s="1119"/>
      <c r="M14" s="1119"/>
      <c r="N14" s="1119"/>
      <c r="O14" s="1119"/>
      <c r="P14" s="1119"/>
      <c r="Q14" s="1119"/>
      <c r="R14" s="1212">
        <v>13</v>
      </c>
      <c r="S14" s="1213"/>
      <c r="T14" s="3360">
        <f t="shared" si="0"/>
        <v>0</v>
      </c>
      <c r="U14" s="1213"/>
      <c r="V14" s="3360">
        <f t="shared" si="1"/>
        <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3247</v>
      </c>
      <c r="G15" s="3313"/>
      <c r="H15" s="3314"/>
      <c r="I15" s="3315"/>
      <c r="J15" s="3316"/>
      <c r="K15" s="1119"/>
      <c r="L15" s="1119"/>
      <c r="M15" s="1119"/>
      <c r="N15" s="1119"/>
      <c r="O15" s="1119"/>
      <c r="P15" s="1119"/>
      <c r="Q15" s="1119"/>
      <c r="R15" s="1212">
        <v>14</v>
      </c>
      <c r="S15" s="1213"/>
      <c r="T15" s="3360">
        <f t="shared" si="0"/>
        <v>0</v>
      </c>
      <c r="U15" s="1213"/>
      <c r="V15" s="3360">
        <f t="shared" si="1"/>
        <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f t="shared" si="0"/>
        <v>0</v>
      </c>
      <c r="U16" s="1213"/>
      <c r="V16" s="3360">
        <f t="shared" si="1"/>
        <v>0</v>
      </c>
      <c r="W16" s="1216"/>
      <c r="X16" s="1216"/>
      <c r="Y16" s="1216"/>
      <c r="Z16" s="1216"/>
      <c r="AA16" s="1216"/>
      <c r="AB16" s="1216"/>
      <c r="AC16" s="1217"/>
      <c r="AD16" s="2788"/>
      <c r="AE16" s="2788"/>
      <c r="AF16" s="2788"/>
      <c r="AG16" s="2788"/>
      <c r="AH16" s="2788"/>
      <c r="AI16" s="2788"/>
      <c r="AJ16" s="2789"/>
    </row>
    <row r="17" spans="1:37">
      <c r="A17" s="3329" t="s">
        <v>3248</v>
      </c>
      <c r="B17" s="3320" t="s">
        <v>3249</v>
      </c>
      <c r="C17" s="3330">
        <f>ROUND(IF(OR(E2="工业",E2="公共服务"),1,IF(AND(E18=0,E19=0),1,IF(AND(E18=J24,E19=G19),0.8,IF(E19=0,1+E17*(-0.2),1+E17*G17*(-0.2))))),4)</f>
        <v>1</v>
      </c>
      <c r="D17" s="3321" t="s">
        <v>3250</v>
      </c>
      <c r="E17" s="3330">
        <f>ROUND(G18/I18,2)</f>
        <v>0</v>
      </c>
      <c r="F17" s="3321" t="s">
        <v>3253</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3251</v>
      </c>
      <c r="E18" s="3328"/>
      <c r="F18" s="3323" t="s">
        <v>3254</v>
      </c>
      <c r="G18" s="3327">
        <f>ROUND(1-(1/(POWER(1+G24,E18))),4)</f>
        <v>0</v>
      </c>
      <c r="H18" s="3323" t="s">
        <v>3256</v>
      </c>
      <c r="I18" s="3327">
        <f>ROUND(1-(1/(POWER(1+G24,J24))),4)</f>
        <v>0.88249999999999995</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3252</v>
      </c>
      <c r="E19" s="3337"/>
      <c r="F19" s="3338" t="s">
        <v>3255</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670" t="s">
        <v>3257</v>
      </c>
      <c r="B20" s="167" t="s">
        <v>1994</v>
      </c>
      <c r="C20" s="3324">
        <f>ROUND(IF(F21="与级别开发程度一致",0,(G21-E21)/C21),0)</f>
        <v>-5</v>
      </c>
      <c r="D20" s="3340" t="s">
        <v>1998</v>
      </c>
      <c r="E20" s="3341"/>
      <c r="F20" s="3676" t="s">
        <v>1995</v>
      </c>
      <c r="G20" s="3677"/>
      <c r="H20" s="3325" t="s">
        <v>3391</v>
      </c>
      <c r="I20" s="3325" t="s">
        <v>3392</v>
      </c>
      <c r="J20" s="3326" t="s">
        <v>3392</v>
      </c>
      <c r="K20" s="2047" t="s">
        <v>3393</v>
      </c>
      <c r="L20" s="2047" t="s">
        <v>3394</v>
      </c>
      <c r="M20" s="2047"/>
      <c r="N20" s="2047" t="s">
        <v>3395</v>
      </c>
      <c r="O20" s="2048" t="s">
        <v>3396</v>
      </c>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15" thickBot="1">
      <c r="A21" s="3671"/>
      <c r="B21" s="2164" t="s">
        <v>1997</v>
      </c>
      <c r="C21" s="2165">
        <f>IF(E3="M4科研用地",SUMPRODUCT((修正!A2:A7=E3)*(修正!B1:M1=G2)*(修正!B2:M7)),SUMPRODUCT((修正!A2:A7=E2)*(修正!B1:M1=G2)*(修正!B2:M7)))</f>
        <v>2</v>
      </c>
      <c r="D21" s="187" t="str">
        <f>IF(OR(G2="八级",G2="九级",G2="十级",G2="十一级",G2="十二级"),"五通一平","七通一平")</f>
        <v>五通一平</v>
      </c>
      <c r="E21" s="2155">
        <f>SUMPRODUCT((修正!B1:M1=G2)*(修正!B17:M17))</f>
        <v>185</v>
      </c>
      <c r="F21" s="2156"/>
      <c r="G21" s="2157">
        <f>SUM(H21:O21)</f>
        <v>175</v>
      </c>
      <c r="H21" s="2165">
        <f>SUMPRODUCT((七通一平=H20)*(修正!B1:M1=G2)*(修正!B8:M16))</f>
        <v>60</v>
      </c>
      <c r="I21" s="2165">
        <f>SUMPRODUCT((七通一平=I20)*(修正!B1:M1=G2)*(修正!B8:M16))</f>
        <v>10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0</v>
      </c>
      <c r="N21" s="2165">
        <f>SUMPRODUCT((七通一平=N20)*(修正!B1:M1=G2)*(修正!B8:M16))</f>
        <v>30</v>
      </c>
      <c r="O21" s="2167">
        <f>SUMPRODUCT((七通一平=O20)*(修正!B1:M1=G2)*(修正!B8:M16))</f>
        <v>10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2000</v>
      </c>
      <c r="C22" s="2160">
        <f>SUMIF(修正!C20:C51,E3,修正!E20:E51)</f>
        <v>1</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1.0431999999999999</v>
      </c>
      <c r="D23" s="2054" t="s">
        <v>2002</v>
      </c>
      <c r="E23" s="761">
        <v>44197</v>
      </c>
      <c r="F23" s="2054" t="s">
        <v>2003</v>
      </c>
      <c r="G23" s="762">
        <f>'数据-取费表'!B2</f>
        <v>45279</v>
      </c>
      <c r="H23" s="3342" t="s">
        <v>3258</v>
      </c>
      <c r="I23" s="3343" t="str">
        <f>IF(H23="季度增幅（自定义）",SUMIF(N25:N28,E2,O25:O28),"")</f>
        <v/>
      </c>
      <c r="J23" s="3445" t="s">
        <v>3397</v>
      </c>
      <c r="K23" s="1125"/>
      <c r="L23" s="2055" t="s">
        <v>2004</v>
      </c>
      <c r="M23" s="1328">
        <f>ROUND(SUMIF(地价!B2:G2,E2,地价!B16:G16),0)</f>
        <v>350</v>
      </c>
      <c r="N23" s="2056" t="s">
        <v>2005</v>
      </c>
      <c r="O23" s="763">
        <f>ROUNDDOWN(DATEDIF(E23,G23,"M")/3,0)</f>
        <v>11</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0.72009999999999996</v>
      </c>
      <c r="D24" s="2060" t="s">
        <v>2007</v>
      </c>
      <c r="E24" s="1335">
        <f>存贷款利率!E24/100</f>
        <v>4.3499999999999997E-2</v>
      </c>
      <c r="F24" s="2060" t="s">
        <v>1999</v>
      </c>
      <c r="G24" s="768">
        <f>SUMIF(M30:Q30,E2,M33:Q33)</f>
        <v>5.5E-2</v>
      </c>
      <c r="H24" s="2060" t="s">
        <v>2008</v>
      </c>
      <c r="I24" s="769">
        <f>SUMIF('数据-取费表'!C6:C15,E2,'数据-取费表'!F6:F15)/COUNTIF('数据-取费表'!C6:C15,E2)</f>
        <v>18.850000000000001</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3466</v>
      </c>
      <c r="C25" s="771">
        <f>IF(B25="容积率修正",IF(G3&lt;10,D26,J26),C27)</f>
        <v>0.94620000000000004</v>
      </c>
      <c r="D25" s="2067"/>
      <c r="E25" s="2067"/>
      <c r="F25" s="2067"/>
      <c r="G25" s="2067"/>
      <c r="H25" s="2067"/>
      <c r="I25" s="2067"/>
      <c r="J25" s="2068"/>
      <c r="K25" s="1125"/>
      <c r="L25" s="2787"/>
      <c r="M25" s="2787"/>
      <c r="N25" s="2069"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4" t="s">
        <v>3259</v>
      </c>
      <c r="D26" s="1352">
        <f>IF(E26=G26,F26,IF(G3&lt;10,ROUND(F26+(H26-F26)*(G3-E26)/(G26-E26),4),"——"))</f>
        <v>0.94620000000000004</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0.94620000000000004</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0.94620000000000004</v>
      </c>
      <c r="I26" s="3344" t="s">
        <v>3260</v>
      </c>
      <c r="J26" s="772" t="str">
        <f>IF(G3&gt;=10,D115,"——")</f>
        <v>——</v>
      </c>
      <c r="K26" s="1125"/>
      <c r="L26" s="2787"/>
      <c r="M26" s="2787"/>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v>
      </c>
      <c r="D28" s="2052"/>
      <c r="E28" s="2077"/>
      <c r="F28" s="2077"/>
      <c r="G28" s="2077"/>
      <c r="H28" s="2077"/>
      <c r="I28" s="2077"/>
      <c r="J28" s="2078"/>
      <c r="K28" s="1125"/>
      <c r="L28" s="2787"/>
      <c r="M28" s="2787"/>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623</v>
      </c>
      <c r="D30" s="2083"/>
      <c r="E30" s="2046"/>
      <c r="F30" s="2084"/>
      <c r="G30" s="2046"/>
      <c r="H30" s="2046"/>
      <c r="I30" s="2046"/>
      <c r="J30" s="2085"/>
      <c r="K30" s="1119"/>
      <c r="L30" s="3350" t="s">
        <v>1936</v>
      </c>
      <c r="M30" s="3351" t="s">
        <v>1990</v>
      </c>
      <c r="N30" s="3351" t="s">
        <v>1991</v>
      </c>
      <c r="O30" s="3351" t="s">
        <v>1992</v>
      </c>
      <c r="P30" s="3351" t="s">
        <v>1993</v>
      </c>
      <c r="Q30" s="3354" t="s">
        <v>3264</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3" t="s">
        <v>1999</v>
      </c>
      <c r="M32" s="2570">
        <f>ROUND($E$24*(1+M31),3)</f>
        <v>5.3999999999999999E-2</v>
      </c>
      <c r="N32" s="2570">
        <f>ROUND($E$24*(1+N31),3)</f>
        <v>5.1999999999999998E-2</v>
      </c>
      <c r="O32" s="2570">
        <f>ROUND($E$24*(1+O31),3)</f>
        <v>0.05</v>
      </c>
      <c r="P32" s="2570">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3991</v>
      </c>
      <c r="D33" s="2098">
        <f>'数据-汇总表'!F19</f>
        <v>1562.24</v>
      </c>
      <c r="E33" s="773">
        <f>ROUND(C33*D33/10000,0)</f>
        <v>623</v>
      </c>
      <c r="F33" s="3345" t="s">
        <v>3262</v>
      </c>
      <c r="G33" s="2099"/>
      <c r="H33" s="2099"/>
      <c r="I33" s="2099"/>
      <c r="J33" s="2100"/>
      <c r="K33" s="1119"/>
      <c r="L33" s="3348" t="s">
        <v>3265</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998</v>
      </c>
      <c r="D34" s="2103"/>
      <c r="E34" s="773">
        <f>ROUND(IF(B25="楼层修正",SUM(V2:V16)*M40,C34*D34/10000),0)</f>
        <v>0</v>
      </c>
      <c r="F34" s="2104" t="s">
        <v>2032</v>
      </c>
      <c r="G34" s="2105"/>
      <c r="H34" s="2105"/>
      <c r="I34" s="2105"/>
      <c r="J34" s="2106"/>
      <c r="K34" s="1119"/>
      <c r="L34" s="3348" t="s">
        <v>3266</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3263</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6" t="s">
        <v>3267</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74"/>
      <c r="B37" s="2113" t="s">
        <v>2036</v>
      </c>
      <c r="C37" s="175">
        <f>ROUND(D5*C22*C23*C24*C28*F37,0)</f>
        <v>2109</v>
      </c>
      <c r="D37" s="2098"/>
      <c r="E37" s="171">
        <f>ROUND(C37*D37/10000,0)</f>
        <v>0</v>
      </c>
      <c r="F37" s="171">
        <f>SUMIF(修正!A57:A68,G2,修正!B57:B68)</f>
        <v>0.5</v>
      </c>
      <c r="G37" s="171">
        <f>ROUND(IF(E2="工业",C37*$M$42,C37*$M$41),0)</f>
        <v>527</v>
      </c>
      <c r="H37" s="171">
        <f>D37</f>
        <v>0</v>
      </c>
      <c r="I37" s="171">
        <f>ROUND(G37*H37/10000,0)</f>
        <v>0</v>
      </c>
      <c r="J37" s="3011"/>
      <c r="K37" s="3358" t="s">
        <v>3268</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75"/>
      <c r="B38" s="2041" t="s">
        <v>2037</v>
      </c>
      <c r="C38" s="175">
        <f>ROUND(D5*C22*C23*C24*C28*F38,0)</f>
        <v>844</v>
      </c>
      <c r="D38" s="2098"/>
      <c r="E38" s="171">
        <f t="shared" ref="E38:E42" si="4">ROUND(C38*D38/10000,0)</f>
        <v>0</v>
      </c>
      <c r="F38" s="171">
        <f>SUMIF(修正!A57:A68,G2,修正!C57:C68)</f>
        <v>0.2</v>
      </c>
      <c r="G38" s="171">
        <f>ROUND(IF(E2="工业",C38*$M$42,C38*$M$41),0)</f>
        <v>211</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675"/>
      <c r="B39" s="2041" t="s">
        <v>3261</v>
      </c>
      <c r="C39" s="175">
        <f>ROUND(D5*C22*C23*C24*C28*F39,0)</f>
        <v>844</v>
      </c>
      <c r="D39" s="2098"/>
      <c r="E39" s="171">
        <f t="shared" si="4"/>
        <v>0</v>
      </c>
      <c r="F39" s="171">
        <f>SUMIF(修正!A57:A68,G2,修正!D57:D68)</f>
        <v>0.2</v>
      </c>
      <c r="G39" s="171">
        <f>ROUND(IF(E2="工业",C39*$M$42,C39*$M$41),0)</f>
        <v>211</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844</v>
      </c>
      <c r="D40" s="2098"/>
      <c r="E40" s="171">
        <f t="shared" si="4"/>
        <v>0</v>
      </c>
      <c r="F40" s="175">
        <f>SUMIF(修正!A57:A68,G2,修正!E57:E68)</f>
        <v>0.2</v>
      </c>
      <c r="G40" s="171">
        <f>ROUND(IF(E2="工业",C40*$M$42,C40*$M$41),0)</f>
        <v>211</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59" t="s">
        <v>3269</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3399</v>
      </c>
      <c r="D50" s="1065">
        <f t="shared" ref="D50:D58" si="7">SUMIF($J$49:$N$49,C50,J50:N50)</f>
        <v>0</v>
      </c>
      <c r="E50" s="744">
        <f>ROUND(SUM(D50:D58),4)</f>
        <v>0</v>
      </c>
      <c r="F50" s="1814">
        <f>IF(E2="商业",SUMIF(L1:L12,G2,N1:N12),"——")</f>
        <v>0.15</v>
      </c>
      <c r="G50" s="1063">
        <f>H50</f>
        <v>2.2499999999999999E-2</v>
      </c>
      <c r="H50" s="1066">
        <f t="shared" ref="H50:H58" si="8">IFERROR(ROUNDDOWN($F$50*I50/2,4),"——")</f>
        <v>2.2499999999999999E-2</v>
      </c>
      <c r="I50" s="3366">
        <v>0.3</v>
      </c>
      <c r="J50" s="1064">
        <f t="shared" ref="J50:J58" si="9">K50+$G50</f>
        <v>4.4999999999999998E-2</v>
      </c>
      <c r="K50" s="1064">
        <f t="shared" ref="K50:K58" si="10">$L50+$G50</f>
        <v>2.2499999999999999E-2</v>
      </c>
      <c r="L50" s="1064">
        <v>0</v>
      </c>
      <c r="M50" s="1064">
        <f t="shared" ref="M50:N58" si="11">L50-$G50</f>
        <v>-2.2499999999999999E-2</v>
      </c>
      <c r="N50" s="1064">
        <f t="shared" si="11"/>
        <v>-4.4999999999999998E-2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3399</v>
      </c>
      <c r="D51" s="1065">
        <f t="shared" si="7"/>
        <v>0</v>
      </c>
      <c r="E51" s="745"/>
      <c r="F51" s="1814"/>
      <c r="G51" s="1063">
        <f t="shared" ref="G51:G58" si="12">H51</f>
        <v>1.6500000000000001E-2</v>
      </c>
      <c r="H51" s="1066">
        <f t="shared" si="8"/>
        <v>1.6500000000000001E-2</v>
      </c>
      <c r="I51" s="3366">
        <v>0.22</v>
      </c>
      <c r="J51" s="1064">
        <f t="shared" si="9"/>
        <v>3.3000000000000002E-2</v>
      </c>
      <c r="K51" s="1064">
        <f t="shared" si="10"/>
        <v>1.6500000000000001E-2</v>
      </c>
      <c r="L51" s="1064">
        <v>0</v>
      </c>
      <c r="M51" s="1064">
        <f t="shared" si="11"/>
        <v>-1.6500000000000001E-2</v>
      </c>
      <c r="N51" s="1064">
        <f t="shared" si="11"/>
        <v>-3.3000000000000002E-2</v>
      </c>
      <c r="AA51" s="1120"/>
      <c r="AB51" s="1120"/>
      <c r="AC51" s="1120"/>
      <c r="AD51" s="1120"/>
      <c r="AE51" s="1120"/>
      <c r="AF51" s="1120"/>
      <c r="AG51" s="1120"/>
      <c r="AH51" s="1120"/>
      <c r="AI51" s="1120"/>
      <c r="AJ51" s="1120"/>
      <c r="AK51" s="1120"/>
    </row>
    <row r="52" spans="1:37" s="1119" customFormat="1" ht="36">
      <c r="A52" s="3368" t="s">
        <v>3271</v>
      </c>
      <c r="B52" s="2134">
        <f>估价对象房地状况!C19</f>
        <v>0</v>
      </c>
      <c r="C52" s="2044" t="s">
        <v>3399</v>
      </c>
      <c r="D52" s="1065">
        <f t="shared" si="7"/>
        <v>0</v>
      </c>
      <c r="E52" s="745"/>
      <c r="F52" s="1814"/>
      <c r="G52" s="1063">
        <f t="shared" si="12"/>
        <v>8.9999999999999993E-3</v>
      </c>
      <c r="H52" s="1066">
        <f t="shared" si="8"/>
        <v>8.9999999999999993E-3</v>
      </c>
      <c r="I52" s="3366">
        <v>0.12</v>
      </c>
      <c r="J52" s="1064">
        <f t="shared" si="9"/>
        <v>1.7999999999999999E-2</v>
      </c>
      <c r="K52" s="1064">
        <f t="shared" si="10"/>
        <v>8.9999999999999993E-3</v>
      </c>
      <c r="L52" s="1064">
        <v>0</v>
      </c>
      <c r="M52" s="1064">
        <f t="shared" si="11"/>
        <v>-8.9999999999999993E-3</v>
      </c>
      <c r="N52" s="1064">
        <f t="shared" si="11"/>
        <v>-1.7999999999999999E-2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3399</v>
      </c>
      <c r="D53" s="1065">
        <f t="shared" si="7"/>
        <v>0</v>
      </c>
      <c r="E53" s="745"/>
      <c r="F53" s="1814"/>
      <c r="G53" s="1063">
        <f t="shared" si="12"/>
        <v>3.7000000000000002E-3</v>
      </c>
      <c r="H53" s="1066">
        <f t="shared" si="8"/>
        <v>3.7000000000000002E-3</v>
      </c>
      <c r="I53" s="3366">
        <v>0.05</v>
      </c>
      <c r="J53" s="1064">
        <f t="shared" si="9"/>
        <v>7.4000000000000003E-3</v>
      </c>
      <c r="K53" s="1064">
        <f t="shared" si="10"/>
        <v>3.7000000000000002E-3</v>
      </c>
      <c r="L53" s="1064">
        <v>0</v>
      </c>
      <c r="M53" s="1064">
        <f t="shared" si="11"/>
        <v>-3.7000000000000002E-3</v>
      </c>
      <c r="N53" s="1064">
        <f t="shared" si="11"/>
        <v>-7.4000000000000003E-3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3399</v>
      </c>
      <c r="D54" s="1065">
        <f t="shared" si="7"/>
        <v>0</v>
      </c>
      <c r="E54" s="745"/>
      <c r="F54" s="1814"/>
      <c r="G54" s="1063">
        <f t="shared" si="12"/>
        <v>6.0000000000000001E-3</v>
      </c>
      <c r="H54" s="1066">
        <f t="shared" si="8"/>
        <v>6.0000000000000001E-3</v>
      </c>
      <c r="I54" s="3366">
        <v>0.08</v>
      </c>
      <c r="J54" s="1064">
        <f t="shared" si="9"/>
        <v>1.2E-2</v>
      </c>
      <c r="K54" s="1064">
        <f t="shared" si="10"/>
        <v>6.0000000000000001E-3</v>
      </c>
      <c r="L54" s="1064">
        <v>0</v>
      </c>
      <c r="M54" s="1064">
        <f t="shared" si="11"/>
        <v>-6.0000000000000001E-3</v>
      </c>
      <c r="N54" s="1064">
        <f t="shared" si="11"/>
        <v>-1.2E-2</v>
      </c>
      <c r="AA54" s="1120"/>
      <c r="AB54" s="1120"/>
      <c r="AC54" s="1120"/>
      <c r="AD54" s="1120"/>
      <c r="AE54" s="1120"/>
      <c r="AF54" s="1120"/>
      <c r="AG54" s="1120"/>
      <c r="AH54" s="1120"/>
      <c r="AI54" s="1120"/>
      <c r="AJ54" s="1120"/>
      <c r="AK54" s="1120"/>
    </row>
    <row r="55" spans="1:37" s="1119" customFormat="1" ht="24">
      <c r="A55" s="2130" t="s">
        <v>2057</v>
      </c>
      <c r="B55" s="2136" t="s">
        <v>2058</v>
      </c>
      <c r="C55" s="2044" t="s">
        <v>3399</v>
      </c>
      <c r="D55" s="1065">
        <f t="shared" si="7"/>
        <v>0</v>
      </c>
      <c r="E55" s="745"/>
      <c r="F55" s="1814"/>
      <c r="G55" s="1063">
        <f t="shared" si="12"/>
        <v>3.7000000000000002E-3</v>
      </c>
      <c r="H55" s="1066">
        <f t="shared" si="8"/>
        <v>3.7000000000000002E-3</v>
      </c>
      <c r="I55" s="3366">
        <v>0.05</v>
      </c>
      <c r="J55" s="1064">
        <f t="shared" si="9"/>
        <v>7.4000000000000003E-3</v>
      </c>
      <c r="K55" s="1064">
        <f t="shared" si="10"/>
        <v>3.7000000000000002E-3</v>
      </c>
      <c r="L55" s="1064">
        <v>0</v>
      </c>
      <c r="M55" s="1064">
        <f t="shared" si="11"/>
        <v>-3.7000000000000002E-3</v>
      </c>
      <c r="N55" s="1064">
        <f t="shared" si="11"/>
        <v>-7.4000000000000003E-3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3399</v>
      </c>
      <c r="D56" s="1065">
        <f t="shared" si="7"/>
        <v>0</v>
      </c>
      <c r="E56" s="745"/>
      <c r="F56" s="1814"/>
      <c r="G56" s="1063">
        <f t="shared" si="12"/>
        <v>3.7000000000000002E-3</v>
      </c>
      <c r="H56" s="1066">
        <f t="shared" si="8"/>
        <v>3.7000000000000002E-3</v>
      </c>
      <c r="I56" s="3366">
        <v>0.05</v>
      </c>
      <c r="J56" s="1064">
        <f t="shared" si="9"/>
        <v>7.4000000000000003E-3</v>
      </c>
      <c r="K56" s="1064">
        <f t="shared" si="10"/>
        <v>3.7000000000000002E-3</v>
      </c>
      <c r="L56" s="1064">
        <v>0</v>
      </c>
      <c r="M56" s="1064">
        <f t="shared" si="11"/>
        <v>-3.7000000000000002E-3</v>
      </c>
      <c r="N56" s="1064">
        <f t="shared" si="11"/>
        <v>-7.4000000000000003E-3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3399</v>
      </c>
      <c r="D57" s="1065">
        <f t="shared" si="7"/>
        <v>0</v>
      </c>
      <c r="E57" s="745"/>
      <c r="F57" s="1814"/>
      <c r="G57" s="1063">
        <f t="shared" si="12"/>
        <v>6.0000000000000001E-3</v>
      </c>
      <c r="H57" s="1066">
        <f t="shared" si="8"/>
        <v>6.0000000000000001E-3</v>
      </c>
      <c r="I57" s="3366">
        <v>0.08</v>
      </c>
      <c r="J57" s="1064">
        <f t="shared" si="9"/>
        <v>1.2E-2</v>
      </c>
      <c r="K57" s="1064">
        <f t="shared" si="10"/>
        <v>6.0000000000000001E-3</v>
      </c>
      <c r="L57" s="1064">
        <v>0</v>
      </c>
      <c r="M57" s="1064">
        <f t="shared" si="11"/>
        <v>-6.0000000000000001E-3</v>
      </c>
      <c r="N57" s="1064">
        <f t="shared" si="11"/>
        <v>-1.2E-2</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3399</v>
      </c>
      <c r="D58" s="1065">
        <f t="shared" si="7"/>
        <v>0</v>
      </c>
      <c r="E58" s="746"/>
      <c r="F58" s="1814"/>
      <c r="G58" s="1063">
        <f t="shared" si="12"/>
        <v>3.7000000000000002E-3</v>
      </c>
      <c r="H58" s="1066">
        <f t="shared" si="8"/>
        <v>3.7000000000000002E-3</v>
      </c>
      <c r="I58" s="3367">
        <v>0.05</v>
      </c>
      <c r="J58" s="1064">
        <f t="shared" si="9"/>
        <v>7.4000000000000003E-3</v>
      </c>
      <c r="K58" s="1064">
        <f t="shared" si="10"/>
        <v>3.7000000000000002E-3</v>
      </c>
      <c r="L58" s="1064">
        <v>0</v>
      </c>
      <c r="M58" s="1064">
        <f t="shared" si="11"/>
        <v>-3.7000000000000002E-3</v>
      </c>
      <c r="N58" s="1064">
        <f t="shared" si="11"/>
        <v>-7.4000000000000003E-3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6">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6">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8" t="s">
        <v>3271</v>
      </c>
      <c r="B63" s="2134">
        <f>估价对象房地状况!C19</f>
        <v>0</v>
      </c>
      <c r="C63" s="2044"/>
      <c r="D63" s="1065">
        <f t="shared" si="13"/>
        <v>0</v>
      </c>
      <c r="E63" s="745"/>
      <c r="F63" s="1814"/>
      <c r="G63" s="1063"/>
      <c r="H63" s="1066" t="str">
        <f t="shared" si="14"/>
        <v>——</v>
      </c>
      <c r="I63" s="3366">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6">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6">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6">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6">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6">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7">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6">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6">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8" t="s">
        <v>3271</v>
      </c>
      <c r="B74" s="2134">
        <f>估价对象房地状况!C19</f>
        <v>0</v>
      </c>
      <c r="C74" s="2044"/>
      <c r="D74" s="1065">
        <f t="shared" si="18"/>
        <v>0</v>
      </c>
      <c r="E74" s="747"/>
      <c r="F74" s="1814"/>
      <c r="G74" s="1063"/>
      <c r="H74" s="1066" t="str">
        <f t="shared" si="19"/>
        <v>——</v>
      </c>
      <c r="I74" s="3366">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6">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6">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6">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6">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6">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7">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6">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6">
        <v>0.3</v>
      </c>
      <c r="J84" s="1064">
        <f t="shared" si="25"/>
        <v>0</v>
      </c>
      <c r="K84" s="1064">
        <f t="shared" si="26"/>
        <v>0</v>
      </c>
      <c r="L84" s="1064">
        <v>0</v>
      </c>
      <c r="M84" s="1064">
        <f t="shared" si="27"/>
        <v>0</v>
      </c>
      <c r="N84" s="1064">
        <f t="shared" si="27"/>
        <v>0</v>
      </c>
      <c r="Z84" s="1998"/>
      <c r="AA84" s="2053"/>
      <c r="AG84" s="1121"/>
      <c r="AK84" s="2053"/>
    </row>
    <row r="85" spans="1:37" ht="36">
      <c r="A85" s="3368" t="s">
        <v>3272</v>
      </c>
      <c r="B85" s="2134">
        <f>估价对象房地状况!G17</f>
        <v>0</v>
      </c>
      <c r="C85" s="2044"/>
      <c r="D85" s="1065">
        <f t="shared" si="23"/>
        <v>0</v>
      </c>
      <c r="E85" s="747"/>
      <c r="F85" s="1814"/>
      <c r="G85" s="1063"/>
      <c r="H85" s="1066" t="str">
        <f t="shared" si="24"/>
        <v>——</v>
      </c>
      <c r="I85" s="3366">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6">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6">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6">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6">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7">
        <v>0.05</v>
      </c>
      <c r="J90" s="1064">
        <f t="shared" si="25"/>
        <v>0</v>
      </c>
      <c r="K90" s="1064">
        <f t="shared" si="26"/>
        <v>0</v>
      </c>
      <c r="L90" s="1064">
        <v>0</v>
      </c>
      <c r="M90" s="1064">
        <f t="shared" si="27"/>
        <v>0</v>
      </c>
      <c r="N90" s="1064">
        <f t="shared" si="27"/>
        <v>0</v>
      </c>
    </row>
    <row r="91" spans="1:37" ht="15">
      <c r="A91" s="3376" t="s">
        <v>2615</v>
      </c>
      <c r="B91" s="3377">
        <f>1+E93</f>
        <v>1</v>
      </c>
      <c r="C91" s="3370"/>
      <c r="D91" s="3371"/>
      <c r="E91" s="1814"/>
      <c r="F91" s="1814"/>
      <c r="G91" s="3372"/>
      <c r="H91" s="3373"/>
      <c r="I91" s="3374"/>
      <c r="J91" s="3375"/>
      <c r="K91" s="3375"/>
      <c r="L91" s="3375"/>
      <c r="M91" s="3375"/>
      <c r="N91" s="3375"/>
    </row>
    <row r="92" spans="1:37" ht="24.75">
      <c r="A92" s="3378" t="s">
        <v>3273</v>
      </c>
      <c r="B92" s="3365"/>
      <c r="C92" s="3365" t="s">
        <v>3282</v>
      </c>
      <c r="D92" s="3365" t="s">
        <v>3283</v>
      </c>
      <c r="E92" s="3347" t="s">
        <v>3284</v>
      </c>
      <c r="F92" s="3380" t="s">
        <v>3285</v>
      </c>
      <c r="G92" s="3365" t="s">
        <v>3286</v>
      </c>
      <c r="H92" s="3387" t="s">
        <v>3289</v>
      </c>
      <c r="I92" s="3365" t="s">
        <v>3290</v>
      </c>
      <c r="J92" s="3388" t="s">
        <v>3291</v>
      </c>
      <c r="K92" s="3388" t="s">
        <v>3292</v>
      </c>
      <c r="L92" s="3388" t="s">
        <v>3293</v>
      </c>
      <c r="M92" s="3388" t="s">
        <v>3294</v>
      </c>
      <c r="N92" s="3388" t="s">
        <v>3295</v>
      </c>
    </row>
    <row r="93" spans="1:37" ht="24">
      <c r="A93" s="3368" t="s">
        <v>3274</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3275</v>
      </c>
      <c r="B94" s="3369" t="str">
        <f>估价对象房地状况!C18</f>
        <v>估价对象周边道路状况、公共交通通达情况、停车便捷程度，综合评价交通便捷度较好</v>
      </c>
      <c r="C94" s="2044"/>
      <c r="D94" s="3365">
        <f t="shared" ref="D94:D101" si="31">SUMIF($J$60:$N$60,C94,J94:N94)</f>
        <v>0</v>
      </c>
      <c r="E94" s="3382"/>
      <c r="F94" s="1814"/>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3271</v>
      </c>
      <c r="B95" s="3369">
        <f>估价对象房地状况!C19</f>
        <v>0</v>
      </c>
      <c r="C95" s="2044"/>
      <c r="D95" s="3365">
        <f t="shared" si="31"/>
        <v>0</v>
      </c>
      <c r="E95" s="3382"/>
      <c r="F95" s="1814"/>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3276</v>
      </c>
      <c r="B96" s="3384" t="s">
        <v>3287</v>
      </c>
      <c r="C96" s="2044"/>
      <c r="D96" s="3365">
        <f t="shared" si="31"/>
        <v>0</v>
      </c>
      <c r="E96" s="3382"/>
      <c r="F96" s="1814"/>
      <c r="G96" s="3372"/>
      <c r="H96" s="3420" t="str">
        <f t="shared" si="32"/>
        <v>——</v>
      </c>
      <c r="I96" s="3366">
        <v>0.05</v>
      </c>
      <c r="J96" s="3344">
        <f t="shared" si="28"/>
        <v>0</v>
      </c>
      <c r="K96" s="3344">
        <f t="shared" si="29"/>
        <v>0</v>
      </c>
      <c r="L96" s="3344">
        <v>0</v>
      </c>
      <c r="M96" s="3344">
        <f t="shared" si="30"/>
        <v>0</v>
      </c>
      <c r="N96" s="3344">
        <f t="shared" si="30"/>
        <v>0</v>
      </c>
    </row>
    <row r="97" spans="1:14" ht="24">
      <c r="A97" s="3378" t="s">
        <v>3277</v>
      </c>
      <c r="B97" s="3369">
        <f>估价对象房地状况!C24</f>
        <v>0</v>
      </c>
      <c r="C97" s="2044"/>
      <c r="D97" s="3365">
        <f t="shared" si="31"/>
        <v>0</v>
      </c>
      <c r="E97" s="3382"/>
      <c r="F97" s="1814"/>
      <c r="G97" s="3372"/>
      <c r="H97" s="3420" t="str">
        <f t="shared" si="32"/>
        <v>——</v>
      </c>
      <c r="I97" s="3366">
        <v>0.05</v>
      </c>
      <c r="J97" s="3344">
        <f t="shared" si="28"/>
        <v>0</v>
      </c>
      <c r="K97" s="3344">
        <f t="shared" si="29"/>
        <v>0</v>
      </c>
      <c r="L97" s="3344">
        <v>0</v>
      </c>
      <c r="M97" s="3344">
        <f t="shared" si="30"/>
        <v>0</v>
      </c>
      <c r="N97" s="3344">
        <f t="shared" si="30"/>
        <v>0</v>
      </c>
    </row>
    <row r="98" spans="1:14" ht="24">
      <c r="A98" s="3378" t="s">
        <v>3278</v>
      </c>
      <c r="B98" s="3385" t="s">
        <v>3288</v>
      </c>
      <c r="C98" s="2044"/>
      <c r="D98" s="3365">
        <f t="shared" si="31"/>
        <v>0</v>
      </c>
      <c r="E98" s="3382"/>
      <c r="F98" s="1814"/>
      <c r="G98" s="3372"/>
      <c r="H98" s="3420" t="str">
        <f t="shared" si="32"/>
        <v>——</v>
      </c>
      <c r="I98" s="3366">
        <v>0.06</v>
      </c>
      <c r="J98" s="3344">
        <f t="shared" si="28"/>
        <v>0</v>
      </c>
      <c r="K98" s="3344">
        <f t="shared" si="29"/>
        <v>0</v>
      </c>
      <c r="L98" s="3344">
        <v>0</v>
      </c>
      <c r="M98" s="3344">
        <f t="shared" si="30"/>
        <v>0</v>
      </c>
      <c r="N98" s="3344">
        <f t="shared" si="30"/>
        <v>0</v>
      </c>
    </row>
    <row r="99" spans="1:14" ht="25.5">
      <c r="A99" s="3378" t="s">
        <v>3279</v>
      </c>
      <c r="B99" s="3369" t="str">
        <f>估价对象房地状况!C21</f>
        <v>估价对象所在区域公共配套设施齐备情况</v>
      </c>
      <c r="C99" s="2044"/>
      <c r="D99" s="3365">
        <f t="shared" si="31"/>
        <v>0</v>
      </c>
      <c r="E99" s="3382"/>
      <c r="F99" s="1814"/>
      <c r="G99" s="3372"/>
      <c r="H99" s="3420" t="str">
        <f t="shared" si="32"/>
        <v>——</v>
      </c>
      <c r="I99" s="3366">
        <v>0.06</v>
      </c>
      <c r="J99" s="3344">
        <f t="shared" si="28"/>
        <v>0</v>
      </c>
      <c r="K99" s="3344">
        <f t="shared" si="29"/>
        <v>0</v>
      </c>
      <c r="L99" s="3344">
        <v>0</v>
      </c>
      <c r="M99" s="3344">
        <f t="shared" si="30"/>
        <v>0</v>
      </c>
      <c r="N99" s="3344">
        <f t="shared" si="30"/>
        <v>0</v>
      </c>
    </row>
    <row r="100" spans="1:14" ht="25.5">
      <c r="A100" s="3378" t="s">
        <v>3280</v>
      </c>
      <c r="B100" s="3369" t="str">
        <f>估价对象房地状况!C22</f>
        <v>估价对象所在区域基础设施水平</v>
      </c>
      <c r="C100" s="2044"/>
      <c r="D100" s="3365">
        <f t="shared" si="31"/>
        <v>0</v>
      </c>
      <c r="E100" s="3382"/>
      <c r="F100" s="1814"/>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3281</v>
      </c>
      <c r="B101" s="3386" t="str">
        <f>估价对象房地状况!C20</f>
        <v>区域自然环境：；人文环境；综合评价环境状况一般</v>
      </c>
      <c r="C101" s="2044"/>
      <c r="D101" s="3365">
        <f t="shared" si="31"/>
        <v>0</v>
      </c>
      <c r="E101" s="3383"/>
      <c r="F101" s="1814"/>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672" t="s">
        <v>3296</v>
      </c>
      <c r="B103" s="3672"/>
      <c r="C103" s="3672"/>
      <c r="D103" s="3672"/>
      <c r="E103" s="3672"/>
      <c r="F103" s="3672"/>
      <c r="G103" s="3672"/>
      <c r="H103" s="3672"/>
      <c r="I103" s="3672"/>
      <c r="J103" s="3672"/>
      <c r="K103" s="3389"/>
      <c r="L103" s="3389"/>
      <c r="M103" s="3389"/>
      <c r="N103" s="3389"/>
    </row>
    <row r="104" spans="1:14">
      <c r="A104" s="3673" t="s">
        <v>3297</v>
      </c>
      <c r="B104" s="3673" t="s">
        <v>3298</v>
      </c>
      <c r="C104" s="3390" t="s">
        <v>3299</v>
      </c>
      <c r="D104" s="3391"/>
      <c r="E104" s="3391"/>
      <c r="F104" s="3391"/>
      <c r="G104" s="3391"/>
      <c r="H104" s="3391"/>
      <c r="I104" s="3391"/>
      <c r="J104" s="3392"/>
      <c r="K104" s="3393"/>
      <c r="L104" s="3393"/>
      <c r="M104" s="3393"/>
      <c r="N104" s="3393"/>
    </row>
    <row r="105" spans="1:14">
      <c r="A105" s="3673"/>
      <c r="B105" s="3673"/>
      <c r="C105" s="3394" t="s">
        <v>3300</v>
      </c>
      <c r="D105" s="3394" t="s">
        <v>3301</v>
      </c>
      <c r="E105" s="3394" t="s">
        <v>3302</v>
      </c>
      <c r="F105" s="3394" t="s">
        <v>3303</v>
      </c>
      <c r="G105" s="3394" t="s">
        <v>3304</v>
      </c>
      <c r="H105" s="3394" t="s">
        <v>3305</v>
      </c>
      <c r="I105" s="3394" t="s">
        <v>3306</v>
      </c>
      <c r="J105" s="3394" t="s">
        <v>3307</v>
      </c>
      <c r="K105" s="3394" t="s">
        <v>3308</v>
      </c>
      <c r="L105" s="3394" t="s">
        <v>3309</v>
      </c>
      <c r="M105" s="3394" t="s">
        <v>3310</v>
      </c>
      <c r="N105" s="3394" t="s">
        <v>3311</v>
      </c>
    </row>
    <row r="106" spans="1:14">
      <c r="A106" s="3659" t="s">
        <v>3312</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660"/>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660"/>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660"/>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660"/>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660"/>
      <c r="B111" s="3394" t="s">
        <v>3270</v>
      </c>
      <c r="C111" s="3395">
        <f>$I$3</f>
        <v>0</v>
      </c>
      <c r="D111" s="3395">
        <f t="shared" ref="D111:M111" si="33">$I$3</f>
        <v>0</v>
      </c>
      <c r="E111" s="3395">
        <f t="shared" si="33"/>
        <v>0</v>
      </c>
      <c r="F111" s="3395">
        <f t="shared" si="33"/>
        <v>0</v>
      </c>
      <c r="G111" s="3395">
        <f t="shared" si="33"/>
        <v>0</v>
      </c>
      <c r="H111" s="3395">
        <f t="shared" si="33"/>
        <v>0</v>
      </c>
      <c r="I111" s="3395">
        <f t="shared" si="33"/>
        <v>0</v>
      </c>
      <c r="J111" s="3395">
        <f t="shared" si="33"/>
        <v>0</v>
      </c>
      <c r="K111" s="3395">
        <f t="shared" si="33"/>
        <v>0</v>
      </c>
      <c r="L111" s="3395">
        <f t="shared" si="33"/>
        <v>0</v>
      </c>
      <c r="M111" s="3395">
        <f t="shared" si="33"/>
        <v>0</v>
      </c>
      <c r="N111" s="3395">
        <f>$I$3</f>
        <v>0</v>
      </c>
    </row>
    <row r="112" spans="1:14">
      <c r="A112" s="3661"/>
      <c r="B112" s="3394">
        <v>6</v>
      </c>
      <c r="C112" s="3387">
        <f>(-0.5556*(C111^2)-0.2719*C111+8944)*(10^(-4))</f>
        <v>0.89440000000000008</v>
      </c>
      <c r="D112" s="3387">
        <f>(-0.5556*(D111^2)-0.2719*D111+8944)*(10^(-4))</f>
        <v>0.89440000000000008</v>
      </c>
      <c r="E112" s="3387">
        <f>(-0.7912*(E111^2)-11.3794*E111+8482)*(10^(-4))</f>
        <v>0.84820000000000007</v>
      </c>
      <c r="F112" s="3387">
        <f t="shared" ref="F112:I112" si="34">(-0.7912*(F111^2)-11.3794*F111+8482)*(10^(-4))</f>
        <v>0.84820000000000007</v>
      </c>
      <c r="G112" s="3387">
        <f t="shared" si="34"/>
        <v>0.84820000000000007</v>
      </c>
      <c r="H112" s="3387">
        <f t="shared" si="34"/>
        <v>0.84820000000000007</v>
      </c>
      <c r="I112" s="3387">
        <f t="shared" si="34"/>
        <v>0.84820000000000007</v>
      </c>
      <c r="J112" s="3387">
        <f>(-0.989*(J111^2)-63.78*J111+7771)*(10^(-4))</f>
        <v>0.77710000000000001</v>
      </c>
      <c r="K112" s="3387">
        <f t="shared" ref="K112:N112" si="35">(-0.989*(K111^2)-63.78*K111+7771)*(10^(-4))</f>
        <v>0.77710000000000001</v>
      </c>
      <c r="L112" s="3387">
        <f t="shared" si="35"/>
        <v>0.77710000000000001</v>
      </c>
      <c r="M112" s="3387">
        <f t="shared" si="35"/>
        <v>0.77710000000000001</v>
      </c>
      <c r="N112" s="3387">
        <f t="shared" si="35"/>
        <v>0.77710000000000001</v>
      </c>
    </row>
    <row r="113" spans="1:14">
      <c r="A113" s="3662" t="s">
        <v>3313</v>
      </c>
      <c r="B113" s="3662"/>
      <c r="C113" s="3662"/>
      <c r="D113" s="3662"/>
      <c r="E113" s="3662"/>
      <c r="F113" s="3662"/>
      <c r="G113" s="3662"/>
      <c r="H113" s="3662"/>
      <c r="I113" s="3662"/>
      <c r="J113" s="3662"/>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3314</v>
      </c>
      <c r="B116" s="3415">
        <f>G3</f>
        <v>2.5</v>
      </c>
      <c r="C116" s="3399" t="s">
        <v>3315</v>
      </c>
      <c r="D116" s="3400">
        <f>SUMPRODUCT((A118:A122=F116)*(B117:M117=H116)*B118:M122)</f>
        <v>0.80359999999999998</v>
      </c>
      <c r="E116" s="2000" t="s">
        <v>3316</v>
      </c>
      <c r="F116" s="3401" t="str">
        <f>E2</f>
        <v>商业</v>
      </c>
      <c r="G116" s="2000" t="s">
        <v>3317</v>
      </c>
      <c r="H116" s="3401" t="str">
        <f>G2</f>
        <v>九级</v>
      </c>
      <c r="I116" s="2000"/>
      <c r="J116" s="3402"/>
      <c r="K116" s="3402"/>
      <c r="L116" s="3402"/>
      <c r="M116" s="3402"/>
      <c r="N116" s="3397"/>
    </row>
    <row r="117" spans="1:14">
      <c r="A117" s="3403"/>
      <c r="B117" s="3404" t="s">
        <v>3318</v>
      </c>
      <c r="C117" s="3404" t="s">
        <v>3319</v>
      </c>
      <c r="D117" s="3404" t="s">
        <v>3320</v>
      </c>
      <c r="E117" s="3405" t="s">
        <v>3321</v>
      </c>
      <c r="F117" s="3405" t="s">
        <v>3322</v>
      </c>
      <c r="G117" s="3405" t="s">
        <v>3323</v>
      </c>
      <c r="H117" s="3406" t="s">
        <v>3324</v>
      </c>
      <c r="I117" s="3406" t="s">
        <v>3325</v>
      </c>
      <c r="J117" s="3407" t="s">
        <v>3326</v>
      </c>
      <c r="K117" s="3407" t="s">
        <v>3327</v>
      </c>
      <c r="L117" s="3407" t="s">
        <v>3328</v>
      </c>
      <c r="M117" s="3408" t="s">
        <v>3329</v>
      </c>
      <c r="N117" s="3397"/>
    </row>
    <row r="118" spans="1:14">
      <c r="A118" s="3409" t="s">
        <v>3330</v>
      </c>
      <c r="B118" s="3387">
        <f>ROUND(0.9968-0.011*B116,4)</f>
        <v>0.96930000000000005</v>
      </c>
      <c r="C118" s="3387">
        <f>B118</f>
        <v>0.96930000000000005</v>
      </c>
      <c r="D118" s="3387">
        <f>ROUND(0.949-0.014*B116,4)</f>
        <v>0.91400000000000003</v>
      </c>
      <c r="E118" s="3387">
        <f>D118</f>
        <v>0.91400000000000003</v>
      </c>
      <c r="F118" s="3387">
        <f>E118</f>
        <v>0.91400000000000003</v>
      </c>
      <c r="G118" s="3387">
        <f>F118</f>
        <v>0.91400000000000003</v>
      </c>
      <c r="H118" s="3387">
        <f>G118</f>
        <v>0.91400000000000003</v>
      </c>
      <c r="I118" s="3387">
        <f>ROUND(0.8486-0.018*B116,4)</f>
        <v>0.80359999999999998</v>
      </c>
      <c r="J118" s="3387">
        <f t="shared" ref="J118:M122" si="36">I118</f>
        <v>0.80359999999999998</v>
      </c>
      <c r="K118" s="3387">
        <f t="shared" si="36"/>
        <v>0.80359999999999998</v>
      </c>
      <c r="L118" s="3387">
        <f t="shared" si="36"/>
        <v>0.80359999999999998</v>
      </c>
      <c r="M118" s="3410">
        <f t="shared" si="36"/>
        <v>0.80359999999999998</v>
      </c>
      <c r="N118" s="3397"/>
    </row>
    <row r="119" spans="1:14">
      <c r="A119" s="3409" t="s">
        <v>3331</v>
      </c>
      <c r="B119" s="3387">
        <f>ROUND(0.993-0.0112*B116,4)</f>
        <v>0.96499999999999997</v>
      </c>
      <c r="C119" s="3387">
        <f>B119</f>
        <v>0.96499999999999997</v>
      </c>
      <c r="D119" s="3387">
        <f>ROUND(0.9415-0.0142*B116,4)</f>
        <v>0.90600000000000003</v>
      </c>
      <c r="E119" s="3387">
        <f t="shared" ref="E119:H120" si="37">D119</f>
        <v>0.90600000000000003</v>
      </c>
      <c r="F119" s="3387">
        <f t="shared" si="37"/>
        <v>0.90600000000000003</v>
      </c>
      <c r="G119" s="3387">
        <f t="shared" si="37"/>
        <v>0.90600000000000003</v>
      </c>
      <c r="H119" s="3387">
        <f t="shared" si="37"/>
        <v>0.90600000000000003</v>
      </c>
      <c r="I119" s="3387">
        <f>ROUND(0.838-0.0182*B116,4)</f>
        <v>0.79249999999999998</v>
      </c>
      <c r="J119" s="3387">
        <f t="shared" si="36"/>
        <v>0.79249999999999998</v>
      </c>
      <c r="K119" s="3387">
        <f t="shared" si="36"/>
        <v>0.79249999999999998</v>
      </c>
      <c r="L119" s="3387">
        <f t="shared" si="36"/>
        <v>0.79249999999999998</v>
      </c>
      <c r="M119" s="3410">
        <f t="shared" si="36"/>
        <v>0.79249999999999998</v>
      </c>
      <c r="N119" s="3397"/>
    </row>
    <row r="120" spans="1:14">
      <c r="A120" s="3409" t="s">
        <v>3332</v>
      </c>
      <c r="B120" s="3387">
        <f>ROUND(0.9448-0.0115*B116,4)</f>
        <v>0.91610000000000003</v>
      </c>
      <c r="C120" s="3387">
        <f>B120</f>
        <v>0.91610000000000003</v>
      </c>
      <c r="D120" s="3387">
        <f>ROUND(0.937-0.0145*B116,4)</f>
        <v>0.90080000000000005</v>
      </c>
      <c r="E120" s="3387">
        <f t="shared" si="37"/>
        <v>0.90080000000000005</v>
      </c>
      <c r="F120" s="3387">
        <f t="shared" si="37"/>
        <v>0.90080000000000005</v>
      </c>
      <c r="G120" s="3387">
        <f t="shared" si="37"/>
        <v>0.90080000000000005</v>
      </c>
      <c r="H120" s="3387">
        <f t="shared" si="37"/>
        <v>0.90080000000000005</v>
      </c>
      <c r="I120" s="3387">
        <f>ROUND(0.7965-0.0185*B116,4)</f>
        <v>0.75029999999999997</v>
      </c>
      <c r="J120" s="3387">
        <f t="shared" si="36"/>
        <v>0.75029999999999997</v>
      </c>
      <c r="K120" s="3387">
        <f t="shared" si="36"/>
        <v>0.75029999999999997</v>
      </c>
      <c r="L120" s="3387">
        <f t="shared" si="36"/>
        <v>0.75029999999999997</v>
      </c>
      <c r="M120" s="3410">
        <f t="shared" si="36"/>
        <v>0.75029999999999997</v>
      </c>
      <c r="N120" s="3397"/>
    </row>
    <row r="121" spans="1:14" ht="13.5" thickBot="1">
      <c r="A121" s="3411" t="s">
        <v>3333</v>
      </c>
      <c r="B121" s="3412">
        <f>ROUND(0.7836-0.012*B116,4)</f>
        <v>0.75360000000000005</v>
      </c>
      <c r="C121" s="3412">
        <f>B121</f>
        <v>0.75360000000000005</v>
      </c>
      <c r="D121" s="3412">
        <f>ROUND(0.753-0.015*B116,4)</f>
        <v>0.71550000000000002</v>
      </c>
      <c r="E121" s="3412">
        <f>D121</f>
        <v>0.71550000000000002</v>
      </c>
      <c r="F121" s="3412">
        <f>E121</f>
        <v>0.71550000000000002</v>
      </c>
      <c r="G121" s="3412">
        <f>ROUND(0.6612-0.018*B116,4)</f>
        <v>0.61619999999999997</v>
      </c>
      <c r="H121" s="3412">
        <f>G121</f>
        <v>0.61619999999999997</v>
      </c>
      <c r="I121" s="3412">
        <f>ROUND(0.5905-0.019*B116,4)</f>
        <v>0.54300000000000004</v>
      </c>
      <c r="J121" s="3412">
        <f t="shared" si="36"/>
        <v>0.54300000000000004</v>
      </c>
      <c r="K121" s="3412">
        <f t="shared" si="36"/>
        <v>0.54300000000000004</v>
      </c>
      <c r="L121" s="3412">
        <f t="shared" si="36"/>
        <v>0.54300000000000004</v>
      </c>
      <c r="M121" s="3413">
        <f t="shared" si="36"/>
        <v>0.54300000000000004</v>
      </c>
      <c r="N121" s="3397"/>
    </row>
    <row r="122" spans="1:14">
      <c r="A122" s="3414" t="s">
        <v>2615</v>
      </c>
      <c r="B122" s="3387">
        <f>ROUND(0.9404-0.0106*B116,4)</f>
        <v>0.91390000000000005</v>
      </c>
      <c r="C122" s="3387">
        <f>B122</f>
        <v>0.91390000000000005</v>
      </c>
      <c r="D122" s="3387">
        <f>ROUND(0.8955-0.0135*B116,4)</f>
        <v>0.86180000000000001</v>
      </c>
      <c r="E122" s="3387">
        <f t="shared" ref="E122:H122" si="38">D122</f>
        <v>0.86180000000000001</v>
      </c>
      <c r="F122" s="3387">
        <f t="shared" si="38"/>
        <v>0.86180000000000001</v>
      </c>
      <c r="G122" s="3387">
        <f t="shared" si="38"/>
        <v>0.86180000000000001</v>
      </c>
      <c r="H122" s="3387">
        <f t="shared" si="38"/>
        <v>0.86180000000000001</v>
      </c>
      <c r="I122" s="3387">
        <f>ROUND(0.7632-0.0166*B116,4)</f>
        <v>0.72170000000000001</v>
      </c>
      <c r="J122" s="3387">
        <f t="shared" si="36"/>
        <v>0.72170000000000001</v>
      </c>
      <c r="K122" s="3387">
        <f t="shared" si="36"/>
        <v>0.72170000000000001</v>
      </c>
      <c r="L122" s="3387">
        <f t="shared" si="36"/>
        <v>0.72170000000000001</v>
      </c>
      <c r="M122" s="3410">
        <f t="shared" si="36"/>
        <v>0.72170000000000001</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86" priority="6" stopIfTrue="1" operator="notEqual">
      <formula>"——"</formula>
    </cfRule>
  </conditionalFormatting>
  <conditionalFormatting sqref="F61">
    <cfRule type="cellIs" dxfId="185" priority="5" stopIfTrue="1" operator="notEqual">
      <formula>"——"</formula>
    </cfRule>
  </conditionalFormatting>
  <conditionalFormatting sqref="F72">
    <cfRule type="cellIs" dxfId="184" priority="4" stopIfTrue="1" operator="notEqual">
      <formula>"——"</formula>
    </cfRule>
  </conditionalFormatting>
  <conditionalFormatting sqref="F83">
    <cfRule type="cellIs" dxfId="183" priority="3" stopIfTrue="1" operator="notEqual">
      <formula>"——"</formula>
    </cfRule>
  </conditionalFormatting>
  <conditionalFormatting sqref="H50:H58 H61:H69 H72:H80 H83:H91">
    <cfRule type="cellIs" dxfId="182" priority="2" operator="notEqual">
      <formula>"——"</formula>
    </cfRule>
  </conditionalFormatting>
  <conditionalFormatting sqref="H93:H101">
    <cfRule type="cellIs" dxfId="18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R49" sqref="R49:W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3451</v>
      </c>
      <c r="E1" s="3425" t="s">
        <v>3406</v>
      </c>
      <c r="F1" s="1879" t="s">
        <v>3407</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0</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29405</v>
      </c>
      <c r="C3" s="354" t="s">
        <v>1768</v>
      </c>
      <c r="D3" s="353">
        <f>IF(D1="",'数据-汇总表'!E3,SUMIF('数据-汇总表'!$C19:$C33,D1,'数据-汇总表'!$E19:$E33))</f>
        <v>0</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697" t="s">
        <v>1770</v>
      </c>
      <c r="D4" s="3698"/>
      <c r="E4" s="3699" t="s">
        <v>1771</v>
      </c>
      <c r="F4" s="3700"/>
      <c r="G4" s="3697" t="s">
        <v>1772</v>
      </c>
      <c r="H4" s="3698"/>
      <c r="I4" s="3697" t="s">
        <v>1773</v>
      </c>
      <c r="J4" s="3698"/>
      <c r="K4" s="559" t="s">
        <v>1774</v>
      </c>
      <c r="L4" s="2714"/>
      <c r="M4" s="2715"/>
      <c r="N4" s="2715"/>
      <c r="O4" s="2715"/>
      <c r="P4" s="3701" t="s">
        <v>1775</v>
      </c>
      <c r="Q4" s="3702"/>
      <c r="R4" s="3707" t="s">
        <v>1771</v>
      </c>
      <c r="S4" s="3708"/>
      <c r="T4" s="3707" t="s">
        <v>1772</v>
      </c>
      <c r="U4" s="3708"/>
      <c r="V4" s="3692" t="s">
        <v>1773</v>
      </c>
      <c r="W4" s="3692"/>
      <c r="X4" s="1355"/>
      <c r="Y4" s="3707" t="s">
        <v>1775</v>
      </c>
      <c r="Z4" s="3708"/>
      <c r="AA4" s="3694" t="s">
        <v>1771</v>
      </c>
      <c r="AB4" s="3692" t="s">
        <v>1772</v>
      </c>
      <c r="AC4" s="3694" t="s">
        <v>1773</v>
      </c>
    </row>
    <row r="5" spans="1:29" ht="15">
      <c r="A5" s="358"/>
      <c r="B5" s="359"/>
      <c r="C5" s="3720" t="s">
        <v>1673</v>
      </c>
      <c r="D5" s="3716"/>
      <c r="E5" s="3723" t="s">
        <v>3464</v>
      </c>
      <c r="F5" s="3724"/>
      <c r="G5" s="3715" t="s">
        <v>3465</v>
      </c>
      <c r="H5" s="3716"/>
      <c r="I5" s="3715" t="s">
        <v>3444</v>
      </c>
      <c r="J5" s="3716"/>
      <c r="K5" s="559"/>
      <c r="L5" s="2714"/>
      <c r="M5" s="2715"/>
      <c r="N5" s="2715"/>
      <c r="O5" s="2715"/>
      <c r="P5" s="3703"/>
      <c r="Q5" s="3704"/>
      <c r="R5" s="3709"/>
      <c r="S5" s="3710"/>
      <c r="T5" s="3709"/>
      <c r="U5" s="3710"/>
      <c r="V5" s="3692"/>
      <c r="W5" s="3692"/>
      <c r="X5" s="1355"/>
      <c r="Y5" s="3709"/>
      <c r="Z5" s="3710"/>
      <c r="AA5" s="3695"/>
      <c r="AB5" s="3692"/>
      <c r="AC5" s="3695"/>
    </row>
    <row r="6" spans="1:29" ht="15.75" thickBot="1">
      <c r="A6" s="360"/>
      <c r="B6" s="361"/>
      <c r="C6" s="3713" t="s">
        <v>1677</v>
      </c>
      <c r="D6" s="3714"/>
      <c r="E6" s="3721" t="s">
        <v>1677</v>
      </c>
      <c r="F6" s="3722"/>
      <c r="G6" s="3713" t="s">
        <v>1677</v>
      </c>
      <c r="H6" s="3714"/>
      <c r="I6" s="3713" t="s">
        <v>1677</v>
      </c>
      <c r="J6" s="3714"/>
      <c r="K6" s="559" t="s">
        <v>1678</v>
      </c>
      <c r="L6" s="2714"/>
      <c r="M6" s="2715"/>
      <c r="N6" s="2715"/>
      <c r="O6" s="2715"/>
      <c r="P6" s="3705"/>
      <c r="Q6" s="3706"/>
      <c r="R6" s="3709"/>
      <c r="S6" s="3710"/>
      <c r="T6" s="3711"/>
      <c r="U6" s="3712"/>
      <c r="V6" s="3692"/>
      <c r="W6" s="3692"/>
      <c r="X6" s="1355"/>
      <c r="Y6" s="3711"/>
      <c r="Z6" s="3712"/>
      <c r="AA6" s="3696"/>
      <c r="AB6" s="3692"/>
      <c r="AC6" s="3696"/>
    </row>
    <row r="7" spans="1:29" s="108" customFormat="1" ht="15.75" thickBot="1">
      <c r="A7" s="362" t="s">
        <v>1679</v>
      </c>
      <c r="B7" s="363"/>
      <c r="C7" s="364">
        <f>'数据-取费表'!B2</f>
        <v>45279</v>
      </c>
      <c r="D7" s="365">
        <v>100</v>
      </c>
      <c r="E7" s="366">
        <f>C7</f>
        <v>45279</v>
      </c>
      <c r="F7" s="367">
        <f>SUMIF(58:58,YEAR(E7)&amp;"-"&amp;MONTH(E7),59:59)</f>
        <v>100</v>
      </c>
      <c r="G7" s="366">
        <f>C7</f>
        <v>45279</v>
      </c>
      <c r="H7" s="365">
        <f>SUMIF(58:58,YEAR(G7)&amp;"-"&amp;MONTH(G7),59:59)</f>
        <v>100</v>
      </c>
      <c r="I7" s="366">
        <f>C7</f>
        <v>45279</v>
      </c>
      <c r="J7" s="365">
        <f>SUMIF(58:58,YEAR(I7)&amp;"-"&amp;MONTH(I7),59:59)</f>
        <v>100</v>
      </c>
      <c r="K7" s="560"/>
      <c r="L7" s="2716"/>
      <c r="M7" s="2717"/>
      <c r="N7" s="2717"/>
      <c r="O7" s="2717"/>
      <c r="P7" s="3717" t="s">
        <v>1680</v>
      </c>
      <c r="Q7" s="3719"/>
      <c r="R7" s="701" t="s">
        <v>14</v>
      </c>
      <c r="S7" s="702">
        <f t="shared" ref="S7:S15" si="0">F7</f>
        <v>100</v>
      </c>
      <c r="T7" s="701" t="s">
        <v>14</v>
      </c>
      <c r="U7" s="702">
        <f t="shared" ref="U7:U15" si="1">H7</f>
        <v>100</v>
      </c>
      <c r="V7" s="701" t="s">
        <v>14</v>
      </c>
      <c r="W7" s="702">
        <f t="shared" ref="W7:W15" si="2">J7</f>
        <v>100</v>
      </c>
      <c r="X7" s="703"/>
      <c r="Y7" s="3717" t="s">
        <v>1680</v>
      </c>
      <c r="Z7" s="3718"/>
      <c r="AA7" s="704">
        <f>D7/F7</f>
        <v>1</v>
      </c>
      <c r="AB7" s="704">
        <f>D7/H7</f>
        <v>1</v>
      </c>
      <c r="AC7" s="704">
        <f>D7/J7</f>
        <v>1</v>
      </c>
    </row>
    <row r="8" spans="1:29" s="108" customFormat="1" ht="15.75" thickBot="1">
      <c r="A8" s="362" t="s">
        <v>1681</v>
      </c>
      <c r="B8" s="363"/>
      <c r="C8" s="368" t="s">
        <v>3408</v>
      </c>
      <c r="D8" s="365">
        <v>100</v>
      </c>
      <c r="E8" s="368" t="s">
        <v>3409</v>
      </c>
      <c r="F8" s="367">
        <f>SUMIF(61:61,E8,62:62)-SUMIF(61:61,C8,62:62)+100</f>
        <v>102</v>
      </c>
      <c r="G8" s="368" t="s">
        <v>3409</v>
      </c>
      <c r="H8" s="365">
        <f>SUMIF(61:61,G8,62:62)-SUMIF(61:61,C8,62:62)+100</f>
        <v>102</v>
      </c>
      <c r="I8" s="368" t="s">
        <v>3409</v>
      </c>
      <c r="J8" s="365">
        <f>SUMIF(61:61,I8,62:62)-SUMIF(61:61,C8,62:62)+100</f>
        <v>102</v>
      </c>
      <c r="K8" s="560"/>
      <c r="L8" s="2716"/>
      <c r="M8" s="2717"/>
      <c r="N8" s="2717"/>
      <c r="O8" s="2717"/>
      <c r="P8" s="3717" t="s">
        <v>1683</v>
      </c>
      <c r="Q8" s="3718"/>
      <c r="R8" s="701" t="s">
        <v>14</v>
      </c>
      <c r="S8" s="702">
        <f t="shared" si="0"/>
        <v>102</v>
      </c>
      <c r="T8" s="701" t="s">
        <v>14</v>
      </c>
      <c r="U8" s="702">
        <f t="shared" si="1"/>
        <v>102</v>
      </c>
      <c r="V8" s="701" t="s">
        <v>14</v>
      </c>
      <c r="W8" s="702">
        <f t="shared" si="2"/>
        <v>102</v>
      </c>
      <c r="X8" s="703"/>
      <c r="Y8" s="3717" t="s">
        <v>1683</v>
      </c>
      <c r="Z8" s="3718"/>
      <c r="AA8" s="704">
        <f t="shared" ref="AA8:AA46" si="3">D8/F8</f>
        <v>0.98039215686274506</v>
      </c>
      <c r="AB8" s="704">
        <f t="shared" ref="AB8:AB46" si="4">D8/H8</f>
        <v>0.98039215686274506</v>
      </c>
      <c r="AC8" s="704">
        <f t="shared" ref="AC8:AC46" si="5">D8/J8</f>
        <v>0.98039215686274506</v>
      </c>
    </row>
    <row r="9" spans="1:29" s="108" customFormat="1">
      <c r="A9" s="369" t="s">
        <v>1684</v>
      </c>
      <c r="B9" s="63" t="s">
        <v>1685</v>
      </c>
      <c r="C9" s="3449" t="s">
        <v>3411</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693" t="s">
        <v>1686</v>
      </c>
      <c r="Q9" s="1343" t="str">
        <f t="shared" ref="Q9:Q15" si="6">B9</f>
        <v>用途</v>
      </c>
      <c r="R9" s="701" t="s">
        <v>14</v>
      </c>
      <c r="S9" s="702">
        <f t="shared" si="0"/>
        <v>100</v>
      </c>
      <c r="T9" s="701" t="s">
        <v>14</v>
      </c>
      <c r="U9" s="702">
        <f t="shared" si="1"/>
        <v>100</v>
      </c>
      <c r="V9" s="701" t="s">
        <v>14</v>
      </c>
      <c r="W9" s="702">
        <f t="shared" si="2"/>
        <v>100</v>
      </c>
      <c r="X9" s="703"/>
      <c r="Y9" s="3563" t="s">
        <v>1687</v>
      </c>
      <c r="Z9" s="52" t="str">
        <f t="shared" ref="Z9:Z15" si="7">Q9</f>
        <v>用途</v>
      </c>
      <c r="AA9" s="704">
        <f t="shared" si="3"/>
        <v>1</v>
      </c>
      <c r="AB9" s="704">
        <f t="shared" si="4"/>
        <v>1</v>
      </c>
      <c r="AC9" s="704">
        <f t="shared" si="5"/>
        <v>1</v>
      </c>
    </row>
    <row r="10" spans="1:29" s="378" customFormat="1" ht="27">
      <c r="A10" s="374"/>
      <c r="B10" s="375" t="s">
        <v>1688</v>
      </c>
      <c r="C10" s="3433" t="s">
        <v>3415</v>
      </c>
      <c r="D10" s="127">
        <v>100</v>
      </c>
      <c r="E10" s="3433" t="s">
        <v>3415</v>
      </c>
      <c r="F10" s="376">
        <f>SUMIF(65:65,E10,66:66)-SUMIF(65:65,C10,66:66)+100</f>
        <v>100</v>
      </c>
      <c r="G10" s="3433" t="s">
        <v>3415</v>
      </c>
      <c r="H10" s="127">
        <f>SUMIF(65:65,G10,66:66)-SUMIF(65:65,C10,66:66)+100</f>
        <v>100</v>
      </c>
      <c r="I10" s="3433" t="s">
        <v>3415</v>
      </c>
      <c r="J10" s="127">
        <f>SUMIF(65:65,I10,66:66)-SUMIF(65:65,C10,66:66)+100</f>
        <v>100</v>
      </c>
      <c r="K10" s="560"/>
      <c r="L10" s="2718"/>
      <c r="M10" s="2719"/>
      <c r="N10" s="2719"/>
      <c r="O10" s="2719"/>
      <c r="P10" s="3693"/>
      <c r="Q10" s="1343" t="str">
        <f t="shared" si="6"/>
        <v>土地使用年限（年）</v>
      </c>
      <c r="R10" s="701" t="s">
        <v>14</v>
      </c>
      <c r="S10" s="702">
        <f t="shared" si="0"/>
        <v>100</v>
      </c>
      <c r="T10" s="701" t="s">
        <v>14</v>
      </c>
      <c r="U10" s="702">
        <f t="shared" si="1"/>
        <v>100</v>
      </c>
      <c r="V10" s="701" t="s">
        <v>14</v>
      </c>
      <c r="W10" s="702">
        <f t="shared" si="2"/>
        <v>100</v>
      </c>
      <c r="X10" s="703"/>
      <c r="Y10" s="3563"/>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93"/>
      <c r="Q11" s="1343" t="str">
        <f t="shared" si="6"/>
        <v>容积率</v>
      </c>
      <c r="R11" s="701" t="s">
        <v>14</v>
      </c>
      <c r="S11" s="702">
        <f t="shared" si="0"/>
        <v>100</v>
      </c>
      <c r="T11" s="701" t="s">
        <v>14</v>
      </c>
      <c r="U11" s="702">
        <f t="shared" si="1"/>
        <v>100</v>
      </c>
      <c r="V11" s="701" t="s">
        <v>14</v>
      </c>
      <c r="W11" s="702">
        <f t="shared" si="2"/>
        <v>100</v>
      </c>
      <c r="X11" s="703"/>
      <c r="Y11" s="3563"/>
      <c r="Z11" s="52"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93"/>
      <c r="Q12" s="1343">
        <f t="shared" si="6"/>
        <v>111</v>
      </c>
      <c r="R12" s="701" t="s">
        <v>14</v>
      </c>
      <c r="S12" s="702">
        <f t="shared" si="0"/>
        <v>100</v>
      </c>
      <c r="T12" s="701" t="s">
        <v>14</v>
      </c>
      <c r="U12" s="702">
        <f t="shared" si="1"/>
        <v>100</v>
      </c>
      <c r="V12" s="701" t="s">
        <v>14</v>
      </c>
      <c r="W12" s="702">
        <f t="shared" si="2"/>
        <v>100</v>
      </c>
      <c r="X12" s="703"/>
      <c r="Y12" s="356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93"/>
      <c r="Q13" s="1343">
        <f t="shared" si="6"/>
        <v>111</v>
      </c>
      <c r="R13" s="701" t="s">
        <v>14</v>
      </c>
      <c r="S13" s="702">
        <f t="shared" si="0"/>
        <v>100</v>
      </c>
      <c r="T13" s="701" t="s">
        <v>14</v>
      </c>
      <c r="U13" s="702">
        <f t="shared" si="1"/>
        <v>100</v>
      </c>
      <c r="V13" s="701" t="s">
        <v>14</v>
      </c>
      <c r="W13" s="702">
        <f t="shared" si="2"/>
        <v>100</v>
      </c>
      <c r="X13" s="703"/>
      <c r="Y13" s="3563"/>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93"/>
      <c r="Q14" s="1343">
        <f t="shared" si="6"/>
        <v>111</v>
      </c>
      <c r="R14" s="701" t="s">
        <v>14</v>
      </c>
      <c r="S14" s="702">
        <f t="shared" si="0"/>
        <v>100</v>
      </c>
      <c r="T14" s="701" t="s">
        <v>14</v>
      </c>
      <c r="U14" s="702">
        <f t="shared" si="1"/>
        <v>100</v>
      </c>
      <c r="V14" s="701" t="s">
        <v>14</v>
      </c>
      <c r="W14" s="702">
        <f t="shared" si="2"/>
        <v>100</v>
      </c>
      <c r="X14" s="703"/>
      <c r="Y14" s="3563"/>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97</v>
      </c>
      <c r="K15" s="563">
        <v>3</v>
      </c>
      <c r="L15" s="2721"/>
      <c r="M15" s="2715"/>
      <c r="N15" s="2715"/>
      <c r="O15" s="2715"/>
      <c r="P15" s="3683" t="s">
        <v>1691</v>
      </c>
      <c r="Q15" s="1352" t="str">
        <f t="shared" si="6"/>
        <v>商业繁华度</v>
      </c>
      <c r="R15" s="705" t="s">
        <v>14</v>
      </c>
      <c r="S15" s="706">
        <f t="shared" si="0"/>
        <v>100</v>
      </c>
      <c r="T15" s="705" t="s">
        <v>14</v>
      </c>
      <c r="U15" s="706">
        <f t="shared" si="1"/>
        <v>100</v>
      </c>
      <c r="V15" s="705" t="s">
        <v>14</v>
      </c>
      <c r="W15" s="706">
        <f t="shared" si="2"/>
        <v>97</v>
      </c>
      <c r="X15" s="1355"/>
      <c r="Y15" s="3685" t="s">
        <v>1691</v>
      </c>
      <c r="Z15" s="1356" t="str">
        <f t="shared" si="7"/>
        <v>商业繁华度</v>
      </c>
      <c r="AA15" s="1353">
        <f t="shared" si="3"/>
        <v>1</v>
      </c>
      <c r="AB15" s="1353">
        <f t="shared" si="4"/>
        <v>1</v>
      </c>
      <c r="AC15" s="1353">
        <f t="shared" si="5"/>
        <v>1.0309278350515463</v>
      </c>
    </row>
    <row r="16" spans="1:29" ht="15">
      <c r="A16" s="379"/>
      <c r="B16" s="397"/>
      <c r="C16" s="398" t="s">
        <v>3398</v>
      </c>
      <c r="D16" s="399"/>
      <c r="E16" s="398" t="s">
        <v>3398</v>
      </c>
      <c r="F16" s="400"/>
      <c r="G16" s="398" t="s">
        <v>3398</v>
      </c>
      <c r="H16" s="401"/>
      <c r="I16" s="398" t="s">
        <v>3399</v>
      </c>
      <c r="J16" s="399"/>
      <c r="K16" s="564"/>
      <c r="L16" s="2721"/>
      <c r="M16" s="2715"/>
      <c r="N16" s="2715"/>
      <c r="O16" s="2715"/>
      <c r="P16" s="3684"/>
      <c r="Q16" s="1352"/>
      <c r="R16" s="705"/>
      <c r="S16" s="706"/>
      <c r="T16" s="705"/>
      <c r="U16" s="706"/>
      <c r="V16" s="705"/>
      <c r="W16" s="706"/>
      <c r="X16" s="1355"/>
      <c r="Y16" s="3686"/>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1"/>
      <c r="M17" s="2715"/>
      <c r="N17" s="2715"/>
      <c r="O17" s="2715"/>
      <c r="P17" s="3684"/>
      <c r="Q17" s="1352" t="str">
        <f>B17</f>
        <v>交通便捷度</v>
      </c>
      <c r="R17" s="705" t="s">
        <v>14</v>
      </c>
      <c r="S17" s="706">
        <f>F17</f>
        <v>100</v>
      </c>
      <c r="T17" s="705" t="s">
        <v>14</v>
      </c>
      <c r="U17" s="706">
        <f>H17</f>
        <v>100</v>
      </c>
      <c r="V17" s="705" t="s">
        <v>14</v>
      </c>
      <c r="W17" s="706">
        <f>J17</f>
        <v>100</v>
      </c>
      <c r="X17" s="1355"/>
      <c r="Y17" s="3686"/>
      <c r="Z17" s="1356" t="str">
        <f>Q17</f>
        <v>交通便捷度</v>
      </c>
      <c r="AA17" s="1353">
        <f t="shared" si="3"/>
        <v>1</v>
      </c>
      <c r="AB17" s="1353">
        <f t="shared" si="4"/>
        <v>1</v>
      </c>
      <c r="AC17" s="1353">
        <f t="shared" si="5"/>
        <v>1</v>
      </c>
    </row>
    <row r="18" spans="1:29" ht="15">
      <c r="A18" s="379"/>
      <c r="B18" s="407"/>
      <c r="C18" s="1901" t="s">
        <v>3398</v>
      </c>
      <c r="D18" s="401"/>
      <c r="E18" s="1901" t="s">
        <v>3398</v>
      </c>
      <c r="F18" s="404"/>
      <c r="G18" s="1902" t="s">
        <v>3398</v>
      </c>
      <c r="H18" s="399"/>
      <c r="I18" s="1902" t="s">
        <v>3398</v>
      </c>
      <c r="J18" s="399"/>
      <c r="K18" s="564"/>
      <c r="L18" s="2721"/>
      <c r="M18" s="2715"/>
      <c r="N18" s="2715"/>
      <c r="O18" s="2715"/>
      <c r="P18" s="3684"/>
      <c r="Q18" s="1352"/>
      <c r="R18" s="705"/>
      <c r="S18" s="706"/>
      <c r="T18" s="705"/>
      <c r="U18" s="706"/>
      <c r="V18" s="705"/>
      <c r="W18" s="706"/>
      <c r="X18" s="1355"/>
      <c r="Y18" s="3686"/>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1"/>
      <c r="M19" s="2715"/>
      <c r="N19" s="2715"/>
      <c r="O19" s="2715"/>
      <c r="P19" s="3684"/>
      <c r="Q19" s="1352" t="str">
        <f>B19</f>
        <v>公共配套设施</v>
      </c>
      <c r="R19" s="705" t="s">
        <v>14</v>
      </c>
      <c r="S19" s="706">
        <f>F19</f>
        <v>100</v>
      </c>
      <c r="T19" s="705" t="s">
        <v>14</v>
      </c>
      <c r="U19" s="706">
        <f>H19</f>
        <v>100</v>
      </c>
      <c r="V19" s="705" t="s">
        <v>14</v>
      </c>
      <c r="W19" s="706">
        <f>J19</f>
        <v>100</v>
      </c>
      <c r="X19" s="1355"/>
      <c r="Y19" s="3686"/>
      <c r="Z19" s="1356" t="str">
        <f>Q19</f>
        <v>公共配套设施</v>
      </c>
      <c r="AA19" s="1353">
        <f t="shared" si="3"/>
        <v>1</v>
      </c>
      <c r="AB19" s="1353">
        <f t="shared" si="4"/>
        <v>1</v>
      </c>
      <c r="AC19" s="1353">
        <f t="shared" si="5"/>
        <v>1</v>
      </c>
    </row>
    <row r="20" spans="1:29" ht="15">
      <c r="A20" s="379"/>
      <c r="B20" s="407"/>
      <c r="C20" s="398" t="s">
        <v>3398</v>
      </c>
      <c r="D20" s="399"/>
      <c r="E20" s="398" t="s">
        <v>3398</v>
      </c>
      <c r="F20" s="400"/>
      <c r="G20" s="1897" t="s">
        <v>3398</v>
      </c>
      <c r="H20" s="399"/>
      <c r="I20" s="1897" t="s">
        <v>3398</v>
      </c>
      <c r="J20" s="399"/>
      <c r="K20" s="564"/>
      <c r="L20" s="2721"/>
      <c r="M20" s="2715"/>
      <c r="N20" s="2715"/>
      <c r="O20" s="2715"/>
      <c r="P20" s="3684"/>
      <c r="Q20" s="1352"/>
      <c r="R20" s="705"/>
      <c r="S20" s="706"/>
      <c r="T20" s="705"/>
      <c r="U20" s="706"/>
      <c r="V20" s="705"/>
      <c r="W20" s="706"/>
      <c r="X20" s="1355"/>
      <c r="Y20" s="3686"/>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1"/>
      <c r="M21" s="2715"/>
      <c r="N21" s="2715"/>
      <c r="O21" s="2715"/>
      <c r="P21" s="3684"/>
      <c r="Q21" s="1352" t="str">
        <f>B21</f>
        <v>基础设施水平</v>
      </c>
      <c r="R21" s="705" t="s">
        <v>14</v>
      </c>
      <c r="S21" s="706">
        <f>F21</f>
        <v>100</v>
      </c>
      <c r="T21" s="705" t="s">
        <v>14</v>
      </c>
      <c r="U21" s="706">
        <f>H21</f>
        <v>100</v>
      </c>
      <c r="V21" s="705" t="s">
        <v>14</v>
      </c>
      <c r="W21" s="706">
        <f>J21</f>
        <v>100</v>
      </c>
      <c r="X21" s="1355"/>
      <c r="Y21" s="3686"/>
      <c r="Z21" s="1356" t="str">
        <f>Q21</f>
        <v>基础设施水平</v>
      </c>
      <c r="AA21" s="1353">
        <f t="shared" ref="AA21" si="8">D21/F21</f>
        <v>1</v>
      </c>
      <c r="AB21" s="1353">
        <f t="shared" ref="AB21" si="9">D21/H21</f>
        <v>1</v>
      </c>
      <c r="AC21" s="1353">
        <f t="shared" ref="AC21" si="10">D21/J21</f>
        <v>1</v>
      </c>
    </row>
    <row r="22" spans="1:29" ht="15">
      <c r="A22" s="379"/>
      <c r="B22" s="1131"/>
      <c r="C22" s="1901" t="s">
        <v>3427</v>
      </c>
      <c r="D22" s="399"/>
      <c r="E22" s="1901" t="s">
        <v>3427</v>
      </c>
      <c r="F22" s="400"/>
      <c r="G22" s="1901" t="s">
        <v>3427</v>
      </c>
      <c r="H22" s="399"/>
      <c r="I22" s="1901" t="s">
        <v>3427</v>
      </c>
      <c r="J22" s="399"/>
      <c r="K22" s="1130"/>
      <c r="L22" s="2721"/>
      <c r="M22" s="2715"/>
      <c r="N22" s="2715"/>
      <c r="O22" s="2715"/>
      <c r="P22" s="3684"/>
      <c r="Q22" s="1352"/>
      <c r="R22" s="705"/>
      <c r="S22" s="706"/>
      <c r="T22" s="705"/>
      <c r="U22" s="706"/>
      <c r="V22" s="705"/>
      <c r="W22" s="706"/>
      <c r="X22" s="1355"/>
      <c r="Y22" s="3686"/>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1"/>
      <c r="M23" s="2715"/>
      <c r="N23" s="2715"/>
      <c r="O23" s="2715"/>
      <c r="P23" s="3684"/>
      <c r="Q23" s="1352" t="str">
        <f>B23</f>
        <v>自然及人文环境</v>
      </c>
      <c r="R23" s="705" t="s">
        <v>14</v>
      </c>
      <c r="S23" s="706">
        <f>F23</f>
        <v>100</v>
      </c>
      <c r="T23" s="705" t="s">
        <v>14</v>
      </c>
      <c r="U23" s="706">
        <f>H23</f>
        <v>100</v>
      </c>
      <c r="V23" s="705" t="s">
        <v>14</v>
      </c>
      <c r="W23" s="706">
        <f>J23</f>
        <v>100</v>
      </c>
      <c r="X23" s="1355"/>
      <c r="Y23" s="3686"/>
      <c r="Z23" s="1356" t="str">
        <f>Q23</f>
        <v>自然及人文环境</v>
      </c>
      <c r="AA23" s="1353">
        <f t="shared" si="3"/>
        <v>1</v>
      </c>
      <c r="AB23" s="1353">
        <f t="shared" si="4"/>
        <v>1</v>
      </c>
      <c r="AC23" s="1353">
        <f t="shared" si="5"/>
        <v>1</v>
      </c>
    </row>
    <row r="24" spans="1:29" ht="15">
      <c r="A24" s="379"/>
      <c r="B24" s="407"/>
      <c r="C24" s="398" t="s">
        <v>3398</v>
      </c>
      <c r="D24" s="399"/>
      <c r="E24" s="398" t="s">
        <v>3398</v>
      </c>
      <c r="F24" s="400"/>
      <c r="G24" s="398" t="s">
        <v>3398</v>
      </c>
      <c r="H24" s="399"/>
      <c r="I24" s="398" t="s">
        <v>3398</v>
      </c>
      <c r="J24" s="399"/>
      <c r="K24" s="564"/>
      <c r="L24" s="2721"/>
      <c r="M24" s="2715"/>
      <c r="N24" s="2715"/>
      <c r="O24" s="2715"/>
      <c r="P24" s="3684"/>
      <c r="Q24" s="1352"/>
      <c r="R24" s="705"/>
      <c r="S24" s="706"/>
      <c r="T24" s="705"/>
      <c r="U24" s="706"/>
      <c r="V24" s="705"/>
      <c r="W24" s="706"/>
      <c r="X24" s="1355"/>
      <c r="Y24" s="3686"/>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v>5</v>
      </c>
      <c r="L25" s="2721"/>
      <c r="M25" s="2715"/>
      <c r="N25" s="2715"/>
      <c r="O25" s="2715"/>
      <c r="P25" s="3684"/>
      <c r="Q25" s="1352" t="str">
        <f t="shared" ref="Q25:Q46" si="11">B25</f>
        <v>临街状况</v>
      </c>
      <c r="R25" s="705" t="s">
        <v>14</v>
      </c>
      <c r="S25" s="706">
        <f>F25</f>
        <v>100</v>
      </c>
      <c r="T25" s="705" t="s">
        <v>14</v>
      </c>
      <c r="U25" s="706">
        <f>H25</f>
        <v>100</v>
      </c>
      <c r="V25" s="705" t="s">
        <v>14</v>
      </c>
      <c r="W25" s="706">
        <f>J25</f>
        <v>100</v>
      </c>
      <c r="X25" s="1355"/>
      <c r="Y25" s="3686"/>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84"/>
      <c r="Q26" s="1352" t="str">
        <f t="shared" si="11"/>
        <v>平面位置/可视性</v>
      </c>
      <c r="R26" s="705" t="s">
        <v>14</v>
      </c>
      <c r="S26" s="706">
        <f>F26</f>
        <v>100</v>
      </c>
      <c r="T26" s="705" t="s">
        <v>14</v>
      </c>
      <c r="U26" s="706">
        <f>H26</f>
        <v>100</v>
      </c>
      <c r="V26" s="705" t="s">
        <v>14</v>
      </c>
      <c r="W26" s="706">
        <f>J26</f>
        <v>100</v>
      </c>
      <c r="X26" s="1355"/>
      <c r="Y26" s="3686"/>
      <c r="Z26" s="1356" t="str">
        <f>Q26</f>
        <v>平面位置/可视性</v>
      </c>
      <c r="AA26" s="1353">
        <f t="shared" si="3"/>
        <v>1</v>
      </c>
      <c r="AB26" s="1353">
        <f t="shared" si="4"/>
        <v>1</v>
      </c>
      <c r="AC26" s="1353">
        <f t="shared" si="5"/>
        <v>1</v>
      </c>
    </row>
    <row r="27" spans="1:29" s="108" customFormat="1" ht="15">
      <c r="A27" s="382"/>
      <c r="B27" s="402" t="s">
        <v>1782</v>
      </c>
      <c r="C27" s="1956" t="s">
        <v>3417</v>
      </c>
      <c r="D27" s="413">
        <v>100</v>
      </c>
      <c r="E27" s="1956" t="s">
        <v>3417</v>
      </c>
      <c r="F27" s="415">
        <f>SUMIF(90:90,E27,91:91)-SUMIF(90:90,C27,91:91)+100</f>
        <v>100</v>
      </c>
      <c r="G27" s="1956" t="s">
        <v>3417</v>
      </c>
      <c r="H27" s="413">
        <f>SUMIF(90:90,G27,91:91)-SUMIF(90:90,C27,91:91)+100</f>
        <v>100</v>
      </c>
      <c r="I27" s="398" t="s">
        <v>3399</v>
      </c>
      <c r="J27" s="413">
        <f>SUMIF(90:90,I27,91:91)-SUMIF(90:90,C27,91:91)+100</f>
        <v>97</v>
      </c>
      <c r="K27" s="561">
        <v>3</v>
      </c>
      <c r="L27" s="2716"/>
      <c r="M27" s="2717"/>
      <c r="N27" s="2717"/>
      <c r="O27" s="2717"/>
      <c r="P27" s="3684"/>
      <c r="Q27" s="1343" t="str">
        <f t="shared" si="11"/>
        <v>人流量</v>
      </c>
      <c r="R27" s="701" t="s">
        <v>14</v>
      </c>
      <c r="S27" s="702">
        <f>F27</f>
        <v>100</v>
      </c>
      <c r="T27" s="701" t="s">
        <v>14</v>
      </c>
      <c r="U27" s="702">
        <f>H27</f>
        <v>100</v>
      </c>
      <c r="V27" s="701" t="s">
        <v>14</v>
      </c>
      <c r="W27" s="702">
        <f>J27</f>
        <v>97</v>
      </c>
      <c r="X27" s="703"/>
      <c r="Y27" s="3686"/>
      <c r="Z27" s="52" t="str">
        <f>Q27</f>
        <v>人流量</v>
      </c>
      <c r="AA27" s="1353">
        <f>D27/F27</f>
        <v>1</v>
      </c>
      <c r="AB27" s="1353">
        <f>D27/H27</f>
        <v>1</v>
      </c>
      <c r="AC27" s="1353">
        <f>D27/J27</f>
        <v>1.0309278350515463</v>
      </c>
    </row>
    <row r="28" spans="1:29" ht="15">
      <c r="A28" s="379"/>
      <c r="B28" s="375" t="s">
        <v>1783</v>
      </c>
      <c r="C28" s="565" t="s">
        <v>3428</v>
      </c>
      <c r="D28" s="386">
        <v>100</v>
      </c>
      <c r="E28" s="565" t="s">
        <v>3428</v>
      </c>
      <c r="F28" s="412">
        <f>SUMIF(92:92,E28,93:93)-SUMIF(92:92,C28,93:93)+100</f>
        <v>100</v>
      </c>
      <c r="G28" s="565" t="s">
        <v>3428</v>
      </c>
      <c r="H28" s="386">
        <f>SUMIF(92:92,G28,93:93)-SUMIF(92:92,C28,93:93)+100</f>
        <v>100</v>
      </c>
      <c r="I28" s="565" t="s">
        <v>3428</v>
      </c>
      <c r="J28" s="386">
        <f>SUMIF(92:92,I28,93:93)-SUMIF(92:92,C28,93:93)+100</f>
        <v>100</v>
      </c>
      <c r="K28" s="562"/>
      <c r="L28" s="2721"/>
      <c r="M28" s="2715"/>
      <c r="N28" s="2715"/>
      <c r="O28" s="2715"/>
      <c r="P28" s="368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84"/>
      <c r="Q29" s="1352">
        <f t="shared" si="11"/>
        <v>111</v>
      </c>
      <c r="R29" s="705" t="s">
        <v>14</v>
      </c>
      <c r="S29" s="706">
        <f t="shared" si="12"/>
        <v>100</v>
      </c>
      <c r="T29" s="705" t="s">
        <v>14</v>
      </c>
      <c r="U29" s="706">
        <f t="shared" si="13"/>
        <v>100</v>
      </c>
      <c r="V29" s="705" t="s">
        <v>14</v>
      </c>
      <c r="W29" s="706">
        <f t="shared" si="14"/>
        <v>100</v>
      </c>
      <c r="X29" s="1355"/>
      <c r="Y29" s="368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84"/>
      <c r="Q30" s="1352">
        <f t="shared" si="11"/>
        <v>111</v>
      </c>
      <c r="R30" s="705" t="s">
        <v>14</v>
      </c>
      <c r="S30" s="706">
        <f t="shared" si="12"/>
        <v>100</v>
      </c>
      <c r="T30" s="705" t="s">
        <v>14</v>
      </c>
      <c r="U30" s="706">
        <f t="shared" si="13"/>
        <v>100</v>
      </c>
      <c r="V30" s="705" t="s">
        <v>14</v>
      </c>
      <c r="W30" s="706">
        <f t="shared" si="14"/>
        <v>100</v>
      </c>
      <c r="X30" s="1355"/>
      <c r="Y30" s="368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84"/>
      <c r="Q31" s="1352">
        <f t="shared" si="11"/>
        <v>111</v>
      </c>
      <c r="R31" s="705" t="s">
        <v>14</v>
      </c>
      <c r="S31" s="706">
        <f t="shared" si="12"/>
        <v>100</v>
      </c>
      <c r="T31" s="705" t="s">
        <v>14</v>
      </c>
      <c r="U31" s="706">
        <f t="shared" si="13"/>
        <v>100</v>
      </c>
      <c r="V31" s="705" t="s">
        <v>14</v>
      </c>
      <c r="W31" s="706">
        <f t="shared" si="14"/>
        <v>100</v>
      </c>
      <c r="X31" s="1355"/>
      <c r="Y31" s="3686"/>
      <c r="Z31" s="1356">
        <f t="shared" si="15"/>
        <v>111</v>
      </c>
      <c r="AA31" s="1353">
        <f t="shared" si="3"/>
        <v>1</v>
      </c>
      <c r="AB31" s="1353">
        <f t="shared" si="4"/>
        <v>1</v>
      </c>
      <c r="AC31" s="1353">
        <f t="shared" si="5"/>
        <v>1</v>
      </c>
    </row>
    <row r="32" spans="1:29" ht="15">
      <c r="A32" s="391" t="s">
        <v>1694</v>
      </c>
      <c r="B32" s="63" t="s">
        <v>1784</v>
      </c>
      <c r="C32" s="1910" t="s">
        <v>3426</v>
      </c>
      <c r="D32" s="418">
        <v>100</v>
      </c>
      <c r="E32" s="1910" t="s">
        <v>3426</v>
      </c>
      <c r="F32" s="412">
        <f>SUMIF(100:100,E32,101:101)-SUMIF(100:100,C32,101:101)+100</f>
        <v>100</v>
      </c>
      <c r="G32" s="1910" t="s">
        <v>3426</v>
      </c>
      <c r="H32" s="386">
        <f>SUMIF(100:100,G32,101:101)-SUMIF(100:100,C32,101:101)+100</f>
        <v>100</v>
      </c>
      <c r="I32" s="1910" t="s">
        <v>3426</v>
      </c>
      <c r="J32" s="418">
        <f>SUMIF(100:100,I32,101:101)-SUMIF(100:100,C32,101:101)+100</f>
        <v>100</v>
      </c>
      <c r="K32" s="561">
        <v>1</v>
      </c>
      <c r="L32" s="2721"/>
      <c r="M32" s="2715"/>
      <c r="N32" s="2715"/>
      <c r="O32" s="2715"/>
      <c r="P32" s="3687" t="s">
        <v>1696</v>
      </c>
      <c r="Q32" s="1352" t="str">
        <f t="shared" si="11"/>
        <v>商业类型</v>
      </c>
      <c r="R32" s="705" t="s">
        <v>14</v>
      </c>
      <c r="S32" s="706">
        <f t="shared" si="12"/>
        <v>100</v>
      </c>
      <c r="T32" s="705" t="s">
        <v>14</v>
      </c>
      <c r="U32" s="706">
        <f t="shared" si="13"/>
        <v>100</v>
      </c>
      <c r="V32" s="705" t="s">
        <v>14</v>
      </c>
      <c r="W32" s="706">
        <f t="shared" si="14"/>
        <v>100</v>
      </c>
      <c r="X32" s="1355"/>
      <c r="Y32" s="3690" t="s">
        <v>1696</v>
      </c>
      <c r="Z32" s="1356" t="str">
        <f t="shared" si="15"/>
        <v>商业类型</v>
      </c>
      <c r="AA32" s="1353">
        <f t="shared" si="3"/>
        <v>1</v>
      </c>
      <c r="AB32" s="1353">
        <f t="shared" si="4"/>
        <v>1</v>
      </c>
      <c r="AC32" s="1353">
        <f t="shared" si="5"/>
        <v>1</v>
      </c>
    </row>
    <row r="33" spans="1:29" s="422" customFormat="1" ht="15">
      <c r="A33" s="419"/>
      <c r="B33" s="375" t="s">
        <v>1697</v>
      </c>
      <c r="C33" s="420">
        <f>'数据-基础表'!I13</f>
        <v>1562.24</v>
      </c>
      <c r="D33" s="127">
        <v>100</v>
      </c>
      <c r="E33" s="381">
        <v>250.36</v>
      </c>
      <c r="F33" s="376">
        <f>LOOKUP(E33,103:103,104:104)-LOOKUP(C33,103:103,104:104)+100</f>
        <v>104</v>
      </c>
      <c r="G33" s="380">
        <v>286.60000000000002</v>
      </c>
      <c r="H33" s="127">
        <f>LOOKUP(G33,103:103,104:104)-LOOKUP(C33,103:103,104:104)+100</f>
        <v>104</v>
      </c>
      <c r="I33" s="380">
        <v>167.1</v>
      </c>
      <c r="J33" s="127">
        <f>LOOKUP(I33,103:103,104:104)-LOOKUP(C33,103:103,104:104)+100</f>
        <v>106</v>
      </c>
      <c r="K33" s="562"/>
      <c r="L33" s="2720"/>
      <c r="M33" s="2722"/>
      <c r="N33" s="2722"/>
      <c r="O33" s="2722"/>
      <c r="P33" s="3688"/>
      <c r="Q33" s="707" t="str">
        <f t="shared" si="11"/>
        <v>项目建筑规模</v>
      </c>
      <c r="R33" s="708" t="s">
        <v>14</v>
      </c>
      <c r="S33" s="709">
        <f t="shared" si="12"/>
        <v>104</v>
      </c>
      <c r="T33" s="708" t="s">
        <v>14</v>
      </c>
      <c r="U33" s="709">
        <f t="shared" si="13"/>
        <v>104</v>
      </c>
      <c r="V33" s="708" t="s">
        <v>14</v>
      </c>
      <c r="W33" s="709">
        <f t="shared" si="14"/>
        <v>106</v>
      </c>
      <c r="X33" s="710"/>
      <c r="Y33" s="3690"/>
      <c r="Z33" s="711" t="str">
        <f t="shared" si="15"/>
        <v>项目建筑规模</v>
      </c>
      <c r="AA33" s="1353">
        <f t="shared" si="3"/>
        <v>0.96153846153846156</v>
      </c>
      <c r="AB33" s="1353">
        <f t="shared" si="4"/>
        <v>0.96153846153846156</v>
      </c>
      <c r="AC33" s="1353">
        <f t="shared" si="5"/>
        <v>0.94339622641509435</v>
      </c>
    </row>
    <row r="34" spans="1:29" ht="15">
      <c r="A34" s="423"/>
      <c r="B34" s="375" t="s">
        <v>1698</v>
      </c>
      <c r="C34" s="1912" t="s">
        <v>3403</v>
      </c>
      <c r="D34" s="386">
        <v>100</v>
      </c>
      <c r="E34" s="1912" t="s">
        <v>3403</v>
      </c>
      <c r="F34" s="412">
        <f>SUMIF(105:105,E34,106:106)-SUMIF(105:105,C34,106:106)+100</f>
        <v>100</v>
      </c>
      <c r="G34" s="1912" t="s">
        <v>3403</v>
      </c>
      <c r="H34" s="386">
        <f>SUMIF(105:105,G34,106:106)-SUMIF(105:105,C34,106:106)+100</f>
        <v>100</v>
      </c>
      <c r="I34" s="1912" t="s">
        <v>3403</v>
      </c>
      <c r="J34" s="386">
        <f>SUMIF(105:105,I34,106:106)-SUMIF(105:105,C34,106:106)+100</f>
        <v>100</v>
      </c>
      <c r="K34" s="561">
        <v>2</v>
      </c>
      <c r="L34" s="2721"/>
      <c r="M34" s="2715"/>
      <c r="N34" s="2715"/>
      <c r="O34" s="2715"/>
      <c r="P34" s="3688"/>
      <c r="Q34" s="1352" t="str">
        <f t="shared" si="11"/>
        <v>建筑结构</v>
      </c>
      <c r="R34" s="705" t="s">
        <v>14</v>
      </c>
      <c r="S34" s="706">
        <f t="shared" si="12"/>
        <v>100</v>
      </c>
      <c r="T34" s="705" t="s">
        <v>14</v>
      </c>
      <c r="U34" s="706">
        <f t="shared" si="13"/>
        <v>100</v>
      </c>
      <c r="V34" s="705" t="s">
        <v>14</v>
      </c>
      <c r="W34" s="706">
        <f t="shared" si="14"/>
        <v>100</v>
      </c>
      <c r="X34" s="1355"/>
      <c r="Y34" s="3690"/>
      <c r="Z34" s="1356" t="str">
        <f t="shared" si="15"/>
        <v>建筑结构</v>
      </c>
      <c r="AA34" s="1353">
        <f t="shared" si="3"/>
        <v>1</v>
      </c>
      <c r="AB34" s="1353">
        <f t="shared" si="4"/>
        <v>1</v>
      </c>
      <c r="AC34" s="1353">
        <f t="shared" si="5"/>
        <v>1</v>
      </c>
    </row>
    <row r="35" spans="1:29" ht="15">
      <c r="A35" s="423"/>
      <c r="B35" s="375" t="s">
        <v>1785</v>
      </c>
      <c r="C35" s="1906" t="s">
        <v>3413</v>
      </c>
      <c r="D35" s="386">
        <v>100</v>
      </c>
      <c r="E35" s="1906" t="s">
        <v>3413</v>
      </c>
      <c r="F35" s="412">
        <f>SUMIF(107:107,E35,108:108)-SUMIF(107:107,C35,108:108)+100</f>
        <v>100</v>
      </c>
      <c r="G35" s="1906" t="s">
        <v>3413</v>
      </c>
      <c r="H35" s="386">
        <f>SUMIF(107:107,G35,108:108)-SUMIF(107:107,C35,108:108)+100</f>
        <v>100</v>
      </c>
      <c r="I35" s="1906" t="s">
        <v>3413</v>
      </c>
      <c r="J35" s="386">
        <f>SUMIF(107:107,I35,108:108)-SUMIF(107:107,C35,108:108)+100</f>
        <v>100</v>
      </c>
      <c r="K35" s="561">
        <v>2</v>
      </c>
      <c r="L35" s="2721"/>
      <c r="M35" s="2715"/>
      <c r="N35" s="2715"/>
      <c r="O35" s="2715"/>
      <c r="P35" s="3688"/>
      <c r="Q35" s="1352" t="str">
        <f t="shared" si="11"/>
        <v>公共部分装修</v>
      </c>
      <c r="R35" s="705" t="s">
        <v>14</v>
      </c>
      <c r="S35" s="706">
        <f t="shared" si="12"/>
        <v>100</v>
      </c>
      <c r="T35" s="705" t="s">
        <v>14</v>
      </c>
      <c r="U35" s="706">
        <f t="shared" si="13"/>
        <v>100</v>
      </c>
      <c r="V35" s="705" t="s">
        <v>14</v>
      </c>
      <c r="W35" s="706">
        <f t="shared" si="14"/>
        <v>100</v>
      </c>
      <c r="X35" s="1355"/>
      <c r="Y35" s="3690"/>
      <c r="Z35" s="1356" t="str">
        <f t="shared" si="15"/>
        <v>公共部分装修</v>
      </c>
      <c r="AA35" s="1353">
        <f t="shared" si="3"/>
        <v>1</v>
      </c>
      <c r="AB35" s="1353">
        <f t="shared" si="4"/>
        <v>1</v>
      </c>
      <c r="AC35" s="1353">
        <f t="shared" si="5"/>
        <v>1</v>
      </c>
    </row>
    <row r="36" spans="1:29" ht="15">
      <c r="A36" s="423"/>
      <c r="B36" s="375" t="s">
        <v>1786</v>
      </c>
      <c r="C36" s="425">
        <v>0.8</v>
      </c>
      <c r="D36" s="386">
        <v>100</v>
      </c>
      <c r="E36" s="425">
        <v>0.8</v>
      </c>
      <c r="F36" s="412">
        <f>LOOKUP(E36,110:110,111:111)-LOOKUP(C36,110:110,111:111)+100</f>
        <v>100</v>
      </c>
      <c r="G36" s="425">
        <v>0.8</v>
      </c>
      <c r="H36" s="412">
        <f>LOOKUP(G36,110:110,111:111)-LOOKUP(C36,110:110,111:111)+100</f>
        <v>100</v>
      </c>
      <c r="I36" s="425">
        <v>0.8</v>
      </c>
      <c r="J36" s="386">
        <f>LOOKUP(I36,110:110,111:111)-LOOKUP(C36,110:110,111:111)+100</f>
        <v>100</v>
      </c>
      <c r="K36" s="561">
        <v>2</v>
      </c>
      <c r="L36" s="2721"/>
      <c r="M36" s="2715"/>
      <c r="N36" s="2715"/>
      <c r="O36" s="2715"/>
      <c r="P36" s="3688"/>
      <c r="Q36" s="1352" t="str">
        <f t="shared" si="11"/>
        <v>成新度</v>
      </c>
      <c r="R36" s="705" t="s">
        <v>14</v>
      </c>
      <c r="S36" s="706">
        <f t="shared" si="12"/>
        <v>100</v>
      </c>
      <c r="T36" s="705" t="s">
        <v>14</v>
      </c>
      <c r="U36" s="706">
        <f t="shared" si="13"/>
        <v>100</v>
      </c>
      <c r="V36" s="705" t="s">
        <v>14</v>
      </c>
      <c r="W36" s="706">
        <f t="shared" si="14"/>
        <v>100</v>
      </c>
      <c r="X36" s="1355"/>
      <c r="Y36" s="3690"/>
      <c r="Z36" s="1356" t="str">
        <f t="shared" si="15"/>
        <v>成新度</v>
      </c>
      <c r="AA36" s="1353">
        <f t="shared" si="3"/>
        <v>1</v>
      </c>
      <c r="AB36" s="1353">
        <f t="shared" si="4"/>
        <v>1</v>
      </c>
      <c r="AC36" s="1353">
        <f t="shared" si="5"/>
        <v>1</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688"/>
      <c r="Q37" s="1343" t="str">
        <f t="shared" si="11"/>
        <v>市政基础设施</v>
      </c>
      <c r="R37" s="701" t="s">
        <v>14</v>
      </c>
      <c r="S37" s="702">
        <f t="shared" si="12"/>
        <v>100</v>
      </c>
      <c r="T37" s="701" t="s">
        <v>14</v>
      </c>
      <c r="U37" s="702">
        <f t="shared" si="13"/>
        <v>100</v>
      </c>
      <c r="V37" s="701" t="s">
        <v>14</v>
      </c>
      <c r="W37" s="702">
        <f t="shared" si="14"/>
        <v>100</v>
      </c>
      <c r="X37" s="703"/>
      <c r="Y37" s="3690"/>
      <c r="Z37" s="52" t="str">
        <f t="shared" si="15"/>
        <v>市政基础设施</v>
      </c>
      <c r="AA37" s="704">
        <f t="shared" si="3"/>
        <v>1</v>
      </c>
      <c r="AB37" s="704">
        <f t="shared" si="4"/>
        <v>1</v>
      </c>
      <c r="AC37" s="704">
        <f t="shared" si="5"/>
        <v>1</v>
      </c>
    </row>
    <row r="38" spans="1:29" ht="15">
      <c r="A38" s="423"/>
      <c r="B38" s="375" t="s">
        <v>1788</v>
      </c>
      <c r="C38" s="1906" t="s">
        <v>3429</v>
      </c>
      <c r="D38" s="386">
        <v>100</v>
      </c>
      <c r="E38" s="1906" t="s">
        <v>3429</v>
      </c>
      <c r="F38" s="412">
        <f>SUMIF(114:114,E38,115:115)-SUMIF(114:114,C38,115:115)+100</f>
        <v>100</v>
      </c>
      <c r="G38" s="1906" t="s">
        <v>3429</v>
      </c>
      <c r="H38" s="386">
        <f>SUMIF(114:114,G38,115:115)-SUMIF(114:114,C38,115:115)+100</f>
        <v>100</v>
      </c>
      <c r="I38" s="1906" t="s">
        <v>3429</v>
      </c>
      <c r="J38" s="386">
        <f>SUMIF(114:114,I38,115:115)-SUMIF(114:114,C38,115:115)+100</f>
        <v>100</v>
      </c>
      <c r="K38" s="561">
        <v>10</v>
      </c>
      <c r="L38" s="2721"/>
      <c r="M38" s="2715"/>
      <c r="N38" s="2715"/>
      <c r="O38" s="2715"/>
      <c r="P38" s="3688" t="s">
        <v>1696</v>
      </c>
      <c r="Q38" s="1352" t="str">
        <f t="shared" si="11"/>
        <v>业态</v>
      </c>
      <c r="R38" s="705" t="s">
        <v>14</v>
      </c>
      <c r="S38" s="706">
        <f t="shared" si="12"/>
        <v>100</v>
      </c>
      <c r="T38" s="705" t="s">
        <v>14</v>
      </c>
      <c r="U38" s="706">
        <f t="shared" si="13"/>
        <v>100</v>
      </c>
      <c r="V38" s="705" t="s">
        <v>14</v>
      </c>
      <c r="W38" s="706">
        <f t="shared" si="14"/>
        <v>100</v>
      </c>
      <c r="X38" s="1355"/>
      <c r="Y38" s="3690" t="s">
        <v>1696</v>
      </c>
      <c r="Z38" s="1356" t="str">
        <f t="shared" si="15"/>
        <v>业态</v>
      </c>
      <c r="AA38" s="1353">
        <f t="shared" si="3"/>
        <v>1</v>
      </c>
      <c r="AB38" s="1353">
        <f t="shared" si="4"/>
        <v>1</v>
      </c>
      <c r="AC38" s="1353">
        <f t="shared" si="5"/>
        <v>1</v>
      </c>
    </row>
    <row r="39" spans="1:29" ht="15">
      <c r="A39" s="423"/>
      <c r="B39" s="375" t="s">
        <v>1789</v>
      </c>
      <c r="C39" s="1906" t="s">
        <v>3433</v>
      </c>
      <c r="D39" s="386">
        <v>100</v>
      </c>
      <c r="E39" s="1906" t="s">
        <v>3445</v>
      </c>
      <c r="F39" s="412">
        <f>SUMIF(116:116,E39,117:117)-SUMIF(116:116,C39,117:117)+100</f>
        <v>110</v>
      </c>
      <c r="G39" s="1906" t="s">
        <v>3433</v>
      </c>
      <c r="H39" s="386">
        <f>SUMIF(116:116,G39,117:117)-SUMIF(116:116,C39,117:117)+100</f>
        <v>100</v>
      </c>
      <c r="I39" s="1906" t="s">
        <v>3433</v>
      </c>
      <c r="J39" s="386">
        <f>SUMIF(116:116,I39,117:117)-SUMIF(116:116,C39,117:117)+100</f>
        <v>100</v>
      </c>
      <c r="K39" s="561">
        <v>10</v>
      </c>
      <c r="L39" s="2721"/>
      <c r="M39" s="2715"/>
      <c r="N39" s="2715"/>
      <c r="O39" s="2715"/>
      <c r="P39" s="3688"/>
      <c r="Q39" s="1352" t="str">
        <f t="shared" si="11"/>
        <v>层高</v>
      </c>
      <c r="R39" s="705" t="s">
        <v>14</v>
      </c>
      <c r="S39" s="706">
        <f t="shared" si="12"/>
        <v>110</v>
      </c>
      <c r="T39" s="705" t="s">
        <v>14</v>
      </c>
      <c r="U39" s="706">
        <f t="shared" si="13"/>
        <v>100</v>
      </c>
      <c r="V39" s="705" t="s">
        <v>14</v>
      </c>
      <c r="W39" s="706">
        <f t="shared" si="14"/>
        <v>100</v>
      </c>
      <c r="X39" s="1355"/>
      <c r="Y39" s="3690"/>
      <c r="Z39" s="1356" t="str">
        <f t="shared" si="15"/>
        <v>层高</v>
      </c>
      <c r="AA39" s="1353">
        <f t="shared" si="3"/>
        <v>0.90909090909090906</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88"/>
      <c r="Q40" s="1352" t="str">
        <f t="shared" si="11"/>
        <v>单套建筑面积</v>
      </c>
      <c r="R40" s="705" t="s">
        <v>14</v>
      </c>
      <c r="S40" s="706">
        <f t="shared" si="12"/>
        <v>100</v>
      </c>
      <c r="T40" s="705" t="s">
        <v>14</v>
      </c>
      <c r="U40" s="706">
        <f t="shared" si="13"/>
        <v>100</v>
      </c>
      <c r="V40" s="705" t="s">
        <v>14</v>
      </c>
      <c r="W40" s="706">
        <f t="shared" si="14"/>
        <v>100</v>
      </c>
      <c r="X40" s="1355"/>
      <c r="Y40" s="3690"/>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88"/>
      <c r="Q41" s="707" t="str">
        <f t="shared" si="11"/>
        <v>进深比</v>
      </c>
      <c r="R41" s="708" t="s">
        <v>14</v>
      </c>
      <c r="S41" s="709">
        <f t="shared" si="12"/>
        <v>100</v>
      </c>
      <c r="T41" s="708" t="s">
        <v>14</v>
      </c>
      <c r="U41" s="709">
        <f t="shared" si="13"/>
        <v>100</v>
      </c>
      <c r="V41" s="708" t="s">
        <v>14</v>
      </c>
      <c r="W41" s="709">
        <f t="shared" si="14"/>
        <v>100</v>
      </c>
      <c r="X41" s="710"/>
      <c r="Y41" s="3690"/>
      <c r="Z41" s="711" t="str">
        <f t="shared" si="15"/>
        <v>进深比</v>
      </c>
      <c r="AA41" s="1353">
        <f t="shared" si="3"/>
        <v>1</v>
      </c>
      <c r="AB41" s="1353">
        <f t="shared" si="4"/>
        <v>1</v>
      </c>
      <c r="AC41" s="1353">
        <f t="shared" si="5"/>
        <v>1</v>
      </c>
    </row>
    <row r="42" spans="1:29" ht="15">
      <c r="A42" s="423"/>
      <c r="B42" s="375" t="s">
        <v>1792</v>
      </c>
      <c r="C42" s="1906" t="s">
        <v>3436</v>
      </c>
      <c r="D42" s="386">
        <v>100</v>
      </c>
      <c r="E42" s="1906" t="s">
        <v>3436</v>
      </c>
      <c r="F42" s="412">
        <f>SUMIF(122:122,E42,123:123)-SUMIF(122:122,C42,123:123)+100</f>
        <v>100</v>
      </c>
      <c r="G42" s="1906" t="s">
        <v>3438</v>
      </c>
      <c r="H42" s="386">
        <f>SUMIF(122:122,G42,123:123)-SUMIF(122:122,C42,123:123)+100</f>
        <v>98</v>
      </c>
      <c r="I42" s="1906" t="s">
        <v>3436</v>
      </c>
      <c r="J42" s="386">
        <f>SUMIF(122:122,I42,123:123)-SUMIF(122:122,C42,123:123)+100</f>
        <v>100</v>
      </c>
      <c r="K42" s="561">
        <v>2</v>
      </c>
      <c r="L42" s="2721"/>
      <c r="M42" s="2715"/>
      <c r="N42" s="2715"/>
      <c r="O42" s="2715"/>
      <c r="P42" s="3688"/>
      <c r="Q42" s="1352" t="str">
        <f t="shared" si="11"/>
        <v>内部装修</v>
      </c>
      <c r="R42" s="705" t="s">
        <v>14</v>
      </c>
      <c r="S42" s="706">
        <f t="shared" si="12"/>
        <v>100</v>
      </c>
      <c r="T42" s="705" t="s">
        <v>14</v>
      </c>
      <c r="U42" s="706">
        <f t="shared" si="13"/>
        <v>98</v>
      </c>
      <c r="V42" s="705" t="s">
        <v>14</v>
      </c>
      <c r="W42" s="706">
        <f t="shared" si="14"/>
        <v>100</v>
      </c>
      <c r="X42" s="1355"/>
      <c r="Y42" s="3690"/>
      <c r="Z42" s="1356" t="str">
        <f t="shared" si="15"/>
        <v>内部装修</v>
      </c>
      <c r="AA42" s="1353">
        <f t="shared" si="3"/>
        <v>1</v>
      </c>
      <c r="AB42" s="1353">
        <f t="shared" si="4"/>
        <v>1.0204081632653061</v>
      </c>
      <c r="AC42" s="1353">
        <f t="shared" si="5"/>
        <v>1</v>
      </c>
    </row>
    <row r="43" spans="1:29" ht="15">
      <c r="A43" s="423"/>
      <c r="B43" s="375" t="s">
        <v>1707</v>
      </c>
      <c r="C43" s="1906" t="s">
        <v>3398</v>
      </c>
      <c r="D43" s="386">
        <v>100</v>
      </c>
      <c r="E43" s="1906" t="s">
        <v>3398</v>
      </c>
      <c r="F43" s="412">
        <f>SUMIF(124:124,E43,125:125)-SUMIF(124:124,C43,125:125)+100</f>
        <v>100</v>
      </c>
      <c r="G43" s="1906" t="s">
        <v>3398</v>
      </c>
      <c r="H43" s="386">
        <f>SUMIF(124:124,G43,125:125)-SUMIF(124:124,C43,125:125)+100</f>
        <v>100</v>
      </c>
      <c r="I43" s="1906" t="s">
        <v>3398</v>
      </c>
      <c r="J43" s="386">
        <f>SUMIF(124:124,I43,125:125)-SUMIF(124:124,C43,125:125)+100</f>
        <v>100</v>
      </c>
      <c r="K43" s="561">
        <v>2</v>
      </c>
      <c r="L43" s="2721"/>
      <c r="M43" s="2715"/>
      <c r="N43" s="2715"/>
      <c r="O43" s="2715"/>
      <c r="P43" s="3688"/>
      <c r="Q43" s="1352" t="str">
        <f t="shared" si="11"/>
        <v>内部装修维护情况</v>
      </c>
      <c r="R43" s="705" t="s">
        <v>14</v>
      </c>
      <c r="S43" s="706">
        <f t="shared" si="12"/>
        <v>100</v>
      </c>
      <c r="T43" s="705" t="s">
        <v>14</v>
      </c>
      <c r="U43" s="706">
        <f t="shared" si="13"/>
        <v>100</v>
      </c>
      <c r="V43" s="705" t="s">
        <v>14</v>
      </c>
      <c r="W43" s="706">
        <f t="shared" si="14"/>
        <v>100</v>
      </c>
      <c r="X43" s="1355"/>
      <c r="Y43" s="369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88"/>
      <c r="Q44" s="1343">
        <f t="shared" si="11"/>
        <v>111</v>
      </c>
      <c r="R44" s="701" t="s">
        <v>14</v>
      </c>
      <c r="S44" s="702">
        <f t="shared" si="12"/>
        <v>100</v>
      </c>
      <c r="T44" s="701" t="s">
        <v>14</v>
      </c>
      <c r="U44" s="702">
        <f t="shared" si="13"/>
        <v>100</v>
      </c>
      <c r="V44" s="701" t="s">
        <v>14</v>
      </c>
      <c r="W44" s="702">
        <f t="shared" si="14"/>
        <v>100</v>
      </c>
      <c r="X44" s="703"/>
      <c r="Y44" s="369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88"/>
      <c r="Q45" s="1352">
        <f t="shared" si="11"/>
        <v>111</v>
      </c>
      <c r="R45" s="705" t="s">
        <v>14</v>
      </c>
      <c r="S45" s="706">
        <f t="shared" si="12"/>
        <v>100</v>
      </c>
      <c r="T45" s="705" t="s">
        <v>14</v>
      </c>
      <c r="U45" s="706">
        <f t="shared" si="13"/>
        <v>100</v>
      </c>
      <c r="V45" s="705" t="s">
        <v>14</v>
      </c>
      <c r="W45" s="706">
        <f t="shared" si="14"/>
        <v>100</v>
      </c>
      <c r="X45" s="1355"/>
      <c r="Y45" s="3690"/>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89"/>
      <c r="Q46" s="1352">
        <f t="shared" si="11"/>
        <v>111</v>
      </c>
      <c r="R46" s="705" t="s">
        <v>14</v>
      </c>
      <c r="S46" s="706">
        <f t="shared" si="12"/>
        <v>100</v>
      </c>
      <c r="T46" s="705" t="s">
        <v>14</v>
      </c>
      <c r="U46" s="706">
        <f t="shared" si="13"/>
        <v>100</v>
      </c>
      <c r="V46" s="705" t="s">
        <v>14</v>
      </c>
      <c r="W46" s="706">
        <f t="shared" si="14"/>
        <v>100</v>
      </c>
      <c r="X46" s="1355"/>
      <c r="Y46" s="3691"/>
      <c r="Z46" s="1356">
        <f t="shared" si="15"/>
        <v>111</v>
      </c>
      <c r="AA46" s="1353">
        <f t="shared" si="3"/>
        <v>1</v>
      </c>
      <c r="AB46" s="1353">
        <f t="shared" si="4"/>
        <v>1</v>
      </c>
      <c r="AC46" s="1353">
        <f t="shared" si="5"/>
        <v>1</v>
      </c>
    </row>
    <row r="47" spans="1:29" ht="15">
      <c r="A47" s="430" t="s">
        <v>1708</v>
      </c>
      <c r="B47" s="431"/>
      <c r="C47" s="1154" t="s">
        <v>0</v>
      </c>
      <c r="D47" s="1155"/>
      <c r="E47" s="1156">
        <v>34151</v>
      </c>
      <c r="F47" s="1157"/>
      <c r="G47" s="1158">
        <v>30705</v>
      </c>
      <c r="H47" s="1159"/>
      <c r="I47" s="1156">
        <v>29922</v>
      </c>
      <c r="J47" s="1159"/>
      <c r="K47" s="714"/>
      <c r="L47" s="2723"/>
      <c r="M47" s="2724"/>
      <c r="N47" s="2715"/>
      <c r="O47" s="2724"/>
      <c r="P47" s="3678" t="str">
        <f>A47</f>
        <v>成交单价（元/平方米）</v>
      </c>
      <c r="Q47" s="3678"/>
      <c r="R47" s="3692">
        <f>E47</f>
        <v>34151</v>
      </c>
      <c r="S47" s="3692"/>
      <c r="T47" s="3692">
        <f>G47</f>
        <v>30705</v>
      </c>
      <c r="U47" s="3692"/>
      <c r="V47" s="3692">
        <f>I47</f>
        <v>29922</v>
      </c>
      <c r="W47" s="3692"/>
      <c r="X47" s="690"/>
      <c r="Y47" s="712"/>
      <c r="Z47" s="690"/>
      <c r="AA47" s="690"/>
      <c r="AB47" s="690"/>
      <c r="AC47" s="690"/>
    </row>
    <row r="48" spans="1:29" ht="15.75" thickBot="1">
      <c r="A48" s="437" t="s">
        <v>1793</v>
      </c>
      <c r="B48" s="438"/>
      <c r="C48" s="1160">
        <f>R49</f>
        <v>29405</v>
      </c>
      <c r="D48" s="2317" t="s">
        <v>2137</v>
      </c>
      <c r="E48" s="1161">
        <f>R48</f>
        <v>29267</v>
      </c>
      <c r="F48" s="2318"/>
      <c r="G48" s="1160">
        <f>T48</f>
        <v>29536</v>
      </c>
      <c r="H48" s="2318"/>
      <c r="I48" s="1161">
        <f>V48</f>
        <v>29413</v>
      </c>
      <c r="J48" s="2318"/>
      <c r="K48" s="2320">
        <f>F48+H48+J48</f>
        <v>0</v>
      </c>
      <c r="L48" s="2723"/>
      <c r="M48" s="2724"/>
      <c r="N48" s="2715"/>
      <c r="O48" s="2724"/>
      <c r="P48" s="3678" t="str">
        <f>A48</f>
        <v>比较价值（元/平方米）</v>
      </c>
      <c r="Q48" s="3678"/>
      <c r="R48" s="3679">
        <f>IF(F1="售价",ROUND(PRODUCT(R47,AA7:AA46),0),ROUND(PRODUCT(R47,AA7:AA46),1))</f>
        <v>29267</v>
      </c>
      <c r="S48" s="3679"/>
      <c r="T48" s="3679">
        <f>IF(F1="售价",ROUND(PRODUCT(T47,AB7:AB46),0),ROUND(PRODUCT(T47,AB7:AB46),1))</f>
        <v>29536</v>
      </c>
      <c r="U48" s="3679"/>
      <c r="V48" s="3679">
        <f>IF(F1="售价",ROUND(PRODUCT(V47,AC7:AC46),0),ROUND(PRODUCT(V47,AC7:AC46),1))</f>
        <v>29413</v>
      </c>
      <c r="W48" s="3679"/>
      <c r="X48" s="690"/>
      <c r="Y48" s="690"/>
      <c r="Z48" s="690"/>
      <c r="AA48" s="690"/>
      <c r="AB48" s="690"/>
      <c r="AC48" s="690"/>
    </row>
    <row r="49" spans="1:29" ht="15.75" thickBot="1">
      <c r="A49" s="441" t="s">
        <v>1794</v>
      </c>
      <c r="B49" s="442"/>
      <c r="C49" s="1163">
        <f>R49</f>
        <v>29405</v>
      </c>
      <c r="D49" s="1163"/>
      <c r="E49" s="1163"/>
      <c r="F49" s="1163"/>
      <c r="G49" s="1163"/>
      <c r="H49" s="1163"/>
      <c r="I49" s="1163"/>
      <c r="J49" s="1163"/>
      <c r="K49" s="715"/>
      <c r="L49" s="2723"/>
      <c r="M49" s="2724"/>
      <c r="N49" s="2715"/>
      <c r="O49" s="2724"/>
      <c r="P49" s="3680" t="str">
        <f>A49</f>
        <v>估价对象XX用房的比较价值（楼面单价，元/平方米）</v>
      </c>
      <c r="Q49" s="3681"/>
      <c r="R49" s="3682">
        <f>IF(F1="售价",ROUND(IF(D48="简单平均",AVERAGE(R48:V48),R48*F48+T48*H48+V48*J48),0),ROUND(IF(D48="简单平均",AVERAGE(R48:V48),R48*F48+T48*H48+V48*J48),1))</f>
        <v>29405</v>
      </c>
      <c r="S49" s="3682"/>
      <c r="T49" s="3682"/>
      <c r="U49" s="3682"/>
      <c r="V49" s="3682"/>
      <c r="W49" s="3682"/>
      <c r="X49" s="690"/>
      <c r="Y49" s="690"/>
      <c r="Z49" s="690"/>
      <c r="AA49" s="690"/>
      <c r="AB49" s="690"/>
      <c r="AC49" s="690"/>
    </row>
    <row r="50" spans="1:29">
      <c r="A50" s="2724"/>
      <c r="B50" s="2724"/>
      <c r="C50" s="2724">
        <v>2004</v>
      </c>
      <c r="D50" s="2724"/>
      <c r="E50" s="2724">
        <v>2000</v>
      </c>
      <c r="F50" s="2724"/>
      <c r="G50" s="2728"/>
      <c r="H50" s="2724"/>
      <c r="I50" s="2724">
        <v>2000</v>
      </c>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f>IF(E47&lt;E48,E48/E47-1,E47/E48-1)</f>
        <v>0.16687737041719353</v>
      </c>
      <c r="F52" s="449" t="str">
        <f>IF(OR(E52&gt;=0.3,E52&lt;=-0.3),"超过30%","")</f>
        <v/>
      </c>
      <c r="G52" s="448">
        <f>IF(G47&lt;G48,G48/G47-1,G47/G48-1)</f>
        <v>3.9578819068255777E-2</v>
      </c>
      <c r="H52" s="449" t="str">
        <f>IF(OR(G52&gt;=0.3,G52&lt;=-0.3),"超过30%","")</f>
        <v/>
      </c>
      <c r="I52" s="448">
        <f>IF(I47&lt;I48,I48/I47-1,I47/I48-1)</f>
        <v>1.7305273178526592E-2</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f>IF(E48&lt;G48,G48/E48-1,E48/G48-1)</f>
        <v>9.1912392797348641E-3</v>
      </c>
      <c r="F53" s="449" t="str">
        <f>IF(OR(E53&gt;=0.2,E53&lt;=-0.2),"超过20%","")</f>
        <v/>
      </c>
      <c r="G53" s="448">
        <f>IF(G48&lt;I48,I48/G48-1,G48/I48-1)</f>
        <v>4.1818243633766627E-3</v>
      </c>
      <c r="H53" s="449" t="str">
        <f>IF(OR(G53&gt;=0.2,G53&lt;=-0.2),"超过20%","")</f>
        <v/>
      </c>
      <c r="I53" s="448">
        <f>IF(I48&lt;E48,E48/I48-1,I48/E48-1)</f>
        <v>4.9885536611200543E-3</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0.11222927861911747</v>
      </c>
      <c r="F54" s="449" t="str">
        <f>IF(OR(E54&gt;=0.3,E54&lt;=-0.3),"超过30%","")</f>
        <v/>
      </c>
      <c r="G54" s="448">
        <f>IF(G47&lt;I47,I47/G47-1,G47/I47-1)</f>
        <v>2.6168036895929392E-2</v>
      </c>
      <c r="H54" s="449" t="str">
        <f>IF(OR(G54&gt;=0.3,G54&lt;=-0.3),"超过30%","")</f>
        <v/>
      </c>
      <c r="I54" s="448">
        <f>IF(I47&lt;E47,E47/I47-1,I47/E47-1)</f>
        <v>0.14133413541875539</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2023-12</v>
      </c>
      <c r="D58" s="1185">
        <f>EDATE(C58,-1)</f>
        <v>45231</v>
      </c>
      <c r="E58" s="1185">
        <f t="shared" ref="E58:N58" si="16">EDATE(D58,-1)</f>
        <v>45200</v>
      </c>
      <c r="F58" s="1185">
        <f t="shared" si="16"/>
        <v>45170</v>
      </c>
      <c r="G58" s="1185">
        <f t="shared" si="16"/>
        <v>45139</v>
      </c>
      <c r="H58" s="1185">
        <f t="shared" si="16"/>
        <v>45108</v>
      </c>
      <c r="I58" s="1185">
        <f t="shared" si="16"/>
        <v>45078</v>
      </c>
      <c r="J58" s="1185">
        <f t="shared" si="16"/>
        <v>45047</v>
      </c>
      <c r="K58" s="1185">
        <f t="shared" si="16"/>
        <v>45017</v>
      </c>
      <c r="L58" s="1185">
        <f t="shared" si="16"/>
        <v>44986</v>
      </c>
      <c r="M58" s="1185">
        <f t="shared" si="16"/>
        <v>44958</v>
      </c>
      <c r="N58" s="1185">
        <f t="shared" si="16"/>
        <v>44927</v>
      </c>
      <c r="O58" s="1185">
        <f>EDATE(N58,-1)</f>
        <v>44896</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1"/>
      <c r="S60" s="2661"/>
      <c r="T60" s="2661"/>
      <c r="U60" s="2661"/>
      <c r="V60" s="2661"/>
      <c r="W60" s="2661"/>
      <c r="X60" s="2661"/>
      <c r="Y60" s="2661"/>
      <c r="Z60" s="2661"/>
      <c r="AA60" s="2661"/>
      <c r="AB60" s="2661"/>
      <c r="AC60" s="2661"/>
    </row>
    <row r="61" spans="1:29" s="108" customFormat="1" ht="15">
      <c r="A61" s="470" t="s">
        <v>1681</v>
      </c>
      <c r="B61" s="459"/>
      <c r="C61" s="471" t="s">
        <v>1776</v>
      </c>
      <c r="D61" s="3448" t="s">
        <v>3410</v>
      </c>
      <c r="E61" s="472"/>
      <c r="F61" s="472"/>
      <c r="G61" s="472"/>
      <c r="H61" s="472"/>
      <c r="I61" s="472"/>
      <c r="J61" s="472"/>
      <c r="K61" s="472"/>
      <c r="L61" s="473"/>
      <c r="M61" s="474"/>
      <c r="N61" s="2751"/>
      <c r="O61" s="2751"/>
      <c r="P61" s="2742"/>
      <c r="Q61" s="2738"/>
      <c r="R61" s="2661"/>
      <c r="S61" s="2661"/>
      <c r="T61" s="2661"/>
      <c r="U61" s="2661"/>
      <c r="V61" s="2661"/>
      <c r="W61" s="2661"/>
      <c r="X61" s="2661"/>
      <c r="Y61" s="2661"/>
      <c r="Z61" s="2661"/>
      <c r="AA61" s="2661"/>
      <c r="AB61" s="2661"/>
      <c r="AC61" s="2661"/>
    </row>
    <row r="62" spans="1:29" s="108" customFormat="1" ht="15.75" thickBot="1">
      <c r="A62" s="470"/>
      <c r="B62" s="459"/>
      <c r="C62" s="460">
        <v>100</v>
      </c>
      <c r="D62" s="461">
        <v>102</v>
      </c>
      <c r="E62" s="461"/>
      <c r="F62" s="461"/>
      <c r="G62" s="461"/>
      <c r="H62" s="461"/>
      <c r="I62" s="461"/>
      <c r="J62" s="461"/>
      <c r="K62" s="461"/>
      <c r="L62" s="461"/>
      <c r="M62" s="463"/>
      <c r="N62" s="2751"/>
      <c r="O62" s="2751"/>
      <c r="P62" s="2741"/>
      <c r="Q62" s="2738"/>
      <c r="R62" s="2661"/>
      <c r="S62" s="2661"/>
      <c r="T62" s="2661"/>
      <c r="U62" s="2661"/>
      <c r="V62" s="2661"/>
      <c r="W62" s="2661"/>
      <c r="X62" s="2661"/>
      <c r="Y62" s="2661"/>
      <c r="Z62" s="2661"/>
      <c r="AA62" s="2661"/>
      <c r="AB62" s="2661"/>
      <c r="AC62" s="2661"/>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97</v>
      </c>
      <c r="E77" s="493">
        <f>D77-$K15</f>
        <v>94</v>
      </c>
      <c r="F77" s="493">
        <f>E77-$K15</f>
        <v>91</v>
      </c>
      <c r="G77" s="493">
        <f>F77-$K15</f>
        <v>88</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98</v>
      </c>
      <c r="E79" s="493">
        <f>D79-$K17</f>
        <v>96</v>
      </c>
      <c r="F79" s="493">
        <f>E79-$K17</f>
        <v>94</v>
      </c>
      <c r="G79" s="493">
        <f>F79-$K17</f>
        <v>92</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98</v>
      </c>
      <c r="E81" s="493">
        <f>D81-$K19</f>
        <v>96</v>
      </c>
      <c r="F81" s="493">
        <f>E81-$K19</f>
        <v>94</v>
      </c>
      <c r="G81" s="493">
        <f>F81-$K19</f>
        <v>92</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98</v>
      </c>
      <c r="E85" s="493">
        <f>D85-$K23</f>
        <v>96</v>
      </c>
      <c r="F85" s="493">
        <f>E85-$K23</f>
        <v>94</v>
      </c>
      <c r="G85" s="493">
        <f>F85-$K23</f>
        <v>92</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53"/>
      <c r="O87" s="2753"/>
      <c r="P87" s="2743"/>
      <c r="Q87" s="2738"/>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3"/>
      <c r="O89" s="2753"/>
      <c r="P89" s="2743"/>
      <c r="Q89" s="2738"/>
      <c r="R89" s="2661"/>
      <c r="S89" s="2661"/>
      <c r="T89" s="2661"/>
      <c r="U89" s="2661"/>
      <c r="V89" s="2661"/>
      <c r="W89" s="2661"/>
      <c r="X89" s="2661"/>
      <c r="Y89" s="2661"/>
      <c r="Z89" s="2661"/>
      <c r="AA89" s="2661"/>
      <c r="AB89" s="2661"/>
      <c r="AC89" s="2661"/>
    </row>
    <row r="90" spans="1:29" s="422" customFormat="1" ht="15.75" thickTop="1">
      <c r="A90" s="502"/>
      <c r="B90" s="487" t="str">
        <f>B27</f>
        <v>人流量</v>
      </c>
      <c r="C90" s="3450" t="s">
        <v>3416</v>
      </c>
      <c r="D90" s="3450" t="s">
        <v>3418</v>
      </c>
      <c r="E90" s="3450" t="s">
        <v>3419</v>
      </c>
      <c r="F90" s="3450" t="s">
        <v>3420</v>
      </c>
      <c r="G90" s="3450" t="s">
        <v>3421</v>
      </c>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97</v>
      </c>
      <c r="E91" s="493">
        <f t="shared" ref="E91:M91" si="21">D91-$K27</f>
        <v>94</v>
      </c>
      <c r="F91" s="493">
        <f t="shared" si="21"/>
        <v>91</v>
      </c>
      <c r="G91" s="493">
        <f t="shared" si="21"/>
        <v>88</v>
      </c>
      <c r="H91" s="493">
        <f t="shared" si="21"/>
        <v>85</v>
      </c>
      <c r="I91" s="493">
        <f t="shared" si="21"/>
        <v>82</v>
      </c>
      <c r="J91" s="493">
        <f t="shared" si="21"/>
        <v>79</v>
      </c>
      <c r="K91" s="493">
        <f t="shared" si="21"/>
        <v>76</v>
      </c>
      <c r="L91" s="493">
        <f t="shared" si="21"/>
        <v>73</v>
      </c>
      <c r="M91" s="493">
        <f t="shared" si="21"/>
        <v>70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t="s">
        <v>3422</v>
      </c>
      <c r="D92" s="503" t="s">
        <v>3423</v>
      </c>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v>100</v>
      </c>
      <c r="D93" s="485">
        <v>85</v>
      </c>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51" t="s">
        <v>3424</v>
      </c>
      <c r="D100" s="3451" t="s">
        <v>3443</v>
      </c>
      <c r="E100" s="3451" t="s">
        <v>3425</v>
      </c>
      <c r="F100" s="3451" t="s">
        <v>3426</v>
      </c>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99</v>
      </c>
      <c r="E101" s="493">
        <f t="shared" si="22"/>
        <v>98</v>
      </c>
      <c r="F101" s="493">
        <f t="shared" si="22"/>
        <v>97</v>
      </c>
      <c r="G101" s="493">
        <f t="shared" si="22"/>
        <v>96</v>
      </c>
      <c r="H101" s="493">
        <f t="shared" si="22"/>
        <v>95</v>
      </c>
      <c r="I101" s="493">
        <f t="shared" si="22"/>
        <v>94</v>
      </c>
      <c r="J101" s="493">
        <f t="shared" si="22"/>
        <v>93</v>
      </c>
      <c r="K101" s="493">
        <f t="shared" si="22"/>
        <v>92</v>
      </c>
      <c r="L101" s="493">
        <f t="shared" si="22"/>
        <v>91</v>
      </c>
      <c r="M101" s="494">
        <f t="shared" si="22"/>
        <v>90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0(含)-100</v>
      </c>
      <c r="D102" s="527" t="str">
        <f t="shared" ref="D102:L102" si="23">D103&amp;"(含)"&amp;"-"&amp;E103</f>
        <v>100(含)-200</v>
      </c>
      <c r="E102" s="527" t="str">
        <f t="shared" si="23"/>
        <v>200(含)-400</v>
      </c>
      <c r="F102" s="527" t="str">
        <f t="shared" si="23"/>
        <v>400(含)-800</v>
      </c>
      <c r="G102" s="527" t="str">
        <f t="shared" si="23"/>
        <v>800(含)-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100</v>
      </c>
      <c r="E103" s="544">
        <v>200</v>
      </c>
      <c r="F103" s="544">
        <v>400</v>
      </c>
      <c r="G103" s="544">
        <v>800</v>
      </c>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f>C104-2</f>
        <v>98</v>
      </c>
      <c r="E104" s="485">
        <f t="shared" ref="E104:G104" si="24">D104-2</f>
        <v>96</v>
      </c>
      <c r="F104" s="485">
        <f t="shared" si="24"/>
        <v>94</v>
      </c>
      <c r="G104" s="485">
        <f t="shared" si="24"/>
        <v>92</v>
      </c>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50" t="s">
        <v>3412</v>
      </c>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3450" t="s">
        <v>3414</v>
      </c>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102</v>
      </c>
      <c r="E111" s="493">
        <f t="shared" ref="E111:M111" si="27">D111+$K36</f>
        <v>104</v>
      </c>
      <c r="F111" s="493">
        <f t="shared" si="27"/>
        <v>106</v>
      </c>
      <c r="G111" s="493">
        <f t="shared" si="27"/>
        <v>108</v>
      </c>
      <c r="H111" s="493">
        <f t="shared" si="27"/>
        <v>110</v>
      </c>
      <c r="I111" s="493">
        <f t="shared" si="27"/>
        <v>112</v>
      </c>
      <c r="J111" s="493">
        <f t="shared" si="27"/>
        <v>114</v>
      </c>
      <c r="K111" s="493">
        <f t="shared" si="27"/>
        <v>116</v>
      </c>
      <c r="L111" s="493">
        <f t="shared" si="27"/>
        <v>118</v>
      </c>
      <c r="M111" s="493">
        <f t="shared" si="27"/>
        <v>120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50" t="s">
        <v>3430</v>
      </c>
      <c r="D114" s="3450" t="s">
        <v>3431</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9">C115-$K38</f>
        <v>90</v>
      </c>
      <c r="E115" s="493">
        <f t="shared" si="29"/>
        <v>80</v>
      </c>
      <c r="F115" s="493">
        <f t="shared" si="29"/>
        <v>70</v>
      </c>
      <c r="G115" s="493">
        <f t="shared" si="29"/>
        <v>60</v>
      </c>
      <c r="H115" s="493">
        <f t="shared" si="29"/>
        <v>50</v>
      </c>
      <c r="I115" s="493">
        <f t="shared" si="29"/>
        <v>40</v>
      </c>
      <c r="J115" s="493">
        <f t="shared" si="29"/>
        <v>30</v>
      </c>
      <c r="K115" s="493">
        <f t="shared" si="29"/>
        <v>20</v>
      </c>
      <c r="L115" s="493">
        <f t="shared" si="29"/>
        <v>10</v>
      </c>
      <c r="M115" s="494">
        <f t="shared" si="29"/>
        <v>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3450" t="s">
        <v>3432</v>
      </c>
      <c r="D116" s="3450" t="s">
        <v>3434</v>
      </c>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90</v>
      </c>
      <c r="E117" s="493">
        <f>D117-$K39</f>
        <v>80</v>
      </c>
      <c r="F117" s="493">
        <f>E117-$K39</f>
        <v>70</v>
      </c>
      <c r="G117" s="493">
        <f>F117-$K39</f>
        <v>60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50" t="s">
        <v>3435</v>
      </c>
      <c r="D122" s="3450" t="s">
        <v>3437</v>
      </c>
      <c r="E122" s="3450" t="s">
        <v>3439</v>
      </c>
      <c r="F122" s="3452" t="s">
        <v>3440</v>
      </c>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80" priority="21" stopIfTrue="1" operator="containsText" text="超过">
      <formula>NOT(ISERROR(SEARCH("超过",F52)))</formula>
    </cfRule>
  </conditionalFormatting>
  <conditionalFormatting sqref="H54">
    <cfRule type="containsText" dxfId="179" priority="19" stopIfTrue="1" operator="containsText" text="超过">
      <formula>NOT(ISERROR(SEARCH("超过",H54)))</formula>
    </cfRule>
  </conditionalFormatting>
  <conditionalFormatting sqref="F54">
    <cfRule type="containsText" dxfId="178" priority="18" stopIfTrue="1" operator="containsText" text="超过">
      <formula>NOT(ISERROR(SEARCH("超过",F54)))</formula>
    </cfRule>
  </conditionalFormatting>
  <conditionalFormatting sqref="F53 H53">
    <cfRule type="containsText" dxfId="177" priority="17" stopIfTrue="1" operator="containsText" text="超过">
      <formula>NOT(ISERROR(SEARCH("超过",F53)))</formula>
    </cfRule>
  </conditionalFormatting>
  <conditionalFormatting sqref="E52">
    <cfRule type="expression" dxfId="176" priority="16" stopIfTrue="1">
      <formula>$F$52="超过30%"</formula>
    </cfRule>
  </conditionalFormatting>
  <conditionalFormatting sqref="E53">
    <cfRule type="expression" dxfId="175" priority="15" stopIfTrue="1">
      <formula>$F$53="超过20%"</formula>
    </cfRule>
  </conditionalFormatting>
  <conditionalFormatting sqref="E54">
    <cfRule type="expression" dxfId="174" priority="14" stopIfTrue="1">
      <formula>$F$54="超过30%"</formula>
    </cfRule>
  </conditionalFormatting>
  <conditionalFormatting sqref="G54">
    <cfRule type="expression" dxfId="173" priority="13" stopIfTrue="1">
      <formula>$H$54="超过30%"</formula>
    </cfRule>
  </conditionalFormatting>
  <conditionalFormatting sqref="G52">
    <cfRule type="expression" dxfId="172" priority="12" stopIfTrue="1">
      <formula>$H$52="超过30%"</formula>
    </cfRule>
  </conditionalFormatting>
  <conditionalFormatting sqref="G53">
    <cfRule type="expression" dxfId="171" priority="11" stopIfTrue="1">
      <formula>$H$53="超过20%"</formula>
    </cfRule>
  </conditionalFormatting>
  <conditionalFormatting sqref="J52">
    <cfRule type="containsText" dxfId="170" priority="10" stopIfTrue="1" operator="containsText" text="超过">
      <formula>NOT(ISERROR(SEARCH("超过",J52)))</formula>
    </cfRule>
  </conditionalFormatting>
  <conditionalFormatting sqref="J54">
    <cfRule type="containsText" dxfId="169" priority="9" stopIfTrue="1" operator="containsText" text="超过">
      <formula>NOT(ISERROR(SEARCH("超过",J54)))</formula>
    </cfRule>
  </conditionalFormatting>
  <conditionalFormatting sqref="J53">
    <cfRule type="containsText" dxfId="168" priority="8" stopIfTrue="1" operator="containsText" text="超过">
      <formula>NOT(ISERROR(SEARCH("超过",J53)))</formula>
    </cfRule>
  </conditionalFormatting>
  <conditionalFormatting sqref="I52">
    <cfRule type="expression" dxfId="167" priority="7" stopIfTrue="1">
      <formula>$J$52="超过30%"</formula>
    </cfRule>
  </conditionalFormatting>
  <conditionalFormatting sqref="I53">
    <cfRule type="expression" dxfId="166" priority="6" stopIfTrue="1">
      <formula>$J$53="超过20%"</formula>
    </cfRule>
  </conditionalFormatting>
  <conditionalFormatting sqref="I54">
    <cfRule type="expression" dxfId="165" priority="5" stopIfTrue="1">
      <formula>$J$54="超过30%"</formula>
    </cfRule>
  </conditionalFormatting>
  <conditionalFormatting sqref="F48">
    <cfRule type="expression" dxfId="164" priority="4">
      <formula>$D$48="简单平均"</formula>
    </cfRule>
  </conditionalFormatting>
  <conditionalFormatting sqref="H48">
    <cfRule type="expression" dxfId="163" priority="3">
      <formula>$D$48="简单平均"</formula>
    </cfRule>
  </conditionalFormatting>
  <conditionalFormatting sqref="J48">
    <cfRule type="expression" dxfId="162" priority="2">
      <formula>$D$48="简单平均"</formula>
    </cfRule>
  </conditionalFormatting>
  <conditionalFormatting sqref="F7:F46 H7:H46 J7:J46">
    <cfRule type="cellIs" dxfId="16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62" sqref="R62"/>
    </sheetView>
  </sheetViews>
  <sheetFormatPr defaultRowHeight="13.5"/>
  <sheetData/>
  <phoneticPr fontId="135" type="noConversion"/>
  <pageMargins left="0.7" right="0.7" top="0.75" bottom="0.75" header="0.3" footer="0.3"/>
  <pageSetup paperSize="9" orientation="portrait" verticalDpi="0" r:id="rId1"/>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C1" zoomScale="85" zoomScaleNormal="70" zoomScaleSheetLayoutView="85" workbookViewId="0">
      <selection activeCell="C35" sqref="C3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3451</v>
      </c>
      <c r="E1" s="3425" t="s">
        <v>3406</v>
      </c>
      <c r="F1" s="1879" t="s">
        <v>3453</v>
      </c>
      <c r="G1" s="1235" t="s">
        <v>1663</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685</v>
      </c>
      <c r="B2" s="1164">
        <f>IF(E1="项目模式",IF(C2="——",ROUND(C49*D3/10000,0),ROUND(C49*D3/10000,0)-D2),IF(E1="单套模式",IF(C2="——",ROUND(C49*D3/10000,4),ROUND(C49*D3/10000,4)-D2)))</f>
        <v>0</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686</v>
      </c>
      <c r="B3" s="558">
        <f>IF(C2="——",C49,ROUND(B2*10000/D3,0))</f>
        <v>3.9</v>
      </c>
      <c r="C3" s="354" t="s">
        <v>1665</v>
      </c>
      <c r="D3" s="353">
        <f>IF(D1="",'数据-汇总表'!E3,SUMIF('数据-汇总表'!$C19:$C33,D1,'数据-汇总表'!$E19:$E33))</f>
        <v>0</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1666</v>
      </c>
      <c r="B4" s="356"/>
      <c r="C4" s="3697" t="s">
        <v>1667</v>
      </c>
      <c r="D4" s="3698"/>
      <c r="E4" s="3699" t="s">
        <v>1668</v>
      </c>
      <c r="F4" s="3700"/>
      <c r="G4" s="3697" t="s">
        <v>1669</v>
      </c>
      <c r="H4" s="3698"/>
      <c r="I4" s="3697" t="s">
        <v>1670</v>
      </c>
      <c r="J4" s="3698"/>
      <c r="K4" s="559" t="s">
        <v>1671</v>
      </c>
      <c r="L4" s="2714"/>
      <c r="M4" s="2715"/>
      <c r="N4" s="2715"/>
      <c r="O4" s="2715"/>
      <c r="P4" s="3701" t="s">
        <v>1672</v>
      </c>
      <c r="Q4" s="3702"/>
      <c r="R4" s="3707" t="s">
        <v>1668</v>
      </c>
      <c r="S4" s="3708"/>
      <c r="T4" s="3707" t="s">
        <v>1669</v>
      </c>
      <c r="U4" s="3708"/>
      <c r="V4" s="3692" t="s">
        <v>1670</v>
      </c>
      <c r="W4" s="3692"/>
      <c r="X4" s="3456"/>
      <c r="Y4" s="3707" t="s">
        <v>1672</v>
      </c>
      <c r="Z4" s="3708"/>
      <c r="AA4" s="3694" t="s">
        <v>1668</v>
      </c>
      <c r="AB4" s="3692" t="s">
        <v>1669</v>
      </c>
      <c r="AC4" s="3694" t="s">
        <v>1670</v>
      </c>
    </row>
    <row r="5" spans="1:29" ht="15">
      <c r="A5" s="358"/>
      <c r="B5" s="359"/>
      <c r="C5" s="3720" t="s">
        <v>1673</v>
      </c>
      <c r="D5" s="3716"/>
      <c r="E5" s="3723" t="s">
        <v>3452</v>
      </c>
      <c r="F5" s="3724"/>
      <c r="G5" s="3715" t="s">
        <v>3456</v>
      </c>
      <c r="H5" s="3716"/>
      <c r="I5" s="3715" t="s">
        <v>3454</v>
      </c>
      <c r="J5" s="3716"/>
      <c r="K5" s="559"/>
      <c r="L5" s="2714"/>
      <c r="M5" s="2715"/>
      <c r="N5" s="2715"/>
      <c r="O5" s="2715"/>
      <c r="P5" s="3703"/>
      <c r="Q5" s="3704"/>
      <c r="R5" s="3709"/>
      <c r="S5" s="3710"/>
      <c r="T5" s="3709"/>
      <c r="U5" s="3710"/>
      <c r="V5" s="3692"/>
      <c r="W5" s="3692"/>
      <c r="X5" s="3456"/>
      <c r="Y5" s="3709"/>
      <c r="Z5" s="3710"/>
      <c r="AA5" s="3695"/>
      <c r="AB5" s="3692"/>
      <c r="AC5" s="3695"/>
    </row>
    <row r="6" spans="1:29" ht="15.75" thickBot="1">
      <c r="A6" s="360"/>
      <c r="B6" s="361"/>
      <c r="C6" s="3713" t="s">
        <v>1677</v>
      </c>
      <c r="D6" s="3714"/>
      <c r="E6" s="3721" t="s">
        <v>1677</v>
      </c>
      <c r="F6" s="3722"/>
      <c r="G6" s="3713" t="s">
        <v>1677</v>
      </c>
      <c r="H6" s="3714"/>
      <c r="I6" s="3713" t="s">
        <v>1677</v>
      </c>
      <c r="J6" s="3714"/>
      <c r="K6" s="559" t="s">
        <v>1678</v>
      </c>
      <c r="L6" s="2714"/>
      <c r="M6" s="2715"/>
      <c r="N6" s="2715"/>
      <c r="O6" s="2715"/>
      <c r="P6" s="3705"/>
      <c r="Q6" s="3706"/>
      <c r="R6" s="3709"/>
      <c r="S6" s="3710"/>
      <c r="T6" s="3711"/>
      <c r="U6" s="3712"/>
      <c r="V6" s="3692"/>
      <c r="W6" s="3692"/>
      <c r="X6" s="3456"/>
      <c r="Y6" s="3711"/>
      <c r="Z6" s="3712"/>
      <c r="AA6" s="3696"/>
      <c r="AB6" s="3692"/>
      <c r="AC6" s="3696"/>
    </row>
    <row r="7" spans="1:29" s="108" customFormat="1" ht="15.75" thickBot="1">
      <c r="A7" s="362" t="s">
        <v>1679</v>
      </c>
      <c r="B7" s="363"/>
      <c r="C7" s="364">
        <f>'数据-取费表'!B2</f>
        <v>45279</v>
      </c>
      <c r="D7" s="365">
        <v>100</v>
      </c>
      <c r="E7" s="366">
        <f>C7</f>
        <v>45279</v>
      </c>
      <c r="F7" s="367">
        <f>SUMIF(58:58,YEAR(E7)&amp;"-"&amp;MONTH(E7),59:59)</f>
        <v>100</v>
      </c>
      <c r="G7" s="366">
        <f>C7</f>
        <v>45279</v>
      </c>
      <c r="H7" s="365">
        <f>SUMIF(58:58,YEAR(G7)&amp;"-"&amp;MONTH(G7),59:59)</f>
        <v>100</v>
      </c>
      <c r="I7" s="366">
        <f>C7</f>
        <v>45279</v>
      </c>
      <c r="J7" s="365">
        <f>SUMIF(58:58,YEAR(I7)&amp;"-"&amp;MONTH(I7),59:59)</f>
        <v>100</v>
      </c>
      <c r="K7" s="560"/>
      <c r="L7" s="2716"/>
      <c r="M7" s="2717"/>
      <c r="N7" s="2717"/>
      <c r="O7" s="2717"/>
      <c r="P7" s="3717" t="s">
        <v>1680</v>
      </c>
      <c r="Q7" s="3719"/>
      <c r="R7" s="701" t="s">
        <v>14</v>
      </c>
      <c r="S7" s="702">
        <f t="shared" ref="S7:S15" si="0">F7</f>
        <v>100</v>
      </c>
      <c r="T7" s="701" t="s">
        <v>14</v>
      </c>
      <c r="U7" s="702">
        <f t="shared" ref="U7:U15" si="1">H7</f>
        <v>100</v>
      </c>
      <c r="V7" s="701" t="s">
        <v>14</v>
      </c>
      <c r="W7" s="702">
        <f t="shared" ref="W7:W15" si="2">J7</f>
        <v>100</v>
      </c>
      <c r="X7" s="703"/>
      <c r="Y7" s="3717" t="s">
        <v>1680</v>
      </c>
      <c r="Z7" s="3718"/>
      <c r="AA7" s="704">
        <f>D7/F7</f>
        <v>1</v>
      </c>
      <c r="AB7" s="704">
        <f>D7/H7</f>
        <v>1</v>
      </c>
      <c r="AC7" s="704">
        <f>D7/J7</f>
        <v>1</v>
      </c>
    </row>
    <row r="8" spans="1:29" s="108" customFormat="1" ht="15.75" thickBot="1">
      <c r="A8" s="362" t="s">
        <v>1681</v>
      </c>
      <c r="B8" s="363"/>
      <c r="C8" s="368" t="s">
        <v>3408</v>
      </c>
      <c r="D8" s="365">
        <v>100</v>
      </c>
      <c r="E8" s="368" t="s">
        <v>3409</v>
      </c>
      <c r="F8" s="367">
        <f>SUMIF(61:61,E8,62:62)-SUMIF(61:61,C8,62:62)+100</f>
        <v>102</v>
      </c>
      <c r="G8" s="368" t="s">
        <v>3409</v>
      </c>
      <c r="H8" s="365">
        <f>SUMIF(61:61,G8,62:62)-SUMIF(61:61,C8,62:62)+100</f>
        <v>102</v>
      </c>
      <c r="I8" s="368" t="s">
        <v>3409</v>
      </c>
      <c r="J8" s="365">
        <f>SUMIF(61:61,I8,62:62)-SUMIF(61:61,C8,62:62)+100</f>
        <v>102</v>
      </c>
      <c r="K8" s="560"/>
      <c r="L8" s="2716"/>
      <c r="M8" s="2717"/>
      <c r="N8" s="2717"/>
      <c r="O8" s="2717"/>
      <c r="P8" s="3717" t="s">
        <v>1683</v>
      </c>
      <c r="Q8" s="3718"/>
      <c r="R8" s="701" t="s">
        <v>14</v>
      </c>
      <c r="S8" s="702">
        <f t="shared" si="0"/>
        <v>102</v>
      </c>
      <c r="T8" s="701" t="s">
        <v>14</v>
      </c>
      <c r="U8" s="702">
        <f t="shared" si="1"/>
        <v>102</v>
      </c>
      <c r="V8" s="701" t="s">
        <v>14</v>
      </c>
      <c r="W8" s="702">
        <f t="shared" si="2"/>
        <v>102</v>
      </c>
      <c r="X8" s="703"/>
      <c r="Y8" s="3717" t="s">
        <v>1683</v>
      </c>
      <c r="Z8" s="3718"/>
      <c r="AA8" s="704">
        <f t="shared" ref="AA8:AA46" si="3">D8/F8</f>
        <v>0.98039215686274506</v>
      </c>
      <c r="AB8" s="704">
        <f t="shared" ref="AB8:AB46" si="4">D8/H8</f>
        <v>0.98039215686274506</v>
      </c>
      <c r="AC8" s="704">
        <f t="shared" ref="AC8:AC46" si="5">D8/J8</f>
        <v>0.98039215686274506</v>
      </c>
    </row>
    <row r="9" spans="1:29" s="108" customFormat="1">
      <c r="A9" s="369" t="s">
        <v>1684</v>
      </c>
      <c r="B9" s="63" t="s">
        <v>1685</v>
      </c>
      <c r="C9" s="3449" t="s">
        <v>3411</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693" t="s">
        <v>1686</v>
      </c>
      <c r="Q9" s="3455" t="str">
        <f t="shared" ref="Q9:Q15" si="6">B9</f>
        <v>用途</v>
      </c>
      <c r="R9" s="701" t="s">
        <v>14</v>
      </c>
      <c r="S9" s="702">
        <f t="shared" si="0"/>
        <v>100</v>
      </c>
      <c r="T9" s="701" t="s">
        <v>14</v>
      </c>
      <c r="U9" s="702">
        <f t="shared" si="1"/>
        <v>100</v>
      </c>
      <c r="V9" s="701" t="s">
        <v>14</v>
      </c>
      <c r="W9" s="702">
        <f t="shared" si="2"/>
        <v>100</v>
      </c>
      <c r="X9" s="703"/>
      <c r="Y9" s="3563" t="s">
        <v>1687</v>
      </c>
      <c r="Z9" s="3454" t="str">
        <f t="shared" ref="Z9:Z15" si="7">Q9</f>
        <v>用途</v>
      </c>
      <c r="AA9" s="704">
        <f t="shared" si="3"/>
        <v>1</v>
      </c>
      <c r="AB9" s="704">
        <f t="shared" si="4"/>
        <v>1</v>
      </c>
      <c r="AC9" s="704">
        <f t="shared" si="5"/>
        <v>1</v>
      </c>
    </row>
    <row r="10" spans="1:29" s="378" customFormat="1" ht="27">
      <c r="A10" s="374"/>
      <c r="B10" s="375" t="s">
        <v>1688</v>
      </c>
      <c r="C10" s="3433" t="s">
        <v>3415</v>
      </c>
      <c r="D10" s="127">
        <v>100</v>
      </c>
      <c r="E10" s="3433" t="s">
        <v>3415</v>
      </c>
      <c r="F10" s="376">
        <f>SUMIF(65:65,E10,66:66)-SUMIF(65:65,C10,66:66)+100</f>
        <v>100</v>
      </c>
      <c r="G10" s="3433" t="s">
        <v>3415</v>
      </c>
      <c r="H10" s="127">
        <f>SUMIF(65:65,G10,66:66)-SUMIF(65:65,C10,66:66)+100</f>
        <v>100</v>
      </c>
      <c r="I10" s="3433" t="s">
        <v>3415</v>
      </c>
      <c r="J10" s="127">
        <f>SUMIF(65:65,I10,66:66)-SUMIF(65:65,C10,66:66)+100</f>
        <v>100</v>
      </c>
      <c r="K10" s="560"/>
      <c r="L10" s="2718"/>
      <c r="M10" s="2719"/>
      <c r="N10" s="2719"/>
      <c r="O10" s="2719"/>
      <c r="P10" s="3693"/>
      <c r="Q10" s="3455" t="str">
        <f t="shared" si="6"/>
        <v>土地使用年限（年）</v>
      </c>
      <c r="R10" s="701" t="s">
        <v>14</v>
      </c>
      <c r="S10" s="702">
        <f t="shared" si="0"/>
        <v>100</v>
      </c>
      <c r="T10" s="701" t="s">
        <v>14</v>
      </c>
      <c r="U10" s="702">
        <f t="shared" si="1"/>
        <v>100</v>
      </c>
      <c r="V10" s="701" t="s">
        <v>14</v>
      </c>
      <c r="W10" s="702">
        <f t="shared" si="2"/>
        <v>100</v>
      </c>
      <c r="X10" s="703"/>
      <c r="Y10" s="3563"/>
      <c r="Z10" s="3454"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93"/>
      <c r="Q11" s="3455" t="str">
        <f t="shared" si="6"/>
        <v>容积率</v>
      </c>
      <c r="R11" s="701" t="s">
        <v>14</v>
      </c>
      <c r="S11" s="702">
        <f t="shared" si="0"/>
        <v>100</v>
      </c>
      <c r="T11" s="701" t="s">
        <v>14</v>
      </c>
      <c r="U11" s="702">
        <f t="shared" si="1"/>
        <v>100</v>
      </c>
      <c r="V11" s="701" t="s">
        <v>14</v>
      </c>
      <c r="W11" s="702">
        <f t="shared" si="2"/>
        <v>100</v>
      </c>
      <c r="X11" s="703"/>
      <c r="Y11" s="3563"/>
      <c r="Z11" s="3454"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93"/>
      <c r="Q12" s="3455">
        <f t="shared" si="6"/>
        <v>111</v>
      </c>
      <c r="R12" s="701" t="s">
        <v>14</v>
      </c>
      <c r="S12" s="702">
        <f t="shared" si="0"/>
        <v>100</v>
      </c>
      <c r="T12" s="701" t="s">
        <v>14</v>
      </c>
      <c r="U12" s="702">
        <f t="shared" si="1"/>
        <v>100</v>
      </c>
      <c r="V12" s="701" t="s">
        <v>14</v>
      </c>
      <c r="W12" s="702">
        <f t="shared" si="2"/>
        <v>100</v>
      </c>
      <c r="X12" s="703"/>
      <c r="Y12" s="3563"/>
      <c r="Z12" s="3454">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93"/>
      <c r="Q13" s="3455">
        <f t="shared" si="6"/>
        <v>111</v>
      </c>
      <c r="R13" s="701" t="s">
        <v>14</v>
      </c>
      <c r="S13" s="702">
        <f t="shared" si="0"/>
        <v>100</v>
      </c>
      <c r="T13" s="701" t="s">
        <v>14</v>
      </c>
      <c r="U13" s="702">
        <f t="shared" si="1"/>
        <v>100</v>
      </c>
      <c r="V13" s="701" t="s">
        <v>14</v>
      </c>
      <c r="W13" s="702">
        <f t="shared" si="2"/>
        <v>100</v>
      </c>
      <c r="X13" s="703"/>
      <c r="Y13" s="3563"/>
      <c r="Z13" s="3454">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93"/>
      <c r="Q14" s="3455">
        <f t="shared" si="6"/>
        <v>111</v>
      </c>
      <c r="R14" s="701" t="s">
        <v>14</v>
      </c>
      <c r="S14" s="702">
        <f t="shared" si="0"/>
        <v>100</v>
      </c>
      <c r="T14" s="701" t="s">
        <v>14</v>
      </c>
      <c r="U14" s="702">
        <f t="shared" si="1"/>
        <v>100</v>
      </c>
      <c r="V14" s="701" t="s">
        <v>14</v>
      </c>
      <c r="W14" s="702">
        <f t="shared" si="2"/>
        <v>100</v>
      </c>
      <c r="X14" s="703"/>
      <c r="Y14" s="3563"/>
      <c r="Z14" s="3454">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97</v>
      </c>
      <c r="I15" s="393"/>
      <c r="J15" s="392">
        <f>SUMIF(76:76,I16,77:77)-SUMIF(76:76,C16,77:77)+100</f>
        <v>100</v>
      </c>
      <c r="K15" s="563">
        <v>3</v>
      </c>
      <c r="L15" s="2721"/>
      <c r="M15" s="2715"/>
      <c r="N15" s="2715"/>
      <c r="O15" s="2715"/>
      <c r="P15" s="3683" t="s">
        <v>1691</v>
      </c>
      <c r="Q15" s="3458" t="str">
        <f t="shared" si="6"/>
        <v>商业繁华度</v>
      </c>
      <c r="R15" s="705" t="s">
        <v>14</v>
      </c>
      <c r="S15" s="706">
        <f t="shared" si="0"/>
        <v>100</v>
      </c>
      <c r="T15" s="705" t="s">
        <v>14</v>
      </c>
      <c r="U15" s="706">
        <f t="shared" si="1"/>
        <v>97</v>
      </c>
      <c r="V15" s="705" t="s">
        <v>14</v>
      </c>
      <c r="W15" s="706">
        <f t="shared" si="2"/>
        <v>100</v>
      </c>
      <c r="X15" s="3456"/>
      <c r="Y15" s="3685" t="s">
        <v>1691</v>
      </c>
      <c r="Z15" s="3457" t="str">
        <f t="shared" si="7"/>
        <v>商业繁华度</v>
      </c>
      <c r="AA15" s="3459">
        <f t="shared" si="3"/>
        <v>1</v>
      </c>
      <c r="AB15" s="3459">
        <f t="shared" si="4"/>
        <v>1.0309278350515463</v>
      </c>
      <c r="AC15" s="3459">
        <f t="shared" si="5"/>
        <v>1</v>
      </c>
    </row>
    <row r="16" spans="1:29" ht="15">
      <c r="A16" s="379"/>
      <c r="B16" s="397"/>
      <c r="C16" s="398" t="s">
        <v>3398</v>
      </c>
      <c r="D16" s="399"/>
      <c r="E16" s="398" t="s">
        <v>3398</v>
      </c>
      <c r="F16" s="400"/>
      <c r="G16" s="398" t="s">
        <v>3399</v>
      </c>
      <c r="H16" s="401"/>
      <c r="I16" s="398" t="s">
        <v>3398</v>
      </c>
      <c r="J16" s="399"/>
      <c r="K16" s="564"/>
      <c r="L16" s="2721"/>
      <c r="M16" s="2715"/>
      <c r="N16" s="2715"/>
      <c r="O16" s="2715"/>
      <c r="P16" s="3684"/>
      <c r="Q16" s="3458"/>
      <c r="R16" s="705"/>
      <c r="S16" s="706"/>
      <c r="T16" s="705"/>
      <c r="U16" s="706"/>
      <c r="V16" s="705"/>
      <c r="W16" s="706"/>
      <c r="X16" s="3456"/>
      <c r="Y16" s="3686"/>
      <c r="Z16" s="3457"/>
      <c r="AA16" s="3459">
        <v>1</v>
      </c>
      <c r="AB16" s="3459">
        <v>1</v>
      </c>
      <c r="AC16" s="3459">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1"/>
      <c r="M17" s="2715"/>
      <c r="N17" s="2715"/>
      <c r="O17" s="2715"/>
      <c r="P17" s="3684"/>
      <c r="Q17" s="3458" t="str">
        <f>B17</f>
        <v>交通便捷度</v>
      </c>
      <c r="R17" s="705" t="s">
        <v>14</v>
      </c>
      <c r="S17" s="706">
        <f>F17</f>
        <v>100</v>
      </c>
      <c r="T17" s="705" t="s">
        <v>14</v>
      </c>
      <c r="U17" s="706">
        <f>H17</f>
        <v>100</v>
      </c>
      <c r="V17" s="705" t="s">
        <v>14</v>
      </c>
      <c r="W17" s="706">
        <f>J17</f>
        <v>100</v>
      </c>
      <c r="X17" s="3456"/>
      <c r="Y17" s="3686"/>
      <c r="Z17" s="3457" t="str">
        <f>Q17</f>
        <v>交通便捷度</v>
      </c>
      <c r="AA17" s="3459">
        <f t="shared" si="3"/>
        <v>1</v>
      </c>
      <c r="AB17" s="3459">
        <f t="shared" si="4"/>
        <v>1</v>
      </c>
      <c r="AC17" s="3459">
        <f t="shared" si="5"/>
        <v>1</v>
      </c>
    </row>
    <row r="18" spans="1:29" ht="15">
      <c r="A18" s="379"/>
      <c r="B18" s="407"/>
      <c r="C18" s="1901" t="s">
        <v>3398</v>
      </c>
      <c r="D18" s="401"/>
      <c r="E18" s="1901" t="s">
        <v>3398</v>
      </c>
      <c r="F18" s="404"/>
      <c r="G18" s="1902" t="s">
        <v>3398</v>
      </c>
      <c r="H18" s="399"/>
      <c r="I18" s="1902" t="s">
        <v>3398</v>
      </c>
      <c r="J18" s="399"/>
      <c r="K18" s="564"/>
      <c r="L18" s="2721"/>
      <c r="M18" s="2715"/>
      <c r="N18" s="2715"/>
      <c r="O18" s="2715"/>
      <c r="P18" s="3684"/>
      <c r="Q18" s="3458"/>
      <c r="R18" s="705"/>
      <c r="S18" s="706"/>
      <c r="T18" s="705"/>
      <c r="U18" s="706"/>
      <c r="V18" s="705"/>
      <c r="W18" s="706"/>
      <c r="X18" s="3456"/>
      <c r="Y18" s="3686"/>
      <c r="Z18" s="3457"/>
      <c r="AA18" s="3459">
        <v>1</v>
      </c>
      <c r="AB18" s="3459">
        <v>1</v>
      </c>
      <c r="AC18" s="3459">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1"/>
      <c r="M19" s="2715"/>
      <c r="N19" s="2715"/>
      <c r="O19" s="2715"/>
      <c r="P19" s="3684"/>
      <c r="Q19" s="3458" t="str">
        <f>B19</f>
        <v>公共配套设施</v>
      </c>
      <c r="R19" s="705" t="s">
        <v>14</v>
      </c>
      <c r="S19" s="706">
        <f>F19</f>
        <v>100</v>
      </c>
      <c r="T19" s="705" t="s">
        <v>14</v>
      </c>
      <c r="U19" s="706">
        <f>H19</f>
        <v>100</v>
      </c>
      <c r="V19" s="705" t="s">
        <v>14</v>
      </c>
      <c r="W19" s="706">
        <f>J19</f>
        <v>100</v>
      </c>
      <c r="X19" s="3456"/>
      <c r="Y19" s="3686"/>
      <c r="Z19" s="3457" t="str">
        <f>Q19</f>
        <v>公共配套设施</v>
      </c>
      <c r="AA19" s="3459">
        <f t="shared" si="3"/>
        <v>1</v>
      </c>
      <c r="AB19" s="3459">
        <f t="shared" si="4"/>
        <v>1</v>
      </c>
      <c r="AC19" s="3459">
        <f t="shared" si="5"/>
        <v>1</v>
      </c>
    </row>
    <row r="20" spans="1:29" ht="15">
      <c r="A20" s="379"/>
      <c r="B20" s="407"/>
      <c r="C20" s="398" t="s">
        <v>3398</v>
      </c>
      <c r="D20" s="399"/>
      <c r="E20" s="398" t="s">
        <v>3398</v>
      </c>
      <c r="F20" s="400"/>
      <c r="G20" s="1897" t="s">
        <v>3398</v>
      </c>
      <c r="H20" s="399"/>
      <c r="I20" s="1897" t="s">
        <v>3398</v>
      </c>
      <c r="J20" s="399"/>
      <c r="K20" s="564"/>
      <c r="L20" s="2721"/>
      <c r="M20" s="2715"/>
      <c r="N20" s="2715"/>
      <c r="O20" s="2715"/>
      <c r="P20" s="3684"/>
      <c r="Q20" s="3458"/>
      <c r="R20" s="705"/>
      <c r="S20" s="706"/>
      <c r="T20" s="705"/>
      <c r="U20" s="706"/>
      <c r="V20" s="705"/>
      <c r="W20" s="706"/>
      <c r="X20" s="3456"/>
      <c r="Y20" s="3686"/>
      <c r="Z20" s="3457"/>
      <c r="AA20" s="3459">
        <v>1</v>
      </c>
      <c r="AB20" s="3459">
        <v>1</v>
      </c>
      <c r="AC20" s="3459">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1"/>
      <c r="M21" s="2715"/>
      <c r="N21" s="2715"/>
      <c r="O21" s="2715"/>
      <c r="P21" s="3684"/>
      <c r="Q21" s="3458" t="str">
        <f>B21</f>
        <v>基础设施水平</v>
      </c>
      <c r="R21" s="705" t="s">
        <v>14</v>
      </c>
      <c r="S21" s="706">
        <f>F21</f>
        <v>100</v>
      </c>
      <c r="T21" s="705" t="s">
        <v>14</v>
      </c>
      <c r="U21" s="706">
        <f>H21</f>
        <v>100</v>
      </c>
      <c r="V21" s="705" t="s">
        <v>14</v>
      </c>
      <c r="W21" s="706">
        <f>J21</f>
        <v>100</v>
      </c>
      <c r="X21" s="3456"/>
      <c r="Y21" s="3686"/>
      <c r="Z21" s="3457" t="str">
        <f>Q21</f>
        <v>基础设施水平</v>
      </c>
      <c r="AA21" s="3459">
        <f t="shared" ref="AA21" si="8">D21/F21</f>
        <v>1</v>
      </c>
      <c r="AB21" s="3459">
        <f t="shared" ref="AB21" si="9">D21/H21</f>
        <v>1</v>
      </c>
      <c r="AC21" s="3459">
        <f t="shared" ref="AC21" si="10">D21/J21</f>
        <v>1</v>
      </c>
    </row>
    <row r="22" spans="1:29" ht="15">
      <c r="A22" s="379"/>
      <c r="B22" s="1131"/>
      <c r="C22" s="1901" t="s">
        <v>3427</v>
      </c>
      <c r="D22" s="399"/>
      <c r="E22" s="1901" t="s">
        <v>3427</v>
      </c>
      <c r="F22" s="400"/>
      <c r="G22" s="1901" t="s">
        <v>3427</v>
      </c>
      <c r="H22" s="399"/>
      <c r="I22" s="1901" t="s">
        <v>3427</v>
      </c>
      <c r="J22" s="399"/>
      <c r="K22" s="1130"/>
      <c r="L22" s="2721"/>
      <c r="M22" s="2715"/>
      <c r="N22" s="2715"/>
      <c r="O22" s="2715"/>
      <c r="P22" s="3684"/>
      <c r="Q22" s="3458"/>
      <c r="R22" s="705"/>
      <c r="S22" s="706"/>
      <c r="T22" s="705"/>
      <c r="U22" s="706"/>
      <c r="V22" s="705"/>
      <c r="W22" s="706"/>
      <c r="X22" s="3456"/>
      <c r="Y22" s="3686"/>
      <c r="Z22" s="3457"/>
      <c r="AA22" s="3459">
        <v>1</v>
      </c>
      <c r="AB22" s="3459">
        <v>1</v>
      </c>
      <c r="AC22" s="3459">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1"/>
      <c r="M23" s="2715"/>
      <c r="N23" s="2715"/>
      <c r="O23" s="2715"/>
      <c r="P23" s="3684"/>
      <c r="Q23" s="3458" t="str">
        <f>B23</f>
        <v>自然及人文环境</v>
      </c>
      <c r="R23" s="705" t="s">
        <v>14</v>
      </c>
      <c r="S23" s="706">
        <f>F23</f>
        <v>100</v>
      </c>
      <c r="T23" s="705" t="s">
        <v>14</v>
      </c>
      <c r="U23" s="706">
        <f>H23</f>
        <v>100</v>
      </c>
      <c r="V23" s="705" t="s">
        <v>14</v>
      </c>
      <c r="W23" s="706">
        <f>J23</f>
        <v>100</v>
      </c>
      <c r="X23" s="3456"/>
      <c r="Y23" s="3686"/>
      <c r="Z23" s="3457" t="str">
        <f>Q23</f>
        <v>自然及人文环境</v>
      </c>
      <c r="AA23" s="3459">
        <f t="shared" si="3"/>
        <v>1</v>
      </c>
      <c r="AB23" s="3459">
        <f t="shared" si="4"/>
        <v>1</v>
      </c>
      <c r="AC23" s="3459">
        <f t="shared" si="5"/>
        <v>1</v>
      </c>
    </row>
    <row r="24" spans="1:29" ht="15">
      <c r="A24" s="379"/>
      <c r="B24" s="407"/>
      <c r="C24" s="398" t="s">
        <v>3398</v>
      </c>
      <c r="D24" s="399"/>
      <c r="E24" s="398" t="s">
        <v>3398</v>
      </c>
      <c r="F24" s="400"/>
      <c r="G24" s="398" t="s">
        <v>3398</v>
      </c>
      <c r="H24" s="399"/>
      <c r="I24" s="398" t="s">
        <v>3398</v>
      </c>
      <c r="J24" s="399"/>
      <c r="K24" s="564"/>
      <c r="L24" s="2721"/>
      <c r="M24" s="2715"/>
      <c r="N24" s="2715"/>
      <c r="O24" s="2715"/>
      <c r="P24" s="3684"/>
      <c r="Q24" s="3458"/>
      <c r="R24" s="705"/>
      <c r="S24" s="706"/>
      <c r="T24" s="705"/>
      <c r="U24" s="706"/>
      <c r="V24" s="705"/>
      <c r="W24" s="706"/>
      <c r="X24" s="3456"/>
      <c r="Y24" s="3686"/>
      <c r="Z24" s="3457"/>
      <c r="AA24" s="3459">
        <v>1</v>
      </c>
      <c r="AB24" s="3459">
        <v>1</v>
      </c>
      <c r="AC24" s="3459">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v>5</v>
      </c>
      <c r="L25" s="2721"/>
      <c r="M25" s="2715"/>
      <c r="N25" s="2715"/>
      <c r="O25" s="2715"/>
      <c r="P25" s="3684"/>
      <c r="Q25" s="3458" t="str">
        <f t="shared" ref="Q25:Q46" si="11">B25</f>
        <v>临街状况</v>
      </c>
      <c r="R25" s="705" t="s">
        <v>14</v>
      </c>
      <c r="S25" s="706">
        <f>F25</f>
        <v>100</v>
      </c>
      <c r="T25" s="705" t="s">
        <v>14</v>
      </c>
      <c r="U25" s="706">
        <f>H25</f>
        <v>100</v>
      </c>
      <c r="V25" s="705" t="s">
        <v>14</v>
      </c>
      <c r="W25" s="706">
        <f>J25</f>
        <v>100</v>
      </c>
      <c r="X25" s="3456"/>
      <c r="Y25" s="3686"/>
      <c r="Z25" s="3457" t="str">
        <f>Q25</f>
        <v>临街状况</v>
      </c>
      <c r="AA25" s="3459">
        <f t="shared" si="3"/>
        <v>1</v>
      </c>
      <c r="AB25" s="3459">
        <f t="shared" si="4"/>
        <v>1</v>
      </c>
      <c r="AC25" s="3459">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84"/>
      <c r="Q26" s="3458" t="str">
        <f t="shared" si="11"/>
        <v>平面位置/可视性</v>
      </c>
      <c r="R26" s="705" t="s">
        <v>14</v>
      </c>
      <c r="S26" s="706">
        <f>F26</f>
        <v>100</v>
      </c>
      <c r="T26" s="705" t="s">
        <v>14</v>
      </c>
      <c r="U26" s="706">
        <f>H26</f>
        <v>100</v>
      </c>
      <c r="V26" s="705" t="s">
        <v>14</v>
      </c>
      <c r="W26" s="706">
        <f>J26</f>
        <v>100</v>
      </c>
      <c r="X26" s="3456"/>
      <c r="Y26" s="3686"/>
      <c r="Z26" s="3457" t="str">
        <f>Q26</f>
        <v>平面位置/可视性</v>
      </c>
      <c r="AA26" s="3459">
        <f t="shared" si="3"/>
        <v>1</v>
      </c>
      <c r="AB26" s="3459">
        <f t="shared" si="4"/>
        <v>1</v>
      </c>
      <c r="AC26" s="3459">
        <f t="shared" si="5"/>
        <v>1</v>
      </c>
    </row>
    <row r="27" spans="1:29" s="108" customFormat="1" ht="15">
      <c r="A27" s="382"/>
      <c r="B27" s="402" t="s">
        <v>1782</v>
      </c>
      <c r="C27" s="1956" t="s">
        <v>3417</v>
      </c>
      <c r="D27" s="413">
        <v>100</v>
      </c>
      <c r="E27" s="1956" t="s">
        <v>3417</v>
      </c>
      <c r="F27" s="415">
        <f>SUMIF(90:90,E27,91:91)-SUMIF(90:90,C27,91:91)+100</f>
        <v>100</v>
      </c>
      <c r="G27" s="1956" t="s">
        <v>3399</v>
      </c>
      <c r="H27" s="413">
        <f>SUMIF(90:90,G27,91:91)-SUMIF(90:90,C27,91:91)+100</f>
        <v>97</v>
      </c>
      <c r="I27" s="1956" t="s">
        <v>3417</v>
      </c>
      <c r="J27" s="413">
        <f>SUMIF(90:90,I27,91:91)-SUMIF(90:90,C27,91:91)+100</f>
        <v>100</v>
      </c>
      <c r="K27" s="561">
        <v>3</v>
      </c>
      <c r="L27" s="2716"/>
      <c r="M27" s="2717"/>
      <c r="N27" s="2717"/>
      <c r="O27" s="2717"/>
      <c r="P27" s="3684"/>
      <c r="Q27" s="3455" t="str">
        <f t="shared" si="11"/>
        <v>人流量</v>
      </c>
      <c r="R27" s="701" t="s">
        <v>14</v>
      </c>
      <c r="S27" s="702">
        <f>F27</f>
        <v>100</v>
      </c>
      <c r="T27" s="701" t="s">
        <v>14</v>
      </c>
      <c r="U27" s="702">
        <f>H27</f>
        <v>97</v>
      </c>
      <c r="V27" s="701" t="s">
        <v>14</v>
      </c>
      <c r="W27" s="702">
        <f>J27</f>
        <v>100</v>
      </c>
      <c r="X27" s="703"/>
      <c r="Y27" s="3686"/>
      <c r="Z27" s="3454" t="str">
        <f>Q27</f>
        <v>人流量</v>
      </c>
      <c r="AA27" s="3459">
        <f>D27/F27</f>
        <v>1</v>
      </c>
      <c r="AB27" s="3459">
        <f>D27/H27</f>
        <v>1.0309278350515463</v>
      </c>
      <c r="AC27" s="3459">
        <f>D27/J27</f>
        <v>1</v>
      </c>
    </row>
    <row r="28" spans="1:29" ht="15">
      <c r="A28" s="379"/>
      <c r="B28" s="375" t="s">
        <v>1783</v>
      </c>
      <c r="C28" s="565" t="s">
        <v>3428</v>
      </c>
      <c r="D28" s="386">
        <v>100</v>
      </c>
      <c r="E28" s="565" t="s">
        <v>3428</v>
      </c>
      <c r="F28" s="412">
        <f>SUMIF(92:92,E28,93:93)-SUMIF(92:92,C28,93:93)+100</f>
        <v>100</v>
      </c>
      <c r="G28" s="565" t="s">
        <v>3428</v>
      </c>
      <c r="H28" s="386">
        <f>SUMIF(92:92,G28,93:93)-SUMIF(92:92,C28,93:93)+100</f>
        <v>100</v>
      </c>
      <c r="I28" s="565" t="s">
        <v>3428</v>
      </c>
      <c r="J28" s="386">
        <f>SUMIF(92:92,I28,93:93)-SUMIF(92:92,C28,93:93)+100</f>
        <v>100</v>
      </c>
      <c r="K28" s="562"/>
      <c r="L28" s="2721"/>
      <c r="M28" s="2715"/>
      <c r="N28" s="2715"/>
      <c r="O28" s="2715"/>
      <c r="P28" s="3684"/>
      <c r="Q28" s="3458" t="str">
        <f t="shared" si="11"/>
        <v>楼层</v>
      </c>
      <c r="R28" s="705" t="s">
        <v>14</v>
      </c>
      <c r="S28" s="706">
        <f t="shared" ref="S28:S46" si="12">F28</f>
        <v>100</v>
      </c>
      <c r="T28" s="705" t="s">
        <v>14</v>
      </c>
      <c r="U28" s="706">
        <f t="shared" ref="U28:U46" si="13">H28</f>
        <v>100</v>
      </c>
      <c r="V28" s="705" t="s">
        <v>14</v>
      </c>
      <c r="W28" s="706">
        <f t="shared" ref="W28:W46" si="14">J28</f>
        <v>100</v>
      </c>
      <c r="X28" s="3456"/>
      <c r="Y28" s="3686"/>
      <c r="Z28" s="3457" t="str">
        <f t="shared" ref="Z28:Z46" si="15">Q28</f>
        <v>楼层</v>
      </c>
      <c r="AA28" s="3459">
        <f t="shared" si="3"/>
        <v>1</v>
      </c>
      <c r="AB28" s="3459">
        <f t="shared" si="4"/>
        <v>1</v>
      </c>
      <c r="AC28" s="3459">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84"/>
      <c r="Q29" s="3458">
        <f t="shared" si="11"/>
        <v>111</v>
      </c>
      <c r="R29" s="705" t="s">
        <v>14</v>
      </c>
      <c r="S29" s="706">
        <f t="shared" si="12"/>
        <v>100</v>
      </c>
      <c r="T29" s="705" t="s">
        <v>14</v>
      </c>
      <c r="U29" s="706">
        <f t="shared" si="13"/>
        <v>100</v>
      </c>
      <c r="V29" s="705" t="s">
        <v>14</v>
      </c>
      <c r="W29" s="706">
        <f t="shared" si="14"/>
        <v>100</v>
      </c>
      <c r="X29" s="3456"/>
      <c r="Y29" s="3686"/>
      <c r="Z29" s="3457">
        <f t="shared" si="15"/>
        <v>111</v>
      </c>
      <c r="AA29" s="3459">
        <f t="shared" si="3"/>
        <v>1</v>
      </c>
      <c r="AB29" s="3459">
        <f t="shared" si="4"/>
        <v>1</v>
      </c>
      <c r="AC29" s="3459">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84"/>
      <c r="Q30" s="3458">
        <f t="shared" si="11"/>
        <v>111</v>
      </c>
      <c r="R30" s="705" t="s">
        <v>14</v>
      </c>
      <c r="S30" s="706">
        <f t="shared" si="12"/>
        <v>100</v>
      </c>
      <c r="T30" s="705" t="s">
        <v>14</v>
      </c>
      <c r="U30" s="706">
        <f t="shared" si="13"/>
        <v>100</v>
      </c>
      <c r="V30" s="705" t="s">
        <v>14</v>
      </c>
      <c r="W30" s="706">
        <f t="shared" si="14"/>
        <v>100</v>
      </c>
      <c r="X30" s="3456"/>
      <c r="Y30" s="3686"/>
      <c r="Z30" s="3457">
        <f t="shared" si="15"/>
        <v>111</v>
      </c>
      <c r="AA30" s="3459">
        <f t="shared" si="3"/>
        <v>1</v>
      </c>
      <c r="AB30" s="3459">
        <f t="shared" si="4"/>
        <v>1</v>
      </c>
      <c r="AC30" s="3459">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84"/>
      <c r="Q31" s="3458">
        <f t="shared" si="11"/>
        <v>111</v>
      </c>
      <c r="R31" s="705" t="s">
        <v>14</v>
      </c>
      <c r="S31" s="706">
        <f t="shared" si="12"/>
        <v>100</v>
      </c>
      <c r="T31" s="705" t="s">
        <v>14</v>
      </c>
      <c r="U31" s="706">
        <f t="shared" si="13"/>
        <v>100</v>
      </c>
      <c r="V31" s="705" t="s">
        <v>14</v>
      </c>
      <c r="W31" s="706">
        <f t="shared" si="14"/>
        <v>100</v>
      </c>
      <c r="X31" s="3456"/>
      <c r="Y31" s="3686"/>
      <c r="Z31" s="3457">
        <f t="shared" si="15"/>
        <v>111</v>
      </c>
      <c r="AA31" s="3459">
        <f t="shared" si="3"/>
        <v>1</v>
      </c>
      <c r="AB31" s="3459">
        <f t="shared" si="4"/>
        <v>1</v>
      </c>
      <c r="AC31" s="3459">
        <f t="shared" si="5"/>
        <v>1</v>
      </c>
    </row>
    <row r="32" spans="1:29" ht="15">
      <c r="A32" s="391" t="s">
        <v>1694</v>
      </c>
      <c r="B32" s="63" t="s">
        <v>1784</v>
      </c>
      <c r="C32" s="1910" t="s">
        <v>3426</v>
      </c>
      <c r="D32" s="418">
        <v>100</v>
      </c>
      <c r="E32" s="1910" t="s">
        <v>3426</v>
      </c>
      <c r="F32" s="412">
        <f>SUMIF(100:100,E32,101:101)-SUMIF(100:100,C32,101:101)+100</f>
        <v>100</v>
      </c>
      <c r="G32" s="1910" t="s">
        <v>3426</v>
      </c>
      <c r="H32" s="386">
        <f>SUMIF(100:100,G32,101:101)-SUMIF(100:100,C32,101:101)+100</f>
        <v>100</v>
      </c>
      <c r="I32" s="3464" t="s">
        <v>3455</v>
      </c>
      <c r="J32" s="418">
        <f>SUMIF(100:100,I32,101:101)-SUMIF(100:100,C32,101:101)+100</f>
        <v>103</v>
      </c>
      <c r="K32" s="561">
        <v>3</v>
      </c>
      <c r="L32" s="2721"/>
      <c r="M32" s="2715"/>
      <c r="N32" s="2715"/>
      <c r="O32" s="2715"/>
      <c r="P32" s="3687" t="s">
        <v>1696</v>
      </c>
      <c r="Q32" s="3458" t="str">
        <f t="shared" si="11"/>
        <v>商业类型</v>
      </c>
      <c r="R32" s="705" t="s">
        <v>14</v>
      </c>
      <c r="S32" s="706">
        <f t="shared" si="12"/>
        <v>100</v>
      </c>
      <c r="T32" s="705" t="s">
        <v>14</v>
      </c>
      <c r="U32" s="706">
        <f t="shared" si="13"/>
        <v>100</v>
      </c>
      <c r="V32" s="705" t="s">
        <v>14</v>
      </c>
      <c r="W32" s="706">
        <f t="shared" si="14"/>
        <v>103</v>
      </c>
      <c r="X32" s="3456"/>
      <c r="Y32" s="3690" t="s">
        <v>1696</v>
      </c>
      <c r="Z32" s="3457" t="str">
        <f t="shared" si="15"/>
        <v>商业类型</v>
      </c>
      <c r="AA32" s="3459">
        <f t="shared" si="3"/>
        <v>1</v>
      </c>
      <c r="AB32" s="3459">
        <f t="shared" si="4"/>
        <v>1</v>
      </c>
      <c r="AC32" s="3459">
        <f t="shared" si="5"/>
        <v>0.970873786407767</v>
      </c>
    </row>
    <row r="33" spans="1:29" s="422" customFormat="1" ht="15">
      <c r="A33" s="419"/>
      <c r="B33" s="375" t="s">
        <v>1697</v>
      </c>
      <c r="C33" s="420">
        <f>'数据-基础表'!I13</f>
        <v>1562.24</v>
      </c>
      <c r="D33" s="127">
        <v>100</v>
      </c>
      <c r="E33" s="381">
        <v>40</v>
      </c>
      <c r="F33" s="376">
        <f>LOOKUP(E33,103:103,104:104)-LOOKUP(C33,103:103,104:104)+100</f>
        <v>108</v>
      </c>
      <c r="G33" s="380">
        <v>40</v>
      </c>
      <c r="H33" s="127">
        <f>LOOKUP(G33,103:103,104:104)-LOOKUP(C33,103:103,104:104)+100</f>
        <v>108</v>
      </c>
      <c r="I33" s="380">
        <v>300</v>
      </c>
      <c r="J33" s="127">
        <f>LOOKUP(I33,103:103,104:104)-LOOKUP(C33,103:103,104:104)+100</f>
        <v>104</v>
      </c>
      <c r="K33" s="562"/>
      <c r="L33" s="2720"/>
      <c r="M33" s="2722"/>
      <c r="N33" s="2722"/>
      <c r="O33" s="2722"/>
      <c r="P33" s="3688"/>
      <c r="Q33" s="707" t="str">
        <f t="shared" si="11"/>
        <v>项目建筑规模</v>
      </c>
      <c r="R33" s="708" t="s">
        <v>14</v>
      </c>
      <c r="S33" s="709">
        <f t="shared" si="12"/>
        <v>108</v>
      </c>
      <c r="T33" s="708" t="s">
        <v>14</v>
      </c>
      <c r="U33" s="709">
        <f t="shared" si="13"/>
        <v>108</v>
      </c>
      <c r="V33" s="708" t="s">
        <v>14</v>
      </c>
      <c r="W33" s="709">
        <f t="shared" si="14"/>
        <v>104</v>
      </c>
      <c r="X33" s="710"/>
      <c r="Y33" s="3690"/>
      <c r="Z33" s="711" t="str">
        <f t="shared" si="15"/>
        <v>项目建筑规模</v>
      </c>
      <c r="AA33" s="3459">
        <f t="shared" si="3"/>
        <v>0.92592592592592593</v>
      </c>
      <c r="AB33" s="3459">
        <f t="shared" si="4"/>
        <v>0.92592592592592593</v>
      </c>
      <c r="AC33" s="3459">
        <f t="shared" si="5"/>
        <v>0.96153846153846156</v>
      </c>
    </row>
    <row r="34" spans="1:29" ht="15">
      <c r="A34" s="423"/>
      <c r="B34" s="375" t="s">
        <v>1698</v>
      </c>
      <c r="C34" s="1912" t="s">
        <v>3403</v>
      </c>
      <c r="D34" s="386">
        <v>100</v>
      </c>
      <c r="E34" s="1912" t="s">
        <v>3403</v>
      </c>
      <c r="F34" s="412">
        <f>SUMIF(105:105,E34,106:106)-SUMIF(105:105,C34,106:106)+100</f>
        <v>100</v>
      </c>
      <c r="G34" s="1912" t="s">
        <v>3403</v>
      </c>
      <c r="H34" s="386">
        <f>SUMIF(105:105,G34,106:106)-SUMIF(105:105,C34,106:106)+100</f>
        <v>100</v>
      </c>
      <c r="I34" s="1912" t="s">
        <v>3403</v>
      </c>
      <c r="J34" s="386">
        <f>SUMIF(105:105,I34,106:106)-SUMIF(105:105,C34,106:106)+100</f>
        <v>100</v>
      </c>
      <c r="K34" s="561">
        <v>2</v>
      </c>
      <c r="L34" s="2721"/>
      <c r="M34" s="2715"/>
      <c r="N34" s="2715"/>
      <c r="O34" s="2715"/>
      <c r="P34" s="3688"/>
      <c r="Q34" s="3458" t="str">
        <f t="shared" si="11"/>
        <v>建筑结构</v>
      </c>
      <c r="R34" s="705" t="s">
        <v>14</v>
      </c>
      <c r="S34" s="706">
        <f t="shared" si="12"/>
        <v>100</v>
      </c>
      <c r="T34" s="705" t="s">
        <v>14</v>
      </c>
      <c r="U34" s="706">
        <f t="shared" si="13"/>
        <v>100</v>
      </c>
      <c r="V34" s="705" t="s">
        <v>14</v>
      </c>
      <c r="W34" s="706">
        <f t="shared" si="14"/>
        <v>100</v>
      </c>
      <c r="X34" s="3456"/>
      <c r="Y34" s="3690"/>
      <c r="Z34" s="3457" t="str">
        <f t="shared" si="15"/>
        <v>建筑结构</v>
      </c>
      <c r="AA34" s="3459">
        <f t="shared" si="3"/>
        <v>1</v>
      </c>
      <c r="AB34" s="3459">
        <f t="shared" si="4"/>
        <v>1</v>
      </c>
      <c r="AC34" s="3459">
        <f t="shared" si="5"/>
        <v>1</v>
      </c>
    </row>
    <row r="35" spans="1:29" ht="15">
      <c r="A35" s="423"/>
      <c r="B35" s="375" t="s">
        <v>1785</v>
      </c>
      <c r="C35" s="1906" t="s">
        <v>3413</v>
      </c>
      <c r="D35" s="386">
        <v>100</v>
      </c>
      <c r="E35" s="1906" t="s">
        <v>3413</v>
      </c>
      <c r="F35" s="412">
        <f>SUMIF(107:107,E35,108:108)-SUMIF(107:107,C35,108:108)+100</f>
        <v>100</v>
      </c>
      <c r="G35" s="1906" t="s">
        <v>3413</v>
      </c>
      <c r="H35" s="386">
        <f>SUMIF(107:107,G35,108:108)-SUMIF(107:107,C35,108:108)+100</f>
        <v>100</v>
      </c>
      <c r="I35" s="1906" t="s">
        <v>3413</v>
      </c>
      <c r="J35" s="386">
        <f>SUMIF(107:107,I35,108:108)-SUMIF(107:107,C35,108:108)+100</f>
        <v>100</v>
      </c>
      <c r="K35" s="561">
        <v>2</v>
      </c>
      <c r="L35" s="2721"/>
      <c r="M35" s="2715"/>
      <c r="N35" s="2715"/>
      <c r="O35" s="2715"/>
      <c r="P35" s="3688"/>
      <c r="Q35" s="3458" t="str">
        <f t="shared" si="11"/>
        <v>公共部分装修</v>
      </c>
      <c r="R35" s="705" t="s">
        <v>14</v>
      </c>
      <c r="S35" s="706">
        <f t="shared" si="12"/>
        <v>100</v>
      </c>
      <c r="T35" s="705" t="s">
        <v>14</v>
      </c>
      <c r="U35" s="706">
        <f t="shared" si="13"/>
        <v>100</v>
      </c>
      <c r="V35" s="705" t="s">
        <v>14</v>
      </c>
      <c r="W35" s="706">
        <f t="shared" si="14"/>
        <v>100</v>
      </c>
      <c r="X35" s="3456"/>
      <c r="Y35" s="3690"/>
      <c r="Z35" s="3457" t="str">
        <f t="shared" si="15"/>
        <v>公共部分装修</v>
      </c>
      <c r="AA35" s="3459">
        <f t="shared" si="3"/>
        <v>1</v>
      </c>
      <c r="AB35" s="3459">
        <f t="shared" si="4"/>
        <v>1</v>
      </c>
      <c r="AC35" s="3459">
        <f t="shared" si="5"/>
        <v>1</v>
      </c>
    </row>
    <row r="36" spans="1:29" ht="15">
      <c r="A36" s="423"/>
      <c r="B36" s="375" t="s">
        <v>1786</v>
      </c>
      <c r="C36" s="425">
        <v>0.8</v>
      </c>
      <c r="D36" s="386">
        <v>100</v>
      </c>
      <c r="E36" s="425">
        <v>0.8</v>
      </c>
      <c r="F36" s="412">
        <f>LOOKUP(E36,110:110,111:111)-LOOKUP(C36,110:110,111:111)+100</f>
        <v>100</v>
      </c>
      <c r="G36" s="425">
        <v>0.8</v>
      </c>
      <c r="H36" s="412">
        <f>LOOKUP(G36,110:110,111:111)-LOOKUP(C36,110:110,111:111)+100</f>
        <v>100</v>
      </c>
      <c r="I36" s="425">
        <v>0.8</v>
      </c>
      <c r="J36" s="386">
        <f>LOOKUP(I36,110:110,111:111)-LOOKUP(C36,110:110,111:111)+100</f>
        <v>100</v>
      </c>
      <c r="K36" s="561">
        <v>2</v>
      </c>
      <c r="L36" s="2721"/>
      <c r="M36" s="2715"/>
      <c r="N36" s="2715"/>
      <c r="O36" s="2715"/>
      <c r="P36" s="3688"/>
      <c r="Q36" s="3458" t="str">
        <f t="shared" si="11"/>
        <v>成新度</v>
      </c>
      <c r="R36" s="705" t="s">
        <v>14</v>
      </c>
      <c r="S36" s="706">
        <f t="shared" si="12"/>
        <v>100</v>
      </c>
      <c r="T36" s="705" t="s">
        <v>14</v>
      </c>
      <c r="U36" s="706">
        <f t="shared" si="13"/>
        <v>100</v>
      </c>
      <c r="V36" s="705" t="s">
        <v>14</v>
      </c>
      <c r="W36" s="706">
        <f t="shared" si="14"/>
        <v>100</v>
      </c>
      <c r="X36" s="3456"/>
      <c r="Y36" s="3690"/>
      <c r="Z36" s="3457" t="str">
        <f t="shared" si="15"/>
        <v>成新度</v>
      </c>
      <c r="AA36" s="3459">
        <f t="shared" si="3"/>
        <v>1</v>
      </c>
      <c r="AB36" s="3459">
        <f t="shared" si="4"/>
        <v>1</v>
      </c>
      <c r="AC36" s="3459">
        <f t="shared" si="5"/>
        <v>1</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688"/>
      <c r="Q37" s="3455" t="str">
        <f t="shared" si="11"/>
        <v>市政基础设施</v>
      </c>
      <c r="R37" s="701" t="s">
        <v>14</v>
      </c>
      <c r="S37" s="702">
        <f t="shared" si="12"/>
        <v>100</v>
      </c>
      <c r="T37" s="701" t="s">
        <v>14</v>
      </c>
      <c r="U37" s="702">
        <f t="shared" si="13"/>
        <v>100</v>
      </c>
      <c r="V37" s="701" t="s">
        <v>14</v>
      </c>
      <c r="W37" s="702">
        <f t="shared" si="14"/>
        <v>100</v>
      </c>
      <c r="X37" s="703"/>
      <c r="Y37" s="3690"/>
      <c r="Z37" s="3454" t="str">
        <f t="shared" si="15"/>
        <v>市政基础设施</v>
      </c>
      <c r="AA37" s="704">
        <f t="shared" si="3"/>
        <v>1</v>
      </c>
      <c r="AB37" s="704">
        <f t="shared" si="4"/>
        <v>1</v>
      </c>
      <c r="AC37" s="704">
        <f t="shared" si="5"/>
        <v>1</v>
      </c>
    </row>
    <row r="38" spans="1:29" ht="15">
      <c r="A38" s="423"/>
      <c r="B38" s="375" t="s">
        <v>1788</v>
      </c>
      <c r="C38" s="1906" t="s">
        <v>3429</v>
      </c>
      <c r="D38" s="386">
        <v>100</v>
      </c>
      <c r="E38" s="1906" t="s">
        <v>3429</v>
      </c>
      <c r="F38" s="412">
        <f>SUMIF(114:114,E38,115:115)-SUMIF(114:114,C38,115:115)+100</f>
        <v>100</v>
      </c>
      <c r="G38" s="1906" t="s">
        <v>3429</v>
      </c>
      <c r="H38" s="386">
        <f>SUMIF(114:114,G38,115:115)-SUMIF(114:114,C38,115:115)+100</f>
        <v>100</v>
      </c>
      <c r="I38" s="1906" t="s">
        <v>3429</v>
      </c>
      <c r="J38" s="386">
        <f>SUMIF(114:114,I38,115:115)-SUMIF(114:114,C38,115:115)+100</f>
        <v>100</v>
      </c>
      <c r="K38" s="561">
        <v>10</v>
      </c>
      <c r="L38" s="2721"/>
      <c r="M38" s="2715"/>
      <c r="N38" s="2715"/>
      <c r="O38" s="2715"/>
      <c r="P38" s="3688" t="s">
        <v>1696</v>
      </c>
      <c r="Q38" s="3458" t="str">
        <f t="shared" si="11"/>
        <v>业态</v>
      </c>
      <c r="R38" s="705" t="s">
        <v>14</v>
      </c>
      <c r="S38" s="706">
        <f t="shared" si="12"/>
        <v>100</v>
      </c>
      <c r="T38" s="705" t="s">
        <v>14</v>
      </c>
      <c r="U38" s="706">
        <f t="shared" si="13"/>
        <v>100</v>
      </c>
      <c r="V38" s="705" t="s">
        <v>14</v>
      </c>
      <c r="W38" s="706">
        <f t="shared" si="14"/>
        <v>100</v>
      </c>
      <c r="X38" s="3456"/>
      <c r="Y38" s="3690" t="s">
        <v>1696</v>
      </c>
      <c r="Z38" s="3457" t="str">
        <f t="shared" si="15"/>
        <v>业态</v>
      </c>
      <c r="AA38" s="3459">
        <f t="shared" si="3"/>
        <v>1</v>
      </c>
      <c r="AB38" s="3459">
        <f t="shared" si="4"/>
        <v>1</v>
      </c>
      <c r="AC38" s="3459">
        <f t="shared" si="5"/>
        <v>1</v>
      </c>
    </row>
    <row r="39" spans="1:29" ht="15">
      <c r="A39" s="423"/>
      <c r="B39" s="375" t="s">
        <v>1789</v>
      </c>
      <c r="C39" s="1906" t="s">
        <v>3433</v>
      </c>
      <c r="D39" s="386">
        <v>100</v>
      </c>
      <c r="E39" s="1906" t="s">
        <v>3433</v>
      </c>
      <c r="F39" s="412">
        <f>SUMIF(116:116,E39,117:117)-SUMIF(116:116,C39,117:117)+100</f>
        <v>100</v>
      </c>
      <c r="G39" s="1906" t="s">
        <v>3433</v>
      </c>
      <c r="H39" s="386">
        <f>SUMIF(116:116,G39,117:117)-SUMIF(116:116,C39,117:117)+100</f>
        <v>100</v>
      </c>
      <c r="I39" s="1906" t="s">
        <v>3433</v>
      </c>
      <c r="J39" s="386">
        <f>SUMIF(116:116,I39,117:117)-SUMIF(116:116,C39,117:117)+100</f>
        <v>100</v>
      </c>
      <c r="K39" s="561">
        <v>5</v>
      </c>
      <c r="L39" s="2721"/>
      <c r="M39" s="2715"/>
      <c r="N39" s="2715"/>
      <c r="O39" s="2715"/>
      <c r="P39" s="3688"/>
      <c r="Q39" s="3458" t="str">
        <f t="shared" si="11"/>
        <v>层高</v>
      </c>
      <c r="R39" s="705" t="s">
        <v>14</v>
      </c>
      <c r="S39" s="706">
        <f t="shared" si="12"/>
        <v>100</v>
      </c>
      <c r="T39" s="705" t="s">
        <v>14</v>
      </c>
      <c r="U39" s="706">
        <f t="shared" si="13"/>
        <v>100</v>
      </c>
      <c r="V39" s="705" t="s">
        <v>14</v>
      </c>
      <c r="W39" s="706">
        <f t="shared" si="14"/>
        <v>100</v>
      </c>
      <c r="X39" s="3456"/>
      <c r="Y39" s="3690"/>
      <c r="Z39" s="3457" t="str">
        <f t="shared" si="15"/>
        <v>层高</v>
      </c>
      <c r="AA39" s="3459">
        <f t="shared" si="3"/>
        <v>1</v>
      </c>
      <c r="AB39" s="3459">
        <f t="shared" si="4"/>
        <v>1</v>
      </c>
      <c r="AC39" s="3459">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88"/>
      <c r="Q40" s="3458" t="str">
        <f t="shared" si="11"/>
        <v>单套建筑面积</v>
      </c>
      <c r="R40" s="705" t="s">
        <v>14</v>
      </c>
      <c r="S40" s="706">
        <f t="shared" si="12"/>
        <v>100</v>
      </c>
      <c r="T40" s="705" t="s">
        <v>14</v>
      </c>
      <c r="U40" s="706">
        <f t="shared" si="13"/>
        <v>100</v>
      </c>
      <c r="V40" s="705" t="s">
        <v>14</v>
      </c>
      <c r="W40" s="706">
        <f t="shared" si="14"/>
        <v>100</v>
      </c>
      <c r="X40" s="3456"/>
      <c r="Y40" s="3690"/>
      <c r="Z40" s="3457" t="str">
        <f t="shared" si="15"/>
        <v>单套建筑面积</v>
      </c>
      <c r="AA40" s="3459">
        <f t="shared" si="3"/>
        <v>1</v>
      </c>
      <c r="AB40" s="3459">
        <f t="shared" si="4"/>
        <v>1</v>
      </c>
      <c r="AC40" s="3459">
        <f t="shared" si="5"/>
        <v>1</v>
      </c>
    </row>
    <row r="41" spans="1:29" s="422" customFormat="1" ht="15">
      <c r="A41" s="419"/>
      <c r="B41" s="3460"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88"/>
      <c r="Q41" s="707" t="str">
        <f t="shared" si="11"/>
        <v>进深比</v>
      </c>
      <c r="R41" s="708" t="s">
        <v>14</v>
      </c>
      <c r="S41" s="709">
        <f t="shared" si="12"/>
        <v>100</v>
      </c>
      <c r="T41" s="708" t="s">
        <v>14</v>
      </c>
      <c r="U41" s="709">
        <f t="shared" si="13"/>
        <v>100</v>
      </c>
      <c r="V41" s="708" t="s">
        <v>14</v>
      </c>
      <c r="W41" s="709">
        <f t="shared" si="14"/>
        <v>100</v>
      </c>
      <c r="X41" s="710"/>
      <c r="Y41" s="3690"/>
      <c r="Z41" s="711" t="str">
        <f t="shared" si="15"/>
        <v>进深比</v>
      </c>
      <c r="AA41" s="3459">
        <f t="shared" si="3"/>
        <v>1</v>
      </c>
      <c r="AB41" s="3459">
        <f t="shared" si="4"/>
        <v>1</v>
      </c>
      <c r="AC41" s="3459">
        <f t="shared" si="5"/>
        <v>1</v>
      </c>
    </row>
    <row r="42" spans="1:29" ht="15">
      <c r="A42" s="423"/>
      <c r="B42" s="375" t="s">
        <v>1792</v>
      </c>
      <c r="C42" s="1906" t="s">
        <v>3436</v>
      </c>
      <c r="D42" s="386">
        <v>100</v>
      </c>
      <c r="E42" s="1906" t="s">
        <v>3436</v>
      </c>
      <c r="F42" s="412">
        <f>SUMIF(122:122,E42,123:123)-SUMIF(122:122,C42,123:123)+100</f>
        <v>100</v>
      </c>
      <c r="G42" s="1906" t="s">
        <v>3436</v>
      </c>
      <c r="H42" s="386">
        <f>SUMIF(122:122,G42,123:123)-SUMIF(122:122,C42,123:123)+100</f>
        <v>100</v>
      </c>
      <c r="I42" s="1906" t="s">
        <v>3436</v>
      </c>
      <c r="J42" s="386">
        <f>SUMIF(122:122,I42,123:123)-SUMIF(122:122,C42,123:123)+100</f>
        <v>100</v>
      </c>
      <c r="K42" s="561">
        <v>2</v>
      </c>
      <c r="L42" s="2721"/>
      <c r="M42" s="2715"/>
      <c r="N42" s="2715"/>
      <c r="O42" s="2715"/>
      <c r="P42" s="3688"/>
      <c r="Q42" s="3458" t="str">
        <f t="shared" si="11"/>
        <v>内部装修</v>
      </c>
      <c r="R42" s="705" t="s">
        <v>14</v>
      </c>
      <c r="S42" s="706">
        <f t="shared" si="12"/>
        <v>100</v>
      </c>
      <c r="T42" s="705" t="s">
        <v>14</v>
      </c>
      <c r="U42" s="706">
        <f t="shared" si="13"/>
        <v>100</v>
      </c>
      <c r="V42" s="705" t="s">
        <v>14</v>
      </c>
      <c r="W42" s="706">
        <f t="shared" si="14"/>
        <v>100</v>
      </c>
      <c r="X42" s="3456"/>
      <c r="Y42" s="3690"/>
      <c r="Z42" s="3457" t="str">
        <f t="shared" si="15"/>
        <v>内部装修</v>
      </c>
      <c r="AA42" s="3459">
        <f t="shared" si="3"/>
        <v>1</v>
      </c>
      <c r="AB42" s="3459">
        <f t="shared" si="4"/>
        <v>1</v>
      </c>
      <c r="AC42" s="3459">
        <f t="shared" si="5"/>
        <v>1</v>
      </c>
    </row>
    <row r="43" spans="1:29" ht="15">
      <c r="A43" s="423"/>
      <c r="B43" s="375" t="s">
        <v>1707</v>
      </c>
      <c r="C43" s="1906" t="s">
        <v>3398</v>
      </c>
      <c r="D43" s="386">
        <v>100</v>
      </c>
      <c r="E43" s="1906" t="s">
        <v>3398</v>
      </c>
      <c r="F43" s="412">
        <f>SUMIF(124:124,E43,125:125)-SUMIF(124:124,C43,125:125)+100</f>
        <v>100</v>
      </c>
      <c r="G43" s="1906" t="s">
        <v>3398</v>
      </c>
      <c r="H43" s="386">
        <f>SUMIF(124:124,G43,125:125)-SUMIF(124:124,C43,125:125)+100</f>
        <v>100</v>
      </c>
      <c r="I43" s="1906" t="s">
        <v>3398</v>
      </c>
      <c r="J43" s="386">
        <f>SUMIF(124:124,I43,125:125)-SUMIF(124:124,C43,125:125)+100</f>
        <v>100</v>
      </c>
      <c r="K43" s="561">
        <v>2</v>
      </c>
      <c r="L43" s="2721"/>
      <c r="M43" s="2715"/>
      <c r="N43" s="2715"/>
      <c r="O43" s="2715"/>
      <c r="P43" s="3688"/>
      <c r="Q43" s="3458" t="str">
        <f t="shared" si="11"/>
        <v>内部装修维护情况</v>
      </c>
      <c r="R43" s="705" t="s">
        <v>14</v>
      </c>
      <c r="S43" s="706">
        <f t="shared" si="12"/>
        <v>100</v>
      </c>
      <c r="T43" s="705" t="s">
        <v>14</v>
      </c>
      <c r="U43" s="706">
        <f t="shared" si="13"/>
        <v>100</v>
      </c>
      <c r="V43" s="705" t="s">
        <v>14</v>
      </c>
      <c r="W43" s="706">
        <f t="shared" si="14"/>
        <v>100</v>
      </c>
      <c r="X43" s="3456"/>
      <c r="Y43" s="3690"/>
      <c r="Z43" s="3457" t="str">
        <f t="shared" si="15"/>
        <v>内部装修维护情况</v>
      </c>
      <c r="AA43" s="3459">
        <f t="shared" si="3"/>
        <v>1</v>
      </c>
      <c r="AB43" s="3459">
        <f t="shared" si="4"/>
        <v>1</v>
      </c>
      <c r="AC43" s="3459">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88"/>
      <c r="Q44" s="3455">
        <f t="shared" si="11"/>
        <v>111</v>
      </c>
      <c r="R44" s="701" t="s">
        <v>14</v>
      </c>
      <c r="S44" s="702">
        <f t="shared" si="12"/>
        <v>100</v>
      </c>
      <c r="T44" s="701" t="s">
        <v>14</v>
      </c>
      <c r="U44" s="702">
        <f t="shared" si="13"/>
        <v>100</v>
      </c>
      <c r="V44" s="701" t="s">
        <v>14</v>
      </c>
      <c r="W44" s="702">
        <f t="shared" si="14"/>
        <v>100</v>
      </c>
      <c r="X44" s="703"/>
      <c r="Y44" s="3690"/>
      <c r="Z44" s="3454">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88"/>
      <c r="Q45" s="3458">
        <f t="shared" si="11"/>
        <v>111</v>
      </c>
      <c r="R45" s="705" t="s">
        <v>14</v>
      </c>
      <c r="S45" s="706">
        <f t="shared" si="12"/>
        <v>100</v>
      </c>
      <c r="T45" s="705" t="s">
        <v>14</v>
      </c>
      <c r="U45" s="706">
        <f t="shared" si="13"/>
        <v>100</v>
      </c>
      <c r="V45" s="705" t="s">
        <v>14</v>
      </c>
      <c r="W45" s="706">
        <f t="shared" si="14"/>
        <v>100</v>
      </c>
      <c r="X45" s="3456"/>
      <c r="Y45" s="3690"/>
      <c r="Z45" s="3457">
        <f t="shared" si="15"/>
        <v>111</v>
      </c>
      <c r="AA45" s="3459">
        <f t="shared" si="3"/>
        <v>1</v>
      </c>
      <c r="AB45" s="3459">
        <f t="shared" si="4"/>
        <v>1</v>
      </c>
      <c r="AC45" s="3459">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89"/>
      <c r="Q46" s="3458">
        <f t="shared" si="11"/>
        <v>111</v>
      </c>
      <c r="R46" s="705" t="s">
        <v>14</v>
      </c>
      <c r="S46" s="706">
        <f t="shared" si="12"/>
        <v>100</v>
      </c>
      <c r="T46" s="705" t="s">
        <v>14</v>
      </c>
      <c r="U46" s="706">
        <f t="shared" si="13"/>
        <v>100</v>
      </c>
      <c r="V46" s="705" t="s">
        <v>14</v>
      </c>
      <c r="W46" s="706">
        <f t="shared" si="14"/>
        <v>100</v>
      </c>
      <c r="X46" s="3456"/>
      <c r="Y46" s="3691"/>
      <c r="Z46" s="3457">
        <f t="shared" si="15"/>
        <v>111</v>
      </c>
      <c r="AA46" s="3459">
        <f t="shared" si="3"/>
        <v>1</v>
      </c>
      <c r="AB46" s="3459">
        <f t="shared" si="4"/>
        <v>1</v>
      </c>
      <c r="AC46" s="3459">
        <f t="shared" si="5"/>
        <v>1</v>
      </c>
    </row>
    <row r="47" spans="1:29" ht="15">
      <c r="A47" s="430" t="s">
        <v>1708</v>
      </c>
      <c r="B47" s="431"/>
      <c r="C47" s="1154" t="s">
        <v>0</v>
      </c>
      <c r="D47" s="1155"/>
      <c r="E47" s="1156">
        <v>4.375</v>
      </c>
      <c r="F47" s="1157"/>
      <c r="G47" s="1158">
        <v>4.17</v>
      </c>
      <c r="H47" s="1159"/>
      <c r="I47" s="1158">
        <v>4.17</v>
      </c>
      <c r="J47" s="1159"/>
      <c r="K47" s="714"/>
      <c r="L47" s="2723"/>
      <c r="M47" s="2724"/>
      <c r="N47" s="2715"/>
      <c r="O47" s="2724"/>
      <c r="P47" s="3678" t="str">
        <f>A47</f>
        <v>成交单价（元/平方米）</v>
      </c>
      <c r="Q47" s="3678"/>
      <c r="R47" s="3692">
        <f>E47</f>
        <v>4.375</v>
      </c>
      <c r="S47" s="3692"/>
      <c r="T47" s="3692">
        <f>G47</f>
        <v>4.17</v>
      </c>
      <c r="U47" s="3692"/>
      <c r="V47" s="3692">
        <f>I47</f>
        <v>4.17</v>
      </c>
      <c r="W47" s="3692"/>
      <c r="X47" s="690"/>
      <c r="Y47" s="712"/>
      <c r="Z47" s="690"/>
      <c r="AA47" s="690"/>
      <c r="AB47" s="690"/>
      <c r="AC47" s="690"/>
    </row>
    <row r="48" spans="1:29" ht="15.75" thickBot="1">
      <c r="A48" s="437" t="s">
        <v>1709</v>
      </c>
      <c r="B48" s="438"/>
      <c r="C48" s="1160">
        <f>R49</f>
        <v>3.9</v>
      </c>
      <c r="D48" s="2317" t="s">
        <v>2137</v>
      </c>
      <c r="E48" s="1161">
        <f>R48</f>
        <v>4</v>
      </c>
      <c r="F48" s="2318"/>
      <c r="G48" s="1160">
        <f>T48</f>
        <v>4</v>
      </c>
      <c r="H48" s="2318"/>
      <c r="I48" s="1161">
        <f>V48</f>
        <v>3.8</v>
      </c>
      <c r="J48" s="2318"/>
      <c r="K48" s="2320">
        <f>F48+H48+J48</f>
        <v>0</v>
      </c>
      <c r="L48" s="2723"/>
      <c r="M48" s="2724"/>
      <c r="N48" s="2715"/>
      <c r="O48" s="2724"/>
      <c r="P48" s="3678" t="str">
        <f>A48</f>
        <v>比较价值（元/平方米）</v>
      </c>
      <c r="Q48" s="3678"/>
      <c r="R48" s="3679">
        <f>IF(F1="售价",ROUND(PRODUCT(R47,AA7:AA46),0),ROUND(PRODUCT(R47,AA7:AA46),1))</f>
        <v>4</v>
      </c>
      <c r="S48" s="3679"/>
      <c r="T48" s="3679">
        <f>IF(F1="售价",ROUND(PRODUCT(T47,AB7:AB46),0),ROUND(PRODUCT(T47,AB7:AB46),1))</f>
        <v>4</v>
      </c>
      <c r="U48" s="3679"/>
      <c r="V48" s="3679">
        <f>IF(F1="售价",ROUND(PRODUCT(V47,AC7:AC46),0),ROUND(PRODUCT(V47,AC7:AC46),1))</f>
        <v>3.8</v>
      </c>
      <c r="W48" s="3679"/>
      <c r="X48" s="690"/>
      <c r="Y48" s="690"/>
      <c r="Z48" s="690"/>
      <c r="AA48" s="690"/>
      <c r="AB48" s="690"/>
      <c r="AC48" s="690"/>
    </row>
    <row r="49" spans="1:29" ht="15.75" thickBot="1">
      <c r="A49" s="441" t="s">
        <v>1710</v>
      </c>
      <c r="B49" s="442"/>
      <c r="C49" s="1163">
        <f>R49</f>
        <v>3.9</v>
      </c>
      <c r="D49" s="1163"/>
      <c r="E49" s="1163"/>
      <c r="F49" s="1163"/>
      <c r="G49" s="1163"/>
      <c r="H49" s="1163"/>
      <c r="I49" s="1163"/>
      <c r="J49" s="1163"/>
      <c r="K49" s="715"/>
      <c r="L49" s="2723"/>
      <c r="M49" s="2724"/>
      <c r="N49" s="2715"/>
      <c r="O49" s="2724"/>
      <c r="P49" s="3680" t="str">
        <f>A49</f>
        <v>估价对象XX用房的比较价值（楼面单价，元/平方米）</v>
      </c>
      <c r="Q49" s="3681"/>
      <c r="R49" s="3682">
        <f>IF(F1="售价",ROUND(IF(D48="简单平均",AVERAGE(R48:V48),R48*F48+T48*H48+V48*J48),0),ROUND(IF(D48="简单平均",AVERAGE(R48:V48),R48*F48+T48*H48+V48*J48),1))</f>
        <v>3.9</v>
      </c>
      <c r="S49" s="3682"/>
      <c r="T49" s="3682"/>
      <c r="U49" s="3682"/>
      <c r="V49" s="3682"/>
      <c r="W49" s="3682"/>
      <c r="X49" s="690"/>
      <c r="Y49" s="690"/>
      <c r="Z49" s="690"/>
      <c r="AA49" s="690"/>
      <c r="AB49" s="690"/>
      <c r="AC49" s="690"/>
    </row>
    <row r="50" spans="1:29">
      <c r="A50" s="2724"/>
      <c r="B50" s="2724"/>
      <c r="C50" s="2724">
        <v>2004</v>
      </c>
      <c r="D50" s="2724"/>
      <c r="E50" s="2724">
        <v>2000</v>
      </c>
      <c r="F50" s="2724"/>
      <c r="G50" s="2728"/>
      <c r="H50" s="2724"/>
      <c r="I50" s="2724">
        <v>2000</v>
      </c>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1711</v>
      </c>
      <c r="D52" s="447"/>
      <c r="E52" s="448">
        <f>IF(E47&lt;E48,E48/E47-1,E47/E48-1)</f>
        <v>9.375E-2</v>
      </c>
      <c r="F52" s="449" t="str">
        <f>IF(OR(E52&gt;=0.3,E52&lt;=-0.3),"超过30%","")</f>
        <v/>
      </c>
      <c r="G52" s="448">
        <f>IF(G47&lt;G48,G48/G47-1,G47/G48-1)</f>
        <v>4.2499999999999982E-2</v>
      </c>
      <c r="H52" s="449" t="str">
        <f>IF(OR(G52&gt;=0.3,G52&lt;=-0.3),"超过30%","")</f>
        <v/>
      </c>
      <c r="I52" s="448">
        <f>IF(I47&lt;I48,I48/I47-1,I47/I48-1)</f>
        <v>9.7368421052631549E-2</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1712</v>
      </c>
      <c r="D53" s="450"/>
      <c r="E53" s="448">
        <f>IF(E48&lt;G48,G48/E48-1,E48/G48-1)</f>
        <v>0</v>
      </c>
      <c r="F53" s="449" t="str">
        <f>IF(OR(E53&gt;=0.2,E53&lt;=-0.2),"超过20%","")</f>
        <v/>
      </c>
      <c r="G53" s="448">
        <f>IF(G48&lt;I48,I48/G48-1,G48/I48-1)</f>
        <v>5.2631578947368363E-2</v>
      </c>
      <c r="H53" s="449" t="str">
        <f>IF(OR(G53&gt;=0.2,G53&lt;=-0.2),"超过20%","")</f>
        <v/>
      </c>
      <c r="I53" s="448">
        <f>IF(I48&lt;E48,E48/I48-1,I48/E48-1)</f>
        <v>5.2631578947368363E-2</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1713</v>
      </c>
      <c r="D54" s="450"/>
      <c r="E54" s="448">
        <f>IF(E47&lt;G47,G47/E47-1,E47/G47-1)</f>
        <v>4.9160671462829653E-2</v>
      </c>
      <c r="F54" s="449" t="str">
        <f>IF(OR(E54&gt;=0.3,E54&lt;=-0.3),"超过30%","")</f>
        <v/>
      </c>
      <c r="G54" s="448">
        <f>IF(G47&lt;I47,I47/G47-1,G47/I47-1)</f>
        <v>0</v>
      </c>
      <c r="H54" s="449" t="str">
        <f>IF(OR(G54&gt;=0.3,G54&lt;=-0.3),"超过30%","")</f>
        <v/>
      </c>
      <c r="I54" s="448">
        <f>IF(I47&lt;E47,E47/I47-1,I47/E47-1)</f>
        <v>4.9160671462829653E-2</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1714</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2023-12</v>
      </c>
      <c r="D58" s="1185">
        <f>EDATE(C58,-1)</f>
        <v>45231</v>
      </c>
      <c r="E58" s="1185">
        <f t="shared" ref="E58:N58" si="16">EDATE(D58,-1)</f>
        <v>45200</v>
      </c>
      <c r="F58" s="1185">
        <f t="shared" si="16"/>
        <v>45170</v>
      </c>
      <c r="G58" s="1185">
        <f t="shared" si="16"/>
        <v>45139</v>
      </c>
      <c r="H58" s="1185">
        <f t="shared" si="16"/>
        <v>45108</v>
      </c>
      <c r="I58" s="1185">
        <f t="shared" si="16"/>
        <v>45078</v>
      </c>
      <c r="J58" s="1185">
        <f t="shared" si="16"/>
        <v>45047</v>
      </c>
      <c r="K58" s="1185">
        <f t="shared" si="16"/>
        <v>45017</v>
      </c>
      <c r="L58" s="1185">
        <f t="shared" si="16"/>
        <v>44986</v>
      </c>
      <c r="M58" s="1185">
        <f t="shared" si="16"/>
        <v>44958</v>
      </c>
      <c r="N58" s="1185">
        <f t="shared" si="16"/>
        <v>44927</v>
      </c>
      <c r="O58" s="1185">
        <f>EDATE(N58,-1)</f>
        <v>44896</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1"/>
      <c r="S60" s="2661"/>
      <c r="T60" s="2661"/>
      <c r="U60" s="2661"/>
      <c r="V60" s="2661"/>
      <c r="W60" s="2661"/>
      <c r="X60" s="2661"/>
      <c r="Y60" s="2661"/>
      <c r="Z60" s="2661"/>
      <c r="AA60" s="2661"/>
      <c r="AB60" s="2661"/>
      <c r="AC60" s="2661"/>
    </row>
    <row r="61" spans="1:29" s="108" customFormat="1" ht="15">
      <c r="A61" s="470" t="s">
        <v>1681</v>
      </c>
      <c r="B61" s="459"/>
      <c r="C61" s="471" t="s">
        <v>1718</v>
      </c>
      <c r="D61" s="3448" t="s">
        <v>3410</v>
      </c>
      <c r="E61" s="472"/>
      <c r="F61" s="472"/>
      <c r="G61" s="472"/>
      <c r="H61" s="472"/>
      <c r="I61" s="472"/>
      <c r="J61" s="472"/>
      <c r="K61" s="472"/>
      <c r="L61" s="473"/>
      <c r="M61" s="474"/>
      <c r="N61" s="2751"/>
      <c r="O61" s="2751"/>
      <c r="P61" s="2742"/>
      <c r="Q61" s="2738"/>
      <c r="R61" s="2661"/>
      <c r="S61" s="2661"/>
      <c r="T61" s="2661"/>
      <c r="U61" s="2661"/>
      <c r="V61" s="2661"/>
      <c r="W61" s="2661"/>
      <c r="X61" s="2661"/>
      <c r="Y61" s="2661"/>
      <c r="Z61" s="2661"/>
      <c r="AA61" s="2661"/>
      <c r="AB61" s="2661"/>
      <c r="AC61" s="2661"/>
    </row>
    <row r="62" spans="1:29" s="108" customFormat="1" ht="15.75" thickBot="1">
      <c r="A62" s="470"/>
      <c r="B62" s="459"/>
      <c r="C62" s="460">
        <v>100</v>
      </c>
      <c r="D62" s="461">
        <v>102</v>
      </c>
      <c r="E62" s="461"/>
      <c r="F62" s="461"/>
      <c r="G62" s="461"/>
      <c r="H62" s="461"/>
      <c r="I62" s="461"/>
      <c r="J62" s="461"/>
      <c r="K62" s="461"/>
      <c r="L62" s="461"/>
      <c r="M62" s="463"/>
      <c r="N62" s="2751"/>
      <c r="O62" s="2751"/>
      <c r="P62" s="2741"/>
      <c r="Q62" s="2738"/>
      <c r="R62" s="2661"/>
      <c r="S62" s="2661"/>
      <c r="T62" s="2661"/>
      <c r="U62" s="2661"/>
      <c r="V62" s="2661"/>
      <c r="W62" s="2661"/>
      <c r="X62" s="2661"/>
      <c r="Y62" s="2661"/>
      <c r="Z62" s="2661"/>
      <c r="AA62" s="2661"/>
      <c r="AB62" s="2661"/>
      <c r="AC62" s="2661"/>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97</v>
      </c>
      <c r="E77" s="493">
        <f>D77-$K15</f>
        <v>94</v>
      </c>
      <c r="F77" s="493">
        <f>E77-$K15</f>
        <v>91</v>
      </c>
      <c r="G77" s="493">
        <f>F77-$K15</f>
        <v>88</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98</v>
      </c>
      <c r="E79" s="493">
        <f>D79-$K17</f>
        <v>96</v>
      </c>
      <c r="F79" s="493">
        <f>E79-$K17</f>
        <v>94</v>
      </c>
      <c r="G79" s="493">
        <f>F79-$K17</f>
        <v>92</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98</v>
      </c>
      <c r="E81" s="493">
        <f>D81-$K19</f>
        <v>96</v>
      </c>
      <c r="F81" s="493">
        <f>E81-$K19</f>
        <v>94</v>
      </c>
      <c r="G81" s="493">
        <f>F81-$K19</f>
        <v>92</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98</v>
      </c>
      <c r="E85" s="493">
        <f>D85-$K23</f>
        <v>96</v>
      </c>
      <c r="F85" s="493">
        <f>E85-$K23</f>
        <v>94</v>
      </c>
      <c r="G85" s="493">
        <f>F85-$K23</f>
        <v>92</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53"/>
      <c r="O87" s="2753"/>
      <c r="P87" s="2743"/>
      <c r="Q87" s="2738"/>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3"/>
      <c r="O89" s="2753"/>
      <c r="P89" s="2743"/>
      <c r="Q89" s="2738"/>
      <c r="R89" s="2661"/>
      <c r="S89" s="2661"/>
      <c r="T89" s="2661"/>
      <c r="U89" s="2661"/>
      <c r="V89" s="2661"/>
      <c r="W89" s="2661"/>
      <c r="X89" s="2661"/>
      <c r="Y89" s="2661"/>
      <c r="Z89" s="2661"/>
      <c r="AA89" s="2661"/>
      <c r="AB89" s="2661"/>
      <c r="AC89" s="2661"/>
    </row>
    <row r="90" spans="1:29" s="422" customFormat="1" ht="15.75" thickTop="1">
      <c r="A90" s="502"/>
      <c r="B90" s="487" t="str">
        <f>B27</f>
        <v>人流量</v>
      </c>
      <c r="C90" s="3450" t="s">
        <v>3416</v>
      </c>
      <c r="D90" s="3450" t="s">
        <v>3418</v>
      </c>
      <c r="E90" s="3450" t="s">
        <v>3419</v>
      </c>
      <c r="F90" s="3450" t="s">
        <v>3420</v>
      </c>
      <c r="G90" s="3450" t="s">
        <v>3421</v>
      </c>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97</v>
      </c>
      <c r="E91" s="493">
        <f t="shared" ref="E91:M91" si="21">D91-$K27</f>
        <v>94</v>
      </c>
      <c r="F91" s="493">
        <f t="shared" si="21"/>
        <v>91</v>
      </c>
      <c r="G91" s="493">
        <f t="shared" si="21"/>
        <v>88</v>
      </c>
      <c r="H91" s="493">
        <f t="shared" si="21"/>
        <v>85</v>
      </c>
      <c r="I91" s="493">
        <f t="shared" si="21"/>
        <v>82</v>
      </c>
      <c r="J91" s="493">
        <f t="shared" si="21"/>
        <v>79</v>
      </c>
      <c r="K91" s="493">
        <f t="shared" si="21"/>
        <v>76</v>
      </c>
      <c r="L91" s="493">
        <f t="shared" si="21"/>
        <v>73</v>
      </c>
      <c r="M91" s="493">
        <f t="shared" si="21"/>
        <v>70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t="s">
        <v>3422</v>
      </c>
      <c r="D92" s="503" t="s">
        <v>3423</v>
      </c>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v>100</v>
      </c>
      <c r="D93" s="485">
        <v>85</v>
      </c>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51" t="s">
        <v>3424</v>
      </c>
      <c r="D100" s="3451" t="s">
        <v>3443</v>
      </c>
      <c r="E100" s="3451" t="s">
        <v>3426</v>
      </c>
      <c r="F100" s="3451"/>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97</v>
      </c>
      <c r="E101" s="493">
        <f t="shared" si="22"/>
        <v>94</v>
      </c>
      <c r="F101" s="493">
        <f t="shared" si="22"/>
        <v>91</v>
      </c>
      <c r="G101" s="493">
        <f t="shared" si="22"/>
        <v>88</v>
      </c>
      <c r="H101" s="493">
        <f t="shared" si="22"/>
        <v>85</v>
      </c>
      <c r="I101" s="493">
        <f t="shared" si="22"/>
        <v>82</v>
      </c>
      <c r="J101" s="493">
        <f t="shared" si="22"/>
        <v>79</v>
      </c>
      <c r="K101" s="493">
        <f t="shared" si="22"/>
        <v>76</v>
      </c>
      <c r="L101" s="493">
        <f t="shared" si="22"/>
        <v>73</v>
      </c>
      <c r="M101" s="494">
        <f t="shared" si="22"/>
        <v>70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0(含)-100</v>
      </c>
      <c r="D102" s="527" t="str">
        <f t="shared" ref="D102:L102" si="23">D103&amp;"(含)"&amp;"-"&amp;E103</f>
        <v>100(含)-200</v>
      </c>
      <c r="E102" s="527" t="str">
        <f t="shared" si="23"/>
        <v>200(含)-400</v>
      </c>
      <c r="F102" s="527" t="str">
        <f t="shared" si="23"/>
        <v>400(含)-800</v>
      </c>
      <c r="G102" s="527" t="str">
        <f t="shared" si="23"/>
        <v>800(含)-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100</v>
      </c>
      <c r="E103" s="544">
        <v>200</v>
      </c>
      <c r="F103" s="544">
        <v>400</v>
      </c>
      <c r="G103" s="544">
        <v>800</v>
      </c>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f>C104-2</f>
        <v>98</v>
      </c>
      <c r="E104" s="485">
        <f t="shared" ref="E104:G104" si="24">D104-2</f>
        <v>96</v>
      </c>
      <c r="F104" s="485">
        <f t="shared" si="24"/>
        <v>94</v>
      </c>
      <c r="G104" s="485">
        <f t="shared" si="24"/>
        <v>92</v>
      </c>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50" t="s">
        <v>3412</v>
      </c>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3450" t="s">
        <v>3414</v>
      </c>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102</v>
      </c>
      <c r="E111" s="493">
        <f t="shared" ref="E111:M111" si="27">D111+$K36</f>
        <v>104</v>
      </c>
      <c r="F111" s="493">
        <f t="shared" si="27"/>
        <v>106</v>
      </c>
      <c r="G111" s="493">
        <f t="shared" si="27"/>
        <v>108</v>
      </c>
      <c r="H111" s="493">
        <f t="shared" si="27"/>
        <v>110</v>
      </c>
      <c r="I111" s="493">
        <f t="shared" si="27"/>
        <v>112</v>
      </c>
      <c r="J111" s="493">
        <f t="shared" si="27"/>
        <v>114</v>
      </c>
      <c r="K111" s="493">
        <f t="shared" si="27"/>
        <v>116</v>
      </c>
      <c r="L111" s="493">
        <f t="shared" si="27"/>
        <v>118</v>
      </c>
      <c r="M111" s="493">
        <f t="shared" si="27"/>
        <v>120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50" t="s">
        <v>3430</v>
      </c>
      <c r="D114" s="3450" t="s">
        <v>3431</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9">C115-$K38</f>
        <v>90</v>
      </c>
      <c r="E115" s="493">
        <f t="shared" si="29"/>
        <v>80</v>
      </c>
      <c r="F115" s="493">
        <f t="shared" si="29"/>
        <v>70</v>
      </c>
      <c r="G115" s="493">
        <f t="shared" si="29"/>
        <v>60</v>
      </c>
      <c r="H115" s="493">
        <f t="shared" si="29"/>
        <v>50</v>
      </c>
      <c r="I115" s="493">
        <f t="shared" si="29"/>
        <v>40</v>
      </c>
      <c r="J115" s="493">
        <f t="shared" si="29"/>
        <v>30</v>
      </c>
      <c r="K115" s="493">
        <f t="shared" si="29"/>
        <v>20</v>
      </c>
      <c r="L115" s="493">
        <f t="shared" si="29"/>
        <v>10</v>
      </c>
      <c r="M115" s="494">
        <f t="shared" si="29"/>
        <v>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3450" t="s">
        <v>3432</v>
      </c>
      <c r="D116" s="3450" t="s">
        <v>3434</v>
      </c>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95</v>
      </c>
      <c r="E117" s="493">
        <f>D117-$K39</f>
        <v>90</v>
      </c>
      <c r="F117" s="493">
        <f>E117-$K39</f>
        <v>85</v>
      </c>
      <c r="G117" s="493">
        <f>F117-$K39</f>
        <v>80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50" t="s">
        <v>3435</v>
      </c>
      <c r="D122" s="3450" t="s">
        <v>3437</v>
      </c>
      <c r="E122" s="3450" t="s">
        <v>3439</v>
      </c>
      <c r="F122" s="3452" t="s">
        <v>3440</v>
      </c>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5" type="noConversion"/>
  <conditionalFormatting sqref="F52 H52">
    <cfRule type="containsText" dxfId="160" priority="20" stopIfTrue="1" operator="containsText" text="超过">
      <formula>NOT(ISERROR(SEARCH("超过",F52)))</formula>
    </cfRule>
  </conditionalFormatting>
  <conditionalFormatting sqref="H54">
    <cfRule type="containsText" dxfId="159" priority="19" stopIfTrue="1" operator="containsText" text="超过">
      <formula>NOT(ISERROR(SEARCH("超过",H54)))</formula>
    </cfRule>
  </conditionalFormatting>
  <conditionalFormatting sqref="F54">
    <cfRule type="containsText" dxfId="158" priority="18" stopIfTrue="1" operator="containsText" text="超过">
      <formula>NOT(ISERROR(SEARCH("超过",F54)))</formula>
    </cfRule>
  </conditionalFormatting>
  <conditionalFormatting sqref="F53 H53">
    <cfRule type="containsText" dxfId="157" priority="17" stopIfTrue="1" operator="containsText" text="超过">
      <formula>NOT(ISERROR(SEARCH("超过",F53)))</formula>
    </cfRule>
  </conditionalFormatting>
  <conditionalFormatting sqref="E52">
    <cfRule type="expression" dxfId="156" priority="16" stopIfTrue="1">
      <formula>$F$52="超过30%"</formula>
    </cfRule>
  </conditionalFormatting>
  <conditionalFormatting sqref="E53">
    <cfRule type="expression" dxfId="155" priority="15" stopIfTrue="1">
      <formula>$F$53="超过20%"</formula>
    </cfRule>
  </conditionalFormatting>
  <conditionalFormatting sqref="E54">
    <cfRule type="expression" dxfId="154" priority="14" stopIfTrue="1">
      <formula>$F$54="超过30%"</formula>
    </cfRule>
  </conditionalFormatting>
  <conditionalFormatting sqref="G54">
    <cfRule type="expression" dxfId="153" priority="13" stopIfTrue="1">
      <formula>$H$54="超过30%"</formula>
    </cfRule>
  </conditionalFormatting>
  <conditionalFormatting sqref="G52">
    <cfRule type="expression" dxfId="152" priority="12" stopIfTrue="1">
      <formula>$H$52="超过30%"</formula>
    </cfRule>
  </conditionalFormatting>
  <conditionalFormatting sqref="G53">
    <cfRule type="expression" dxfId="151" priority="11" stopIfTrue="1">
      <formula>$H$53="超过20%"</formula>
    </cfRule>
  </conditionalFormatting>
  <conditionalFormatting sqref="J52">
    <cfRule type="containsText" dxfId="150" priority="10" stopIfTrue="1" operator="containsText" text="超过">
      <formula>NOT(ISERROR(SEARCH("超过",J52)))</formula>
    </cfRule>
  </conditionalFormatting>
  <conditionalFormatting sqref="J54">
    <cfRule type="containsText" dxfId="149" priority="9" stopIfTrue="1" operator="containsText" text="超过">
      <formula>NOT(ISERROR(SEARCH("超过",J54)))</formula>
    </cfRule>
  </conditionalFormatting>
  <conditionalFormatting sqref="J53">
    <cfRule type="containsText" dxfId="148" priority="8" stopIfTrue="1" operator="containsText" text="超过">
      <formula>NOT(ISERROR(SEARCH("超过",J53)))</formula>
    </cfRule>
  </conditionalFormatting>
  <conditionalFormatting sqref="I52">
    <cfRule type="expression" dxfId="147" priority="7" stopIfTrue="1">
      <formula>$J$52="超过30%"</formula>
    </cfRule>
  </conditionalFormatting>
  <conditionalFormatting sqref="I53">
    <cfRule type="expression" dxfId="146" priority="6" stopIfTrue="1">
      <formula>$J$53="超过20%"</formula>
    </cfRule>
  </conditionalFormatting>
  <conditionalFormatting sqref="I54">
    <cfRule type="expression" dxfId="145" priority="5" stopIfTrue="1">
      <formula>$J$54="超过30%"</formula>
    </cfRule>
  </conditionalFormatting>
  <conditionalFormatting sqref="F48">
    <cfRule type="expression" dxfId="144" priority="4">
      <formula>$D$48="简单平均"</formula>
    </cfRule>
  </conditionalFormatting>
  <conditionalFormatting sqref="H48">
    <cfRule type="expression" dxfId="143" priority="3">
      <formula>$D$48="简单平均"</formula>
    </cfRule>
  </conditionalFormatting>
  <conditionalFormatting sqref="J48">
    <cfRule type="expression" dxfId="142" priority="2">
      <formula>$D$48="简单平均"</formula>
    </cfRule>
  </conditionalFormatting>
  <conditionalFormatting sqref="F7:F46 H7:H46 J7:J46">
    <cfRule type="cellIs" dxfId="141"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22" sqref="J22"/>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3472</v>
      </c>
      <c r="C1" s="1859" t="s">
        <v>1563</v>
      </c>
      <c r="D1" s="198"/>
      <c r="E1" s="198"/>
      <c r="F1" s="198"/>
      <c r="G1" s="1126">
        <f>MATCH(B1,'数据-取费表'!A6:A16,0)+5</f>
        <v>6</v>
      </c>
      <c r="H1" s="1061" t="str">
        <f>IF(ISERROR(FIND("住宅",B1)),"非住宅","住宅")</f>
        <v>非住宅</v>
      </c>
    </row>
    <row r="2" spans="1:8" s="200" customFormat="1" ht="18" customHeight="1">
      <c r="A2" s="201" t="s">
        <v>1462</v>
      </c>
      <c r="B2" s="3423">
        <f ca="1">ROUND(IF(D2="——",C52/10000,C52/10000-E2),4)</f>
        <v>1348.1727000000001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8630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6721889.8399999999</v>
      </c>
      <c r="D5" s="211" t="s">
        <v>1469</v>
      </c>
      <c r="E5" s="212" t="s">
        <v>1470</v>
      </c>
      <c r="F5" s="212" t="s">
        <v>1471</v>
      </c>
      <c r="G5" s="213"/>
    </row>
    <row r="6" spans="1:8" s="214" customFormat="1" ht="13.5" customHeight="1">
      <c r="A6" s="778" t="s">
        <v>1472</v>
      </c>
      <c r="B6" s="215" t="s">
        <v>1473</v>
      </c>
      <c r="C6" s="216">
        <f>基准地价修正!D33*基准地价修正!C33</f>
        <v>6234899.8399999999</v>
      </c>
      <c r="D6" s="217"/>
      <c r="E6" s="218"/>
      <c r="F6" s="218"/>
      <c r="G6" s="219"/>
    </row>
    <row r="7" spans="1:8" s="214" customFormat="1" ht="13.5" customHeight="1">
      <c r="A7" s="778" t="s">
        <v>1474</v>
      </c>
      <c r="B7" s="215" t="s">
        <v>1475</v>
      </c>
      <c r="C7" s="220">
        <f>ROUND(C6*F7,0)</f>
        <v>190164</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296826</v>
      </c>
      <c r="D8" s="222"/>
      <c r="E8" s="220"/>
      <c r="F8" s="221"/>
      <c r="G8" s="1856" t="s">
        <v>3400</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296826</v>
      </c>
      <c r="D10" s="845">
        <f ca="1">IF(B1="",'数据-汇总表'!E6,IF(INDIRECT("'数据-取费表'!c"&amp;$G$1)="住宅",INDIRECT("'数据-取费表'!s"&amp;$G$1),INDIRECT("'数据-取费表'!k"&amp;$G$1)+INDIRECT("'数据-取费表'!s"&amp;$G$1)))</f>
        <v>1562.24</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1562.24</v>
      </c>
      <c r="E19" s="211">
        <f>'数据-取费表'!B31</f>
        <v>200</v>
      </c>
      <c r="F19" s="231"/>
      <c r="G19" s="1856" t="s">
        <v>3401</v>
      </c>
    </row>
    <row r="20" spans="1:7" s="214" customFormat="1" ht="13.5" customHeight="1">
      <c r="A20" s="255" t="s">
        <v>1574</v>
      </c>
      <c r="B20" s="210" t="s">
        <v>1575</v>
      </c>
      <c r="C20" s="232">
        <f ca="1">ROUND((C5+C19)*F20,0)</f>
        <v>134438</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234224</v>
      </c>
      <c r="D22" s="235">
        <f ca="1">C26</f>
        <v>2.9999999999999997E-4</v>
      </c>
      <c r="E22" s="236" t="s">
        <v>1579</v>
      </c>
      <c r="F22" s="237">
        <f ca="1">'数据-取费表'!B40</f>
        <v>3.4500000000000003E-2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231905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2319</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1028449</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1028449</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8783946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5210071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4686720</v>
      </c>
      <c r="D34" s="217"/>
      <c r="E34" s="220"/>
      <c r="F34" s="257"/>
      <c r="G34" s="219"/>
    </row>
    <row r="35" spans="1:7" ht="13.5" customHeight="1">
      <c r="A35" s="780" t="s">
        <v>351</v>
      </c>
      <c r="B35" s="215" t="s">
        <v>1527</v>
      </c>
      <c r="C35" s="220">
        <f ca="1">ROUND(C34*F35,0)</f>
        <v>140602</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312448</v>
      </c>
      <c r="D37" s="217">
        <f ca="1">D19</f>
        <v>1562.24</v>
      </c>
      <c r="E37" s="249">
        <f>'数据-取费表'!B35</f>
        <v>200</v>
      </c>
      <c r="F37" s="259"/>
      <c r="G37" s="261"/>
    </row>
    <row r="38" spans="1:7" ht="13.5" customHeight="1">
      <c r="A38" s="780" t="s">
        <v>354</v>
      </c>
      <c r="B38" s="215" t="s">
        <v>1533</v>
      </c>
      <c r="C38" s="220">
        <f ca="1">ROUND(C34*F38,0)</f>
        <v>70301</v>
      </c>
      <c r="D38" s="220"/>
      <c r="E38" s="220"/>
      <c r="F38" s="259">
        <f>'数据-取费表'!B36</f>
        <v>1.4999999999999999E-2</v>
      </c>
      <c r="G38" s="219" t="s">
        <v>1528</v>
      </c>
    </row>
    <row r="39" spans="1:7" s="214" customFormat="1" ht="13.5" customHeight="1">
      <c r="A39" s="255" t="s">
        <v>1534</v>
      </c>
      <c r="B39" s="210" t="s">
        <v>1535</v>
      </c>
      <c r="C39" s="232">
        <f ca="1">ROUND(C33*F20,0)</f>
        <v>104201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91671</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89874</v>
      </c>
      <c r="D42" s="238"/>
      <c r="E42" s="238"/>
      <c r="F42" s="239"/>
      <c r="G42" s="3656" t="s">
        <v>1591</v>
      </c>
    </row>
    <row r="43" spans="1:7" ht="13.5" customHeight="1">
      <c r="A43" s="780" t="s">
        <v>347</v>
      </c>
      <c r="B43" s="215" t="s">
        <v>1545</v>
      </c>
      <c r="C43" s="238">
        <f ca="1">ROUND(IF('数据-取费表'!B22&lt;=1,C39*F22*'数据-取费表'!B20/2,C39*(POWER((1+F22),'数据-取费表'!B20/2)-1)),0)</f>
        <v>1797</v>
      </c>
      <c r="D43" s="238"/>
      <c r="E43" s="238"/>
      <c r="F43" s="239"/>
      <c r="G43" s="3657"/>
    </row>
    <row r="44" spans="1:7" ht="13.5" customHeight="1">
      <c r="A44" s="780" t="s">
        <v>348</v>
      </c>
      <c r="B44" s="215" t="s">
        <v>1546</v>
      </c>
      <c r="C44" s="238">
        <f ca="1">ROUND(IF('数据-取费表'!B22&lt;=1,C40*F22*'数据-取费表'!B20/2,C40*(POWER((1+F22),'数据-取费表'!B20/2)-1)),4)</f>
        <v>2.9999999999999997E-4</v>
      </c>
      <c r="D44" s="238"/>
      <c r="E44" s="238"/>
      <c r="F44" s="239"/>
      <c r="G44" s="3658"/>
    </row>
    <row r="45" spans="1:7" s="214" customFormat="1" ht="13.5" customHeight="1">
      <c r="A45" s="255" t="s">
        <v>1547</v>
      </c>
      <c r="B45" s="244" t="s">
        <v>1513</v>
      </c>
      <c r="C45" s="245">
        <f ca="1">C46</f>
        <v>797141</v>
      </c>
      <c r="D45" s="235">
        <f ca="1">C47</f>
        <v>3.0000000000000001E-3</v>
      </c>
      <c r="E45" s="236" t="s">
        <v>1539</v>
      </c>
      <c r="F45" s="246">
        <f ca="1">F27</f>
        <v>0.15</v>
      </c>
      <c r="G45" s="247" t="s">
        <v>1548</v>
      </c>
    </row>
    <row r="46" spans="1:7" s="214" customFormat="1" ht="13.5" customHeight="1">
      <c r="A46" s="780" t="s">
        <v>346</v>
      </c>
      <c r="B46" s="248" t="s">
        <v>1549</v>
      </c>
      <c r="C46" s="249">
        <f ca="1">ROUND((C33+C39)*F27,0)</f>
        <v>797141</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6711115</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4697781</v>
      </c>
      <c r="D51" s="232"/>
      <c r="E51" s="232"/>
      <c r="F51" s="264"/>
      <c r="G51" s="234" t="s">
        <v>1560</v>
      </c>
    </row>
    <row r="52" spans="1:7" s="208" customFormat="1" ht="16.5" thickBot="1">
      <c r="A52" s="265" t="s">
        <v>1561</v>
      </c>
      <c r="B52" s="266"/>
      <c r="C52" s="267">
        <f ca="1">C31+C51</f>
        <v>13481727</v>
      </c>
      <c r="D52" s="266"/>
      <c r="E52" s="266"/>
      <c r="F52" s="266"/>
      <c r="G52" s="268"/>
    </row>
    <row r="55" spans="1:7" ht="15">
      <c r="B55" s="270" t="s">
        <v>1562</v>
      </c>
      <c r="C55" s="271"/>
    </row>
    <row r="56" spans="1:7">
      <c r="B56" s="273" t="s">
        <v>802</v>
      </c>
      <c r="C56" s="275">
        <f ca="1">1-C57</f>
        <v>0.65200000000000002</v>
      </c>
    </row>
    <row r="57" spans="1:7">
      <c r="B57" s="273" t="s">
        <v>803</v>
      </c>
      <c r="C57" s="274">
        <f ca="1">ROUND(C51/C52,3)</f>
        <v>0.34799999999999998</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-35</v>
      </c>
      <c r="C2" s="276" t="s">
        <v>1595</v>
      </c>
      <c r="D2" s="276"/>
      <c r="E2" s="2805"/>
      <c r="F2" s="2805"/>
      <c r="G2" s="2805"/>
      <c r="H2" s="2805"/>
      <c r="I2" s="2805"/>
      <c r="J2" s="2805"/>
      <c r="K2" s="2805"/>
    </row>
    <row r="3" spans="1:33" ht="18" customHeight="1" thickBot="1">
      <c r="A3" s="203" t="s">
        <v>1464</v>
      </c>
      <c r="B3" s="204">
        <f ca="1">ROUND(B2*10000/IF(C1="",'数据-汇总表'!E3,INDIRECT("'数据-取费表'!K"&amp;$K$1)),0)</f>
        <v>-224</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1562.24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1562.24</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30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30</v>
      </c>
      <c r="D20" s="846">
        <f ca="1">IF(C1="",'数据-汇总表'!E6,IF(INDIRECT("'数据-取费表'!c"&amp;$K$1)="住宅",INDIRECT("'数据-取费表'!s"&amp;$K$1),INDIRECT("'数据-取费表'!k"&amp;$K$1)+INDIRECT("'数据-取费表'!s"&amp;$K$1)))</f>
        <v>1562.24</v>
      </c>
      <c r="E20" s="21">
        <f>'数据-取费表'!B28</f>
        <v>190</v>
      </c>
      <c r="F20" s="804"/>
      <c r="G20" s="12"/>
      <c r="H20" s="809"/>
      <c r="I20" s="809"/>
      <c r="J20" s="809"/>
      <c r="K20" s="810"/>
    </row>
    <row r="21" spans="1:33" s="803" customFormat="1" ht="13.5" customHeight="1">
      <c r="A21" s="790" t="s">
        <v>357</v>
      </c>
      <c r="B21" s="813" t="s">
        <v>1628</v>
      </c>
      <c r="C21" s="814">
        <f ca="1">C16+C17+C18</f>
        <v>30</v>
      </c>
      <c r="D21" s="815"/>
      <c r="E21" s="281"/>
      <c r="F21" s="281"/>
      <c r="G21" s="131" t="s">
        <v>1629</v>
      </c>
      <c r="H21" s="807"/>
      <c r="I21" s="807"/>
      <c r="J21" s="807"/>
      <c r="K21" s="808"/>
    </row>
    <row r="22" spans="1:33" s="803" customFormat="1" ht="13.5" customHeight="1">
      <c r="A22" s="790" t="s">
        <v>1601</v>
      </c>
      <c r="B22" s="813" t="s">
        <v>1630</v>
      </c>
      <c r="C22" s="814">
        <f ca="1">ROUND(C21*F22,0)</f>
        <v>1</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5</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5</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-35</v>
      </c>
      <c r="D32" s="829"/>
      <c r="E32" s="829"/>
      <c r="F32" s="829"/>
      <c r="G32" s="831" t="s">
        <v>1650</v>
      </c>
      <c r="H32" s="829"/>
      <c r="I32" s="829"/>
      <c r="J32" s="829"/>
      <c r="K32" s="83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727" t="s">
        <v>694</v>
      </c>
      <c r="C6" s="1074">
        <f ca="1">ROUND(F6*F8*F7*(1-F9)/10000,0)</f>
        <v>0</v>
      </c>
      <c r="D6" s="155" t="s">
        <v>2108</v>
      </c>
      <c r="E6" s="302" t="s">
        <v>696</v>
      </c>
      <c r="F6" s="303">
        <f ca="1">INDIRECT("'数据-取费表'!u"&amp;$G$1)</f>
        <v>0</v>
      </c>
      <c r="G6" s="1384"/>
      <c r="H6" s="1069" t="s">
        <v>398</v>
      </c>
      <c r="I6" s="3727" t="s">
        <v>694</v>
      </c>
      <c r="J6" s="301">
        <f ca="1">ROUND(M6*M8*M7*(1-M9)/10000,0)</f>
        <v>0</v>
      </c>
      <c r="K6" s="155" t="s">
        <v>2107</v>
      </c>
      <c r="L6" s="302" t="s">
        <v>696</v>
      </c>
      <c r="M6" s="303">
        <f ca="1">INDIRECT("'数据-取费表'!z"&amp;$G$1)</f>
        <v>0</v>
      </c>
    </row>
    <row r="7" spans="1:37" ht="18" customHeight="1">
      <c r="A7" s="1073"/>
      <c r="B7" s="3728"/>
      <c r="C7" s="1075"/>
      <c r="D7" s="307"/>
      <c r="E7" s="1076" t="s">
        <v>697</v>
      </c>
      <c r="F7" s="303">
        <f ca="1">IF(INDIRECT("'数据-取费表'!ah"&amp;$G$1)="",INDIRECT("'数据-取费表'!k"&amp;$G$1),INDIRECT("'数据-取费表'!ah"&amp;$G$1))</f>
        <v>0</v>
      </c>
      <c r="G7" s="1384"/>
      <c r="H7" s="304"/>
      <c r="I7" s="3728"/>
      <c r="J7" s="306"/>
      <c r="K7" s="307"/>
      <c r="L7" s="302" t="s">
        <v>697</v>
      </c>
      <c r="M7" s="303">
        <f ca="1">F7</f>
        <v>0</v>
      </c>
    </row>
    <row r="8" spans="1:37" ht="18" customHeight="1">
      <c r="A8" s="304"/>
      <c r="B8" s="3728"/>
      <c r="C8" s="306"/>
      <c r="D8" s="307"/>
      <c r="E8" s="302" t="s">
        <v>698</v>
      </c>
      <c r="F8" s="303">
        <f ca="1">INDIRECT("'数据-取费表'!ai"&amp;$G$1)</f>
        <v>0</v>
      </c>
      <c r="G8" s="1384"/>
      <c r="H8" s="304"/>
      <c r="I8" s="3728"/>
      <c r="J8" s="306"/>
      <c r="K8" s="307"/>
      <c r="L8" s="302" t="s">
        <v>698</v>
      </c>
      <c r="M8" s="303">
        <f ca="1">INDIRECT("'数据-取费表'!ai"&amp;$G$1)</f>
        <v>0</v>
      </c>
    </row>
    <row r="9" spans="1:37" ht="18" customHeight="1">
      <c r="A9" s="304"/>
      <c r="B9" s="3729"/>
      <c r="C9" s="306"/>
      <c r="D9" s="307"/>
      <c r="E9" s="302" t="s">
        <v>699</v>
      </c>
      <c r="F9" s="312">
        <f ca="1">INDIRECT("'数据-取费表'!w"&amp;$G$1)</f>
        <v>0</v>
      </c>
      <c r="G9" s="1384"/>
      <c r="H9" s="304"/>
      <c r="I9" s="372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5"/>
      <c r="L30" s="2697"/>
      <c r="M30" s="2698"/>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7" t="s">
        <v>2309</v>
      </c>
      <c r="I31" s="1398"/>
      <c r="J31" s="1399"/>
      <c r="K31" s="2475"/>
      <c r="L31" s="2697"/>
      <c r="M31" s="2698"/>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6"/>
      <c r="I32" s="1398"/>
      <c r="J32" s="1399"/>
      <c r="K32" s="2475"/>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3337</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IF(项目基本情况!B11="自然人","——",ROUND(F34*F35/10000,2))</f>
        <v>0</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v>
      </c>
      <c r="D36" s="1344" t="s">
        <v>771</v>
      </c>
      <c r="E36" s="302" t="s">
        <v>712</v>
      </c>
      <c r="F36" s="328">
        <f ca="1">INDIRECT("'数据-取费表'!Ak"&amp;$G$1)</f>
        <v>0</v>
      </c>
      <c r="G36" s="1384"/>
      <c r="H36" s="2699"/>
      <c r="I36" s="1398"/>
      <c r="J36" s="1399"/>
      <c r="K36" s="2544"/>
      <c r="L36" s="2699"/>
      <c r="M36" s="2699"/>
    </row>
    <row r="37" spans="1:18" ht="18" customHeight="1">
      <c r="A37" s="982" t="s">
        <v>437</v>
      </c>
      <c r="B37" s="302" t="s">
        <v>742</v>
      </c>
      <c r="C37" s="21">
        <f ca="1">ROUND(C13*F37,2)</f>
        <v>0</v>
      </c>
      <c r="D37" s="1344" t="s">
        <v>743</v>
      </c>
      <c r="E37" s="302" t="s">
        <v>744</v>
      </c>
      <c r="F37" s="330">
        <f ca="1">INDIRECT("'数据-取费表'!Al"&amp;$G$1)</f>
        <v>0</v>
      </c>
      <c r="G37" s="1384"/>
      <c r="H37" s="2699"/>
      <c r="I37" s="1398"/>
      <c r="J37" s="1399"/>
      <c r="K37" s="2544"/>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725" t="s">
        <v>837</v>
      </c>
      <c r="L53" s="3726"/>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40" priority="56">
      <formula>$L$48&gt;$J$51</formula>
    </cfRule>
  </conditionalFormatting>
  <conditionalFormatting sqref="I55 I60">
    <cfRule type="expression" dxfId="139" priority="57">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15" customHeight="1">
      <c r="A2" s="1385" t="s">
        <v>2318</v>
      </c>
      <c r="B2" s="2842" t="e">
        <f>IF(D2="——",C40,C40+E2)</f>
        <v>#DIV/0!</v>
      </c>
      <c r="C2" s="2843" t="s">
        <v>2319</v>
      </c>
      <c r="D2" s="3442" t="s">
        <v>3360</v>
      </c>
      <c r="E2" s="3443"/>
      <c r="F2" s="2845"/>
      <c r="G2" s="2846"/>
      <c r="H2" s="2847"/>
      <c r="I2" s="2848"/>
      <c r="J2" s="3736" t="s">
        <v>2320</v>
      </c>
      <c r="K2" s="3737"/>
      <c r="L2" s="2849" t="s">
        <v>2321</v>
      </c>
      <c r="M2" s="2849" t="s">
        <v>2322</v>
      </c>
      <c r="N2" s="2849" t="s">
        <v>2323</v>
      </c>
      <c r="O2" s="2849" t="s">
        <v>2324</v>
      </c>
      <c r="P2" s="2849" t="s">
        <v>2325</v>
      </c>
      <c r="Q2" s="2850" t="s">
        <v>2326</v>
      </c>
      <c r="R2" s="2851" t="s">
        <v>2327</v>
      </c>
      <c r="S2" s="2840"/>
      <c r="T2" s="2840"/>
      <c r="U2" s="2840"/>
      <c r="V2" s="2848"/>
    </row>
    <row r="3" spans="1:22" s="2852" customFormat="1" ht="13.15" customHeight="1">
      <c r="A3" s="2853" t="s">
        <v>2328</v>
      </c>
      <c r="B3" s="2854" t="e">
        <f>ROUND(B2*10000/B4,0)</f>
        <v>#DIV/0!</v>
      </c>
      <c r="C3" s="2843" t="s">
        <v>2329</v>
      </c>
      <c r="D3" s="2843"/>
      <c r="E3" s="2844"/>
      <c r="F3" s="2845"/>
      <c r="G3" s="2846"/>
      <c r="H3" s="2847"/>
      <c r="I3" s="2848"/>
      <c r="J3" s="3738" t="s">
        <v>2330</v>
      </c>
      <c r="K3" s="3739"/>
      <c r="L3" s="2855"/>
      <c r="M3" s="2855"/>
      <c r="N3" s="2855"/>
      <c r="O3" s="2855"/>
      <c r="P3" s="2855"/>
      <c r="Q3" s="2856"/>
      <c r="R3" s="2857">
        <f>SUM(L3:Q3)</f>
        <v>0</v>
      </c>
      <c r="S3" s="2840"/>
      <c r="T3" s="2840"/>
      <c r="U3" s="2840"/>
      <c r="V3" s="2848"/>
    </row>
    <row r="4" spans="1:22" s="2852" customFormat="1" ht="13.15" customHeight="1">
      <c r="A4" s="2858" t="s">
        <v>2331</v>
      </c>
      <c r="B4" s="2859"/>
      <c r="C4" s="2843"/>
      <c r="D4" s="2843"/>
      <c r="E4" s="2844"/>
      <c r="F4" s="2845"/>
      <c r="G4" s="2846"/>
      <c r="H4" s="2847"/>
      <c r="I4" s="2848"/>
      <c r="J4" s="3738" t="s">
        <v>2332</v>
      </c>
      <c r="K4" s="3739"/>
      <c r="L4" s="2860"/>
      <c r="M4" s="2860"/>
      <c r="N4" s="2860"/>
      <c r="O4" s="2860"/>
      <c r="P4" s="2860"/>
      <c r="Q4" s="2861"/>
      <c r="R4" s="2862">
        <f>SUM(L4:Q4)</f>
        <v>0</v>
      </c>
      <c r="S4" s="2840"/>
      <c r="T4" s="2840"/>
      <c r="U4" s="2840"/>
      <c r="V4" s="2848"/>
    </row>
    <row r="5" spans="1:22" s="2852" customFormat="1" ht="13.15"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15" customHeight="1" thickBot="1">
      <c r="A6" s="3744" t="s">
        <v>2336</v>
      </c>
      <c r="B6" s="3745"/>
      <c r="C6" s="3746"/>
      <c r="D6" s="2869"/>
      <c r="E6" s="2870"/>
      <c r="F6" s="2871"/>
      <c r="G6" s="2872"/>
      <c r="H6" s="2847"/>
      <c r="I6" s="2848"/>
      <c r="J6" s="3730">
        <v>1</v>
      </c>
      <c r="K6" s="3731"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15" customHeight="1">
      <c r="A7" s="2875" t="s">
        <v>2346</v>
      </c>
      <c r="B7" s="2876"/>
      <c r="C7" s="2877"/>
      <c r="D7" s="2878">
        <f>SUM(D9,D10,D11,D17,0)</f>
        <v>0</v>
      </c>
      <c r="E7" s="2879" t="e">
        <f>E9+E10+E11+E17</f>
        <v>#DIV/0!</v>
      </c>
      <c r="F7" s="2880"/>
      <c r="G7" s="2881"/>
      <c r="H7" s="2847"/>
      <c r="I7" s="2848"/>
      <c r="J7" s="3730"/>
      <c r="K7" s="3732"/>
      <c r="L7" s="2882" t="s">
        <v>2347</v>
      </c>
      <c r="M7" s="2883"/>
      <c r="N7" s="2859"/>
      <c r="O7" s="2884"/>
      <c r="P7" s="2884"/>
      <c r="Q7" s="2885">
        <v>365</v>
      </c>
      <c r="R7" s="2886">
        <f>ROUND(M7*N7*O7*P7*Q7/10000,0)</f>
        <v>0</v>
      </c>
      <c r="S7" s="2840"/>
      <c r="T7" s="2840" t="s">
        <v>2348</v>
      </c>
      <c r="U7" s="2840"/>
      <c r="V7" s="2848"/>
    </row>
    <row r="8" spans="1:22" s="2852" customFormat="1" ht="13.15" customHeight="1">
      <c r="A8" s="2887" t="s">
        <v>2349</v>
      </c>
      <c r="B8" s="3747" t="s">
        <v>2350</v>
      </c>
      <c r="C8" s="3748"/>
      <c r="D8" s="2888" t="s">
        <v>2351</v>
      </c>
      <c r="E8" s="2889" t="s">
        <v>2352</v>
      </c>
      <c r="F8" s="2890" t="s">
        <v>2353</v>
      </c>
      <c r="G8" s="2891"/>
      <c r="H8" s="2847"/>
      <c r="I8" s="2848"/>
      <c r="J8" s="3730"/>
      <c r="K8" s="3732"/>
      <c r="L8" s="2882" t="s">
        <v>2354</v>
      </c>
      <c r="M8" s="2883"/>
      <c r="N8" s="2859"/>
      <c r="O8" s="2884"/>
      <c r="P8" s="2884"/>
      <c r="Q8" s="2885">
        <v>365</v>
      </c>
      <c r="R8" s="2886">
        <f t="shared" ref="R8:R13" si="0">ROUND(M8*N8*O8*P8*Q8/10000,0)</f>
        <v>0</v>
      </c>
      <c r="S8" s="2840"/>
      <c r="T8" s="2840" t="s">
        <v>2355</v>
      </c>
      <c r="U8" s="2840"/>
      <c r="V8" s="2848"/>
    </row>
    <row r="9" spans="1:22" s="2852" customFormat="1" ht="13.15" customHeight="1">
      <c r="A9" s="2887">
        <v>1</v>
      </c>
      <c r="B9" s="3747" t="s">
        <v>2356</v>
      </c>
      <c r="C9" s="3748"/>
      <c r="D9" s="2888">
        <f>ROUND(D6*E9,0)</f>
        <v>0</v>
      </c>
      <c r="E9" s="2892"/>
      <c r="F9" s="2893" t="s">
        <v>2357</v>
      </c>
      <c r="G9" s="2872"/>
      <c r="H9" s="2847"/>
      <c r="I9" s="2848"/>
      <c r="J9" s="3730"/>
      <c r="K9" s="3732"/>
      <c r="L9" s="2882" t="s">
        <v>2358</v>
      </c>
      <c r="M9" s="2883"/>
      <c r="N9" s="2859"/>
      <c r="O9" s="2884"/>
      <c r="P9" s="2884"/>
      <c r="Q9" s="2885">
        <v>365</v>
      </c>
      <c r="R9" s="2886">
        <f t="shared" si="0"/>
        <v>0</v>
      </c>
      <c r="S9" s="2840"/>
      <c r="T9" s="2840"/>
      <c r="U9" s="2840"/>
      <c r="V9" s="2848"/>
    </row>
    <row r="10" spans="1:22" s="2852" customFormat="1" ht="13.15" customHeight="1">
      <c r="A10" s="2887">
        <v>2</v>
      </c>
      <c r="B10" s="3747" t="s">
        <v>2359</v>
      </c>
      <c r="C10" s="3748"/>
      <c r="D10" s="2888">
        <f>ROUND(D6*E10,0)</f>
        <v>0</v>
      </c>
      <c r="E10" s="2892"/>
      <c r="F10" s="2893" t="s">
        <v>2360</v>
      </c>
      <c r="G10" s="2872"/>
      <c r="H10" s="2847"/>
      <c r="I10" s="2848"/>
      <c r="J10" s="3730"/>
      <c r="K10" s="3732"/>
      <c r="L10" s="2882" t="s">
        <v>2361</v>
      </c>
      <c r="M10" s="2883"/>
      <c r="N10" s="2859"/>
      <c r="O10" s="2884"/>
      <c r="P10" s="2884"/>
      <c r="Q10" s="2885">
        <v>365</v>
      </c>
      <c r="R10" s="2886">
        <f t="shared" si="0"/>
        <v>0</v>
      </c>
      <c r="S10" s="2840"/>
      <c r="T10" s="2840"/>
      <c r="U10" s="2840"/>
      <c r="V10" s="2848"/>
    </row>
    <row r="11" spans="1:22" s="2852" customFormat="1" ht="13.15" customHeight="1">
      <c r="A11" s="2887">
        <v>3</v>
      </c>
      <c r="B11" s="3747" t="s">
        <v>2362</v>
      </c>
      <c r="C11" s="3748"/>
      <c r="D11" s="2888">
        <f>D12+D14+D15+D16</f>
        <v>0</v>
      </c>
      <c r="E11" s="2894" t="e">
        <f>D11/D6</f>
        <v>#DIV/0!</v>
      </c>
      <c r="F11" s="2890"/>
      <c r="G11" s="2891"/>
      <c r="H11" s="2847"/>
      <c r="I11" s="2848"/>
      <c r="J11" s="3730"/>
      <c r="K11" s="3732"/>
      <c r="L11" s="2882" t="s">
        <v>2363</v>
      </c>
      <c r="M11" s="2883"/>
      <c r="N11" s="2859"/>
      <c r="O11" s="2884"/>
      <c r="P11" s="2884"/>
      <c r="Q11" s="2885">
        <v>365</v>
      </c>
      <c r="R11" s="2886">
        <f t="shared" si="0"/>
        <v>0</v>
      </c>
      <c r="S11" s="2840"/>
      <c r="T11" s="2840"/>
      <c r="U11" s="2840"/>
      <c r="V11" s="2848"/>
    </row>
    <row r="12" spans="1:22" s="2852" customFormat="1" ht="13.15" customHeight="1">
      <c r="A12" s="2895" t="s">
        <v>2364</v>
      </c>
      <c r="B12" s="3740" t="s">
        <v>2365</v>
      </c>
      <c r="C12" s="3741"/>
      <c r="D12" s="2896">
        <f>ROUND(D13*1.2%*(1-30%),0)</f>
        <v>0</v>
      </c>
      <c r="E12" s="2897">
        <v>1.2E-2</v>
      </c>
      <c r="F12" s="2890" t="s">
        <v>2366</v>
      </c>
      <c r="G12" s="2891"/>
      <c r="H12" s="2847"/>
      <c r="I12" s="2848"/>
      <c r="J12" s="3730"/>
      <c r="K12" s="3732"/>
      <c r="L12" s="2882" t="s">
        <v>2367</v>
      </c>
      <c r="M12" s="2883"/>
      <c r="N12" s="2859"/>
      <c r="O12" s="2884"/>
      <c r="P12" s="2884"/>
      <c r="Q12" s="2885">
        <v>365</v>
      </c>
      <c r="R12" s="2886">
        <f t="shared" si="0"/>
        <v>0</v>
      </c>
      <c r="S12" s="2840"/>
      <c r="T12" s="2840"/>
      <c r="U12" s="2840"/>
      <c r="V12" s="2848"/>
    </row>
    <row r="13" spans="1:22" s="2852" customFormat="1" ht="13.15" customHeight="1">
      <c r="A13" s="2895"/>
      <c r="B13" s="2898"/>
      <c r="C13" s="2899" t="s">
        <v>2368</v>
      </c>
      <c r="D13" s="2900"/>
      <c r="E13" s="2901"/>
      <c r="F13" s="2890"/>
      <c r="G13" s="2891"/>
      <c r="H13" s="2847"/>
      <c r="I13" s="2848"/>
      <c r="J13" s="3730"/>
      <c r="K13" s="3732"/>
      <c r="L13" s="2882" t="s">
        <v>2369</v>
      </c>
      <c r="M13" s="2883"/>
      <c r="N13" s="2859"/>
      <c r="O13" s="2884"/>
      <c r="P13" s="2884"/>
      <c r="Q13" s="2885">
        <v>365</v>
      </c>
      <c r="R13" s="2886">
        <f t="shared" si="0"/>
        <v>0</v>
      </c>
      <c r="S13" s="2840"/>
      <c r="T13" s="2840"/>
      <c r="U13" s="2840"/>
      <c r="V13" s="2848"/>
    </row>
    <row r="14" spans="1:22" s="2852" customFormat="1" ht="13.15" customHeight="1">
      <c r="A14" s="2895" t="s">
        <v>2370</v>
      </c>
      <c r="B14" s="3740" t="s">
        <v>2371</v>
      </c>
      <c r="C14" s="3741"/>
      <c r="D14" s="2896">
        <f>ROUND(E14*B5/10000,0)</f>
        <v>0</v>
      </c>
      <c r="E14" s="2885"/>
      <c r="F14" s="2890" t="s">
        <v>2372</v>
      </c>
      <c r="G14" s="2891"/>
      <c r="H14" s="2847"/>
      <c r="I14" s="2848"/>
      <c r="J14" s="3730"/>
      <c r="K14" s="3733"/>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2374</v>
      </c>
      <c r="B15" s="3740" t="s">
        <v>2375</v>
      </c>
      <c r="C15" s="3741"/>
      <c r="D15" s="2896">
        <f>ROUND(D6*E15,0)</f>
        <v>0</v>
      </c>
      <c r="E15" s="2897">
        <v>5.5E-2</v>
      </c>
      <c r="F15" s="2890" t="s">
        <v>2376</v>
      </c>
      <c r="G15" s="2872"/>
      <c r="H15" s="2847"/>
      <c r="I15" s="2848"/>
      <c r="J15" s="3730">
        <v>2</v>
      </c>
      <c r="K15" s="3731"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15" customHeight="1">
      <c r="A16" s="2895" t="s">
        <v>2383</v>
      </c>
      <c r="B16" s="3740" t="s">
        <v>2384</v>
      </c>
      <c r="C16" s="3741"/>
      <c r="D16" s="2907">
        <f>D6*E16</f>
        <v>0</v>
      </c>
      <c r="E16" s="2908"/>
      <c r="F16" s="2893" t="s">
        <v>2385</v>
      </c>
      <c r="G16" s="2872"/>
      <c r="H16" s="2847"/>
      <c r="I16" s="2848"/>
      <c r="J16" s="3730"/>
      <c r="K16" s="3732"/>
      <c r="L16" s="2882" t="s">
        <v>2386</v>
      </c>
      <c r="M16" s="2883"/>
      <c r="N16" s="2883"/>
      <c r="O16" s="2884"/>
      <c r="P16" s="2885">
        <v>365</v>
      </c>
      <c r="Q16" s="2859"/>
      <c r="R16" s="2906">
        <f>ROUND(M16*N16*O16*P16/10000,0)</f>
        <v>0</v>
      </c>
      <c r="S16" s="2840"/>
      <c r="T16" s="2840"/>
      <c r="U16" s="2840"/>
      <c r="V16" s="2848"/>
    </row>
    <row r="17" spans="1:22" s="2852" customFormat="1" ht="13.15" customHeight="1" thickBot="1">
      <c r="A17" s="2909">
        <v>4</v>
      </c>
      <c r="B17" s="3742" t="s">
        <v>2387</v>
      </c>
      <c r="C17" s="3743"/>
      <c r="D17" s="2910">
        <f>ROUND(D6*E17,0)</f>
        <v>0</v>
      </c>
      <c r="E17" s="2911"/>
      <c r="F17" s="2912" t="s">
        <v>2388</v>
      </c>
      <c r="G17" s="2872"/>
      <c r="H17" s="2847"/>
      <c r="I17" s="2848"/>
      <c r="J17" s="3730"/>
      <c r="K17" s="3732"/>
      <c r="L17" s="2882" t="s">
        <v>2389</v>
      </c>
      <c r="M17" s="2883"/>
      <c r="N17" s="2883"/>
      <c r="O17" s="2884"/>
      <c r="P17" s="2885">
        <v>365</v>
      </c>
      <c r="Q17" s="2859"/>
      <c r="R17" s="2906">
        <f>ROUND(M17*N17*O17*P17/10000,0)</f>
        <v>0</v>
      </c>
      <c r="S17" s="2840"/>
      <c r="T17" s="2840"/>
      <c r="U17" s="2840"/>
      <c r="V17" s="2848"/>
    </row>
    <row r="18" spans="1:22" s="2852" customFormat="1" ht="13.15" customHeight="1" thickBot="1">
      <c r="A18" s="2875" t="s">
        <v>2390</v>
      </c>
      <c r="B18" s="2876"/>
      <c r="C18" s="2876"/>
      <c r="D18" s="2913">
        <f>ROUND(D6*E18,0)</f>
        <v>0</v>
      </c>
      <c r="E18" s="2914"/>
      <c r="F18" s="2915" t="s">
        <v>2391</v>
      </c>
      <c r="G18" s="2872"/>
      <c r="H18" s="2847"/>
      <c r="I18" s="2848"/>
      <c r="J18" s="3730"/>
      <c r="K18" s="3732"/>
      <c r="L18" s="2882" t="s">
        <v>2392</v>
      </c>
      <c r="M18" s="2883"/>
      <c r="N18" s="2883"/>
      <c r="O18" s="2884"/>
      <c r="P18" s="2885">
        <v>365</v>
      </c>
      <c r="Q18" s="2859"/>
      <c r="R18" s="2906">
        <f>ROUND(M18*N18*O18*P18/10000,0)</f>
        <v>0</v>
      </c>
      <c r="S18" s="2840"/>
      <c r="T18" s="2840"/>
      <c r="U18" s="2840"/>
      <c r="V18" s="2848"/>
    </row>
    <row r="19" spans="1:22" s="2852" customFormat="1" ht="13.15" customHeight="1" thickBot="1">
      <c r="A19" s="2916" t="s">
        <v>2393</v>
      </c>
      <c r="B19" s="2870"/>
      <c r="C19" s="2870"/>
      <c r="D19" s="2870"/>
      <c r="E19" s="2870"/>
      <c r="F19" s="2871"/>
      <c r="G19" s="2891"/>
      <c r="H19" s="2847"/>
      <c r="I19" s="2848"/>
      <c r="J19" s="3730"/>
      <c r="K19" s="3733"/>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30">
        <v>3</v>
      </c>
      <c r="K20" s="3731"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15" customHeight="1">
      <c r="A21" s="2875"/>
      <c r="B21" s="2876"/>
      <c r="C21" s="2922" t="s">
        <v>2402</v>
      </c>
      <c r="D21" s="2923" t="s">
        <v>2403</v>
      </c>
      <c r="E21" s="2924" t="s">
        <v>2404</v>
      </c>
      <c r="F21" s="2919"/>
      <c r="G21" s="2891"/>
      <c r="H21" s="2847"/>
      <c r="I21" s="2848"/>
      <c r="J21" s="3730"/>
      <c r="K21" s="3732"/>
      <c r="L21" s="2882" t="s">
        <v>2405</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2406</v>
      </c>
      <c r="D22" s="2927" t="s">
        <v>2407</v>
      </c>
      <c r="E22" s="2928" t="s">
        <v>2408</v>
      </c>
      <c r="F22" s="2919"/>
      <c r="G22" s="2929"/>
      <c r="H22" s="2847"/>
      <c r="I22" s="2848"/>
      <c r="J22" s="3730"/>
      <c r="K22" s="3732"/>
      <c r="L22" s="2882" t="s">
        <v>2409</v>
      </c>
      <c r="M22" s="2883"/>
      <c r="N22" s="2883"/>
      <c r="O22" s="2884"/>
      <c r="P22" s="2885">
        <v>365</v>
      </c>
      <c r="Q22" s="2859"/>
      <c r="R22" s="2925">
        <f>ROUND(M22*N22*O22*P22/10000,0)</f>
        <v>0</v>
      </c>
      <c r="S22" s="2921"/>
      <c r="T22" s="2921"/>
      <c r="U22" s="2921"/>
      <c r="V22" s="2848"/>
    </row>
    <row r="23" spans="1:22" s="2852" customFormat="1" ht="13.15" customHeight="1">
      <c r="A23" s="2930">
        <v>1</v>
      </c>
      <c r="B23" s="2931" t="s">
        <v>2410</v>
      </c>
      <c r="C23" s="2932">
        <f>D6</f>
        <v>0</v>
      </c>
      <c r="D23" s="2933">
        <f>C23*(1+D24)</f>
        <v>0</v>
      </c>
      <c r="E23" s="2934">
        <f>D23*(1+E24)</f>
        <v>0</v>
      </c>
      <c r="F23" s="2935"/>
      <c r="G23" s="2936"/>
      <c r="H23" s="2847"/>
      <c r="I23" s="2848"/>
      <c r="J23" s="3730"/>
      <c r="K23" s="3732"/>
      <c r="L23" s="2882" t="s">
        <v>2411</v>
      </c>
      <c r="M23" s="2883"/>
      <c r="N23" s="2883"/>
      <c r="O23" s="2884"/>
      <c r="P23" s="2885">
        <v>365</v>
      </c>
      <c r="Q23" s="2859"/>
      <c r="R23" s="2925">
        <f>ROUND(M23*N23*O23*P23/10000,0)</f>
        <v>0</v>
      </c>
      <c r="S23" s="2840"/>
      <c r="T23" s="2840"/>
      <c r="U23" s="2840"/>
      <c r="V23" s="2848"/>
    </row>
    <row r="24" spans="1:22" s="2852" customFormat="1" ht="13.15" customHeight="1">
      <c r="A24" s="2937"/>
      <c r="B24" s="2938" t="s">
        <v>2412</v>
      </c>
      <c r="C24" s="2939"/>
      <c r="D24" s="2940"/>
      <c r="E24" s="2941"/>
      <c r="F24" s="2942"/>
      <c r="G24" s="2936"/>
      <c r="H24" s="2847"/>
      <c r="I24" s="2848"/>
      <c r="J24" s="3730"/>
      <c r="K24" s="3733"/>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15" customHeight="1">
      <c r="A26" s="2930">
        <v>2</v>
      </c>
      <c r="B26" s="2931" t="s">
        <v>2414</v>
      </c>
      <c r="C26" s="2932">
        <f>D7</f>
        <v>0</v>
      </c>
      <c r="D26" s="2933">
        <f>D23*D27</f>
        <v>0</v>
      </c>
      <c r="E26" s="2934">
        <f>E23*E27</f>
        <v>0</v>
      </c>
      <c r="F26" s="2935"/>
      <c r="G26" s="2936"/>
      <c r="H26" s="2847"/>
      <c r="I26" s="2848"/>
      <c r="J26" s="3734">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15" customHeight="1">
      <c r="A27" s="2937"/>
      <c r="B27" s="2938" t="s">
        <v>2420</v>
      </c>
      <c r="C27" s="2956" t="e">
        <f>E7</f>
        <v>#DIV/0!</v>
      </c>
      <c r="D27" s="2940"/>
      <c r="E27" s="2941"/>
      <c r="F27" s="2942"/>
      <c r="G27" s="2936"/>
      <c r="H27" s="2957"/>
      <c r="I27" s="2948"/>
      <c r="J27" s="3735"/>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15"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15" customHeight="1">
      <c r="A32" s="2930">
        <v>4</v>
      </c>
      <c r="B32" s="2931" t="s">
        <v>2428</v>
      </c>
      <c r="C32" s="2932">
        <f>C23-C26-C29</f>
        <v>0</v>
      </c>
      <c r="D32" s="2933">
        <f>D23-D26-D29</f>
        <v>0</v>
      </c>
      <c r="E32" s="2934">
        <f>E23-E26-E29</f>
        <v>0</v>
      </c>
      <c r="F32" s="2935"/>
      <c r="G32" s="2929"/>
      <c r="H32" s="2847"/>
      <c r="I32" s="2848"/>
      <c r="J32" s="3736" t="s">
        <v>2320</v>
      </c>
      <c r="K32" s="3737"/>
      <c r="L32" s="2849" t="s">
        <v>2321</v>
      </c>
      <c r="M32" s="2849" t="s">
        <v>2322</v>
      </c>
      <c r="N32" s="2849" t="s">
        <v>2323</v>
      </c>
      <c r="O32" s="2849" t="s">
        <v>2324</v>
      </c>
      <c r="P32" s="2849" t="s">
        <v>2325</v>
      </c>
      <c r="Q32" s="2850" t="s">
        <v>2326</v>
      </c>
      <c r="R32" s="2972" t="s">
        <v>2327</v>
      </c>
      <c r="S32" s="2921"/>
      <c r="T32" s="2840"/>
      <c r="U32" s="2840"/>
      <c r="V32" s="2948"/>
    </row>
    <row r="33" spans="1:23" s="2852" customFormat="1" ht="13.15" customHeight="1">
      <c r="A33" s="2930"/>
      <c r="B33" s="2931"/>
      <c r="C33" s="2932"/>
      <c r="D33" s="2973"/>
      <c r="E33" s="2974"/>
      <c r="F33" s="2935"/>
      <c r="G33" s="2929"/>
      <c r="H33" s="2957"/>
      <c r="I33" s="2948"/>
      <c r="J33" s="3738" t="s">
        <v>2330</v>
      </c>
      <c r="K33" s="3739"/>
      <c r="L33" s="2855"/>
      <c r="M33" s="2855"/>
      <c r="N33" s="2855"/>
      <c r="O33" s="2855"/>
      <c r="P33" s="2855"/>
      <c r="Q33" s="2856"/>
      <c r="R33" s="2975">
        <f>SUM(L33:Q33)</f>
        <v>0</v>
      </c>
      <c r="S33" s="2921"/>
      <c r="T33" s="2840"/>
      <c r="U33" s="2840"/>
      <c r="V33" s="2848"/>
    </row>
    <row r="34" spans="1:23" s="2852" customFormat="1" ht="13.15" customHeight="1">
      <c r="A34" s="2930">
        <v>5</v>
      </c>
      <c r="B34" s="2931" t="s">
        <v>2429</v>
      </c>
      <c r="C34" s="2976"/>
      <c r="D34" s="2977"/>
      <c r="E34" s="2978"/>
      <c r="F34" s="2935"/>
      <c r="G34" s="2929"/>
      <c r="H34" s="2957"/>
      <c r="I34" s="2948"/>
      <c r="J34" s="3738" t="s">
        <v>2332</v>
      </c>
      <c r="K34" s="3739"/>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15" customHeight="1" thickBot="1">
      <c r="A36" s="2930">
        <v>7</v>
      </c>
      <c r="B36" s="2985" t="s">
        <v>2431</v>
      </c>
      <c r="C36" s="2986"/>
      <c r="D36" s="2987"/>
      <c r="E36" s="2988"/>
      <c r="F36" s="2989">
        <f>C36+D36+E36</f>
        <v>0</v>
      </c>
      <c r="G36" s="2929"/>
      <c r="H36" s="2847"/>
      <c r="I36" s="2848"/>
      <c r="J36" s="3730">
        <v>1</v>
      </c>
      <c r="K36" s="3731" t="s">
        <v>2432</v>
      </c>
      <c r="L36" s="2873"/>
      <c r="M36" s="2874"/>
      <c r="N36" s="2874"/>
      <c r="O36" s="2874"/>
      <c r="P36" s="2874"/>
      <c r="Q36" s="2874"/>
      <c r="R36" s="2857" t="s">
        <v>2344</v>
      </c>
      <c r="S36" s="2921"/>
      <c r="T36" s="2840" t="s">
        <v>2345</v>
      </c>
      <c r="U36" s="2840"/>
      <c r="V36" s="2848"/>
    </row>
    <row r="37" spans="1:23" s="2852" customFormat="1" ht="13.15" customHeight="1">
      <c r="A37" s="2930"/>
      <c r="B37" s="2931"/>
      <c r="C37" s="2931"/>
      <c r="D37" s="2931"/>
      <c r="E37" s="2931"/>
      <c r="F37" s="2935"/>
      <c r="G37" s="2929"/>
      <c r="H37" s="2847"/>
      <c r="I37" s="2848"/>
      <c r="J37" s="3730"/>
      <c r="K37" s="3732"/>
      <c r="L37" s="2882"/>
      <c r="M37" s="2883"/>
      <c r="N37" s="2859"/>
      <c r="O37" s="2884"/>
      <c r="P37" s="2884"/>
      <c r="Q37" s="2885"/>
      <c r="R37" s="2886"/>
      <c r="S37" s="2921"/>
      <c r="T37" s="2840" t="s">
        <v>2348</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30"/>
      <c r="K38" s="3732"/>
      <c r="L38" s="2882"/>
      <c r="M38" s="2883"/>
      <c r="N38" s="2859"/>
      <c r="O38" s="2884"/>
      <c r="P38" s="2884"/>
      <c r="Q38" s="2885"/>
      <c r="R38" s="2886"/>
      <c r="S38" s="2921"/>
      <c r="T38" s="2840" t="s">
        <v>2355</v>
      </c>
      <c r="U38" s="2840"/>
      <c r="V38" s="2848"/>
    </row>
    <row r="39" spans="1:23" s="2852" customFormat="1" ht="13.15" customHeight="1">
      <c r="A39" s="2930">
        <v>9</v>
      </c>
      <c r="B39" s="2931" t="s">
        <v>2433</v>
      </c>
      <c r="C39" s="2896" t="e">
        <f>C38</f>
        <v>#DIV/0!</v>
      </c>
      <c r="D39" s="2931">
        <f>D38/(1+D34)^C36</f>
        <v>0</v>
      </c>
      <c r="E39" s="2931">
        <f>E38/(1+E34)^(C36+D36)</f>
        <v>0</v>
      </c>
      <c r="F39" s="2935"/>
      <c r="G39" s="2990"/>
      <c r="H39" s="2847"/>
      <c r="I39" s="2848"/>
      <c r="J39" s="3730"/>
      <c r="K39" s="3732"/>
      <c r="L39" s="2882"/>
      <c r="M39" s="2883"/>
      <c r="N39" s="2859"/>
      <c r="O39" s="2884"/>
      <c r="P39" s="2884"/>
      <c r="Q39" s="2885"/>
      <c r="R39" s="2886"/>
      <c r="S39" s="2921"/>
      <c r="T39" s="2840"/>
      <c r="U39" s="2840"/>
      <c r="V39" s="2848"/>
    </row>
    <row r="40" spans="1:23" s="2852" customFormat="1" ht="13.15" customHeight="1">
      <c r="A40" s="2991">
        <v>10</v>
      </c>
      <c r="B40" s="2931" t="s">
        <v>2434</v>
      </c>
      <c r="C40" s="2992" t="e">
        <f>C39+D39+E39</f>
        <v>#DIV/0!</v>
      </c>
      <c r="D40" s="2993"/>
      <c r="E40" s="2993"/>
      <c r="F40" s="2994"/>
      <c r="G40" s="2929"/>
      <c r="H40" s="2847"/>
      <c r="I40" s="2848"/>
      <c r="J40" s="3730"/>
      <c r="K40" s="3733"/>
      <c r="L40" s="2902" t="s">
        <v>2373</v>
      </c>
      <c r="M40" s="2903"/>
      <c r="N40" s="2903"/>
      <c r="O40" s="2904"/>
      <c r="P40" s="2904"/>
      <c r="Q40" s="2905"/>
      <c r="R40" s="2851">
        <f>SUM(R37:R39)</f>
        <v>0</v>
      </c>
      <c r="S40" s="2921"/>
      <c r="T40" s="2840"/>
      <c r="U40" s="2840"/>
      <c r="V40" s="2848"/>
    </row>
    <row r="41" spans="1:23" s="2852" customFormat="1" ht="13.15"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15" customHeight="1">
      <c r="G42" s="2999"/>
      <c r="H42" s="2847"/>
      <c r="I42" s="2848"/>
      <c r="J42" s="3734">
        <v>3</v>
      </c>
      <c r="K42" s="2950" t="s">
        <v>2415</v>
      </c>
      <c r="L42" s="2951"/>
      <c r="M42" s="2952"/>
      <c r="N42" s="2953" t="s">
        <v>2416</v>
      </c>
      <c r="O42" s="2953" t="s">
        <v>2417</v>
      </c>
      <c r="P42" s="2954" t="s">
        <v>2418</v>
      </c>
      <c r="Q42" s="2954" t="s">
        <v>2419</v>
      </c>
      <c r="R42" s="2857" t="s">
        <v>2344</v>
      </c>
      <c r="S42" s="2955"/>
      <c r="T42" s="2955"/>
      <c r="U42" s="2840"/>
      <c r="V42" s="2848"/>
    </row>
    <row r="43" spans="1:23" ht="13.15" customHeight="1">
      <c r="A43" s="2852"/>
      <c r="B43" s="2852"/>
      <c r="C43" s="2852"/>
      <c r="D43" s="2852"/>
      <c r="E43" s="2852"/>
      <c r="F43" s="2852"/>
      <c r="I43" s="2835"/>
      <c r="J43" s="3735"/>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1283.9688000000001</v>
      </c>
      <c r="C2" s="1872" t="s">
        <v>1651</v>
      </c>
      <c r="D2" s="1873" t="s">
        <v>1652</v>
      </c>
      <c r="E2" s="2607">
        <f>SUM(E6:E13)</f>
        <v>1562.24</v>
      </c>
      <c r="F2" s="2706"/>
      <c r="G2" s="1489"/>
      <c r="H2" s="1489"/>
      <c r="I2" s="1489"/>
      <c r="J2" s="1489"/>
      <c r="K2" s="1489"/>
      <c r="L2" s="1489"/>
      <c r="M2" s="1489"/>
      <c r="N2" s="1489"/>
      <c r="O2" s="1489"/>
      <c r="P2" s="1489"/>
      <c r="Q2" s="1489"/>
      <c r="R2" s="1489"/>
      <c r="S2" s="1489"/>
    </row>
    <row r="3" spans="1:22" ht="15.75">
      <c r="A3" s="1870" t="s">
        <v>686</v>
      </c>
      <c r="B3" s="2601">
        <f ca="1">ROUND(B2*10000/E2,0)</f>
        <v>8219</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3" t="s">
        <v>1653</v>
      </c>
      <c r="B5" s="3749" t="s">
        <v>1654</v>
      </c>
      <c r="C5" s="3750"/>
      <c r="D5" s="2707"/>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1283.9688000000001</v>
      </c>
      <c r="C6" s="1872" t="s">
        <v>1651</v>
      </c>
      <c r="D6" s="2708"/>
      <c r="E6" s="2606">
        <f>IF(OR(A6=0,F6="否"),0,'数据-取费表'!K6+'数据-取费表'!S6)</f>
        <v>1562.24</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8"/>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8"/>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8"/>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8"/>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8"/>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8"/>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09"/>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1562.24</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697" t="s">
        <v>1667</v>
      </c>
      <c r="D4" s="3698"/>
      <c r="E4" s="3699" t="s">
        <v>1668</v>
      </c>
      <c r="F4" s="3700"/>
      <c r="G4" s="3697" t="s">
        <v>1669</v>
      </c>
      <c r="H4" s="3698"/>
      <c r="I4" s="3697" t="s">
        <v>1670</v>
      </c>
      <c r="J4" s="3698"/>
      <c r="K4" s="1889" t="s">
        <v>1671</v>
      </c>
      <c r="L4" s="2714"/>
      <c r="M4" s="2715"/>
      <c r="N4" s="2715"/>
      <c r="O4" s="2715"/>
      <c r="P4" s="3701" t="s">
        <v>1672</v>
      </c>
      <c r="Q4" s="3702"/>
      <c r="R4" s="3707" t="s">
        <v>1668</v>
      </c>
      <c r="S4" s="3708"/>
      <c r="T4" s="3707" t="s">
        <v>1669</v>
      </c>
      <c r="U4" s="3708"/>
      <c r="V4" s="3692" t="s">
        <v>1670</v>
      </c>
      <c r="W4" s="3692"/>
      <c r="X4" s="1355"/>
      <c r="Y4" s="3707" t="s">
        <v>1672</v>
      </c>
      <c r="Z4" s="3708"/>
      <c r="AA4" s="3694" t="s">
        <v>1668</v>
      </c>
      <c r="AB4" s="3694" t="s">
        <v>1669</v>
      </c>
      <c r="AC4" s="3694" t="s">
        <v>1670</v>
      </c>
    </row>
    <row r="5" spans="1:29" ht="15">
      <c r="A5" s="358"/>
      <c r="B5" s="359"/>
      <c r="C5" s="3720" t="s">
        <v>1673</v>
      </c>
      <c r="D5" s="3716"/>
      <c r="E5" s="3751" t="s">
        <v>1674</v>
      </c>
      <c r="F5" s="3724"/>
      <c r="G5" s="3720" t="s">
        <v>1675</v>
      </c>
      <c r="H5" s="3716"/>
      <c r="I5" s="3720" t="s">
        <v>1676</v>
      </c>
      <c r="J5" s="3716"/>
      <c r="K5" s="1890"/>
      <c r="L5" s="2714"/>
      <c r="M5" s="2715"/>
      <c r="N5" s="2715"/>
      <c r="O5" s="2715"/>
      <c r="P5" s="3703"/>
      <c r="Q5" s="3704"/>
      <c r="R5" s="3709"/>
      <c r="S5" s="3710"/>
      <c r="T5" s="3709"/>
      <c r="U5" s="3710"/>
      <c r="V5" s="3692"/>
      <c r="W5" s="3692"/>
      <c r="X5" s="1355"/>
      <c r="Y5" s="3709"/>
      <c r="Z5" s="3710"/>
      <c r="AA5" s="3695"/>
      <c r="AB5" s="3695"/>
      <c r="AC5" s="3695"/>
    </row>
    <row r="6" spans="1:29" ht="15.75" thickBot="1">
      <c r="A6" s="360"/>
      <c r="B6" s="361"/>
      <c r="C6" s="3713" t="s">
        <v>1677</v>
      </c>
      <c r="D6" s="3714"/>
      <c r="E6" s="3721" t="s">
        <v>1677</v>
      </c>
      <c r="F6" s="3722"/>
      <c r="G6" s="3713" t="s">
        <v>1677</v>
      </c>
      <c r="H6" s="3714"/>
      <c r="I6" s="3713" t="s">
        <v>1677</v>
      </c>
      <c r="J6" s="3714"/>
      <c r="K6" s="1890" t="s">
        <v>1678</v>
      </c>
      <c r="L6" s="2714"/>
      <c r="M6" s="2715"/>
      <c r="N6" s="2715"/>
      <c r="O6" s="2715"/>
      <c r="P6" s="3705"/>
      <c r="Q6" s="3706"/>
      <c r="R6" s="3709"/>
      <c r="S6" s="3710"/>
      <c r="T6" s="3711"/>
      <c r="U6" s="3712"/>
      <c r="V6" s="3692"/>
      <c r="W6" s="3692"/>
      <c r="X6" s="1355"/>
      <c r="Y6" s="3711"/>
      <c r="Z6" s="3712"/>
      <c r="AA6" s="3696"/>
      <c r="AB6" s="3696"/>
      <c r="AC6" s="3696"/>
    </row>
    <row r="7" spans="1:29" s="108" customFormat="1" ht="15.75" thickBot="1">
      <c r="A7" s="362" t="s">
        <v>1679</v>
      </c>
      <c r="B7" s="363"/>
      <c r="C7" s="364">
        <f>'数据-取费表'!B2</f>
        <v>45279</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717" t="s">
        <v>1680</v>
      </c>
      <c r="Q7" s="3719"/>
      <c r="R7" s="701" t="s">
        <v>20</v>
      </c>
      <c r="S7" s="702">
        <f t="shared" ref="S7:S15" si="0">F7</f>
        <v>0</v>
      </c>
      <c r="T7" s="701" t="s">
        <v>20</v>
      </c>
      <c r="U7" s="702">
        <f t="shared" ref="U7:U15" si="1">H7</f>
        <v>0</v>
      </c>
      <c r="V7" s="701" t="s">
        <v>20</v>
      </c>
      <c r="W7" s="702">
        <f t="shared" ref="W7:W15" si="2">J7</f>
        <v>0</v>
      </c>
      <c r="X7" s="703"/>
      <c r="Y7" s="3717" t="s">
        <v>1680</v>
      </c>
      <c r="Z7" s="3718"/>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717" t="s">
        <v>1683</v>
      </c>
      <c r="Q8" s="3718"/>
      <c r="R8" s="701" t="s">
        <v>20</v>
      </c>
      <c r="S8" s="702">
        <f t="shared" si="0"/>
        <v>100</v>
      </c>
      <c r="T8" s="701" t="s">
        <v>20</v>
      </c>
      <c r="U8" s="702">
        <f t="shared" si="1"/>
        <v>100</v>
      </c>
      <c r="V8" s="701" t="s">
        <v>20</v>
      </c>
      <c r="W8" s="702">
        <f t="shared" si="2"/>
        <v>100</v>
      </c>
      <c r="X8" s="703"/>
      <c r="Y8" s="3717" t="s">
        <v>1683</v>
      </c>
      <c r="Z8" s="3718"/>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93" t="s">
        <v>1686</v>
      </c>
      <c r="Q9" s="1343" t="str">
        <f t="shared" ref="Q9:Q15" si="6">B9</f>
        <v>用途</v>
      </c>
      <c r="R9" s="701" t="s">
        <v>14</v>
      </c>
      <c r="S9" s="702">
        <f t="shared" si="0"/>
        <v>100</v>
      </c>
      <c r="T9" s="701" t="s">
        <v>14</v>
      </c>
      <c r="U9" s="702">
        <f t="shared" si="1"/>
        <v>100</v>
      </c>
      <c r="V9" s="701" t="s">
        <v>14</v>
      </c>
      <c r="W9" s="702">
        <f t="shared" si="2"/>
        <v>100</v>
      </c>
      <c r="X9" s="703"/>
      <c r="Y9" s="3563"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93"/>
      <c r="Q10" s="1343" t="str">
        <f t="shared" si="6"/>
        <v>土地使用年限（年）</v>
      </c>
      <c r="R10" s="701" t="s">
        <v>14</v>
      </c>
      <c r="S10" s="702">
        <f t="shared" si="0"/>
        <v>100</v>
      </c>
      <c r="T10" s="701" t="s">
        <v>14</v>
      </c>
      <c r="U10" s="702">
        <f t="shared" si="1"/>
        <v>100</v>
      </c>
      <c r="V10" s="701" t="s">
        <v>14</v>
      </c>
      <c r="W10" s="702">
        <f t="shared" si="2"/>
        <v>100</v>
      </c>
      <c r="X10" s="703"/>
      <c r="Y10" s="356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93"/>
      <c r="Q11" s="1343" t="str">
        <f t="shared" si="6"/>
        <v>容积率</v>
      </c>
      <c r="R11" s="701" t="s">
        <v>18</v>
      </c>
      <c r="S11" s="702" t="e">
        <f t="shared" si="0"/>
        <v>#N/A</v>
      </c>
      <c r="T11" s="701" t="s">
        <v>18</v>
      </c>
      <c r="U11" s="702" t="e">
        <f t="shared" si="1"/>
        <v>#N/A</v>
      </c>
      <c r="V11" s="701" t="s">
        <v>18</v>
      </c>
      <c r="W11" s="702" t="e">
        <f t="shared" si="2"/>
        <v>#N/A</v>
      </c>
      <c r="X11" s="703"/>
      <c r="Y11" s="356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93"/>
      <c r="Q12" s="1343">
        <f t="shared" si="6"/>
        <v>111</v>
      </c>
      <c r="R12" s="701" t="s">
        <v>18</v>
      </c>
      <c r="S12" s="702">
        <f t="shared" si="0"/>
        <v>100</v>
      </c>
      <c r="T12" s="701" t="s">
        <v>18</v>
      </c>
      <c r="U12" s="702">
        <f t="shared" si="1"/>
        <v>100</v>
      </c>
      <c r="V12" s="701" t="s">
        <v>18</v>
      </c>
      <c r="W12" s="702">
        <f t="shared" si="2"/>
        <v>100</v>
      </c>
      <c r="X12" s="703"/>
      <c r="Y12" s="356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93"/>
      <c r="Q13" s="1343">
        <f t="shared" si="6"/>
        <v>111</v>
      </c>
      <c r="R13" s="701" t="s">
        <v>18</v>
      </c>
      <c r="S13" s="702">
        <f t="shared" si="0"/>
        <v>100</v>
      </c>
      <c r="T13" s="701" t="s">
        <v>18</v>
      </c>
      <c r="U13" s="702">
        <f t="shared" si="1"/>
        <v>100</v>
      </c>
      <c r="V13" s="701" t="s">
        <v>18</v>
      </c>
      <c r="W13" s="702">
        <f t="shared" si="2"/>
        <v>100</v>
      </c>
      <c r="X13" s="703"/>
      <c r="Y13" s="3563"/>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93"/>
      <c r="Q14" s="1343">
        <f t="shared" si="6"/>
        <v>111</v>
      </c>
      <c r="R14" s="701" t="s">
        <v>18</v>
      </c>
      <c r="S14" s="702">
        <f t="shared" si="0"/>
        <v>100</v>
      </c>
      <c r="T14" s="701" t="s">
        <v>18</v>
      </c>
      <c r="U14" s="702">
        <f t="shared" si="1"/>
        <v>100</v>
      </c>
      <c r="V14" s="701" t="s">
        <v>18</v>
      </c>
      <c r="W14" s="702">
        <f t="shared" si="2"/>
        <v>100</v>
      </c>
      <c r="X14" s="703"/>
      <c r="Y14" s="3563"/>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83" t="s">
        <v>1691</v>
      </c>
      <c r="Q15" s="1352" t="str">
        <f t="shared" si="6"/>
        <v>居住社区成熟度</v>
      </c>
      <c r="R15" s="705" t="s">
        <v>18</v>
      </c>
      <c r="S15" s="706">
        <f t="shared" si="0"/>
        <v>100</v>
      </c>
      <c r="T15" s="705" t="s">
        <v>18</v>
      </c>
      <c r="U15" s="706">
        <f t="shared" si="1"/>
        <v>100</v>
      </c>
      <c r="V15" s="705" t="s">
        <v>18</v>
      </c>
      <c r="W15" s="706">
        <f t="shared" si="2"/>
        <v>100</v>
      </c>
      <c r="X15" s="1355"/>
      <c r="Y15" s="3685"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684"/>
      <c r="Q16" s="1352"/>
      <c r="R16" s="705"/>
      <c r="S16" s="706"/>
      <c r="T16" s="705"/>
      <c r="U16" s="706"/>
      <c r="V16" s="705"/>
      <c r="W16" s="706"/>
      <c r="X16" s="1355"/>
      <c r="Y16" s="3686"/>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84"/>
      <c r="Q17" s="1352" t="str">
        <f>B17</f>
        <v>交通便捷度</v>
      </c>
      <c r="R17" s="705" t="s">
        <v>18</v>
      </c>
      <c r="S17" s="706">
        <f>F17</f>
        <v>100</v>
      </c>
      <c r="T17" s="705" t="s">
        <v>18</v>
      </c>
      <c r="U17" s="706">
        <f>H17</f>
        <v>100</v>
      </c>
      <c r="V17" s="705" t="s">
        <v>18</v>
      </c>
      <c r="W17" s="706">
        <f>J17</f>
        <v>100</v>
      </c>
      <c r="X17" s="1355"/>
      <c r="Y17" s="368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684"/>
      <c r="Q18" s="1352"/>
      <c r="R18" s="705"/>
      <c r="S18" s="706"/>
      <c r="T18" s="705"/>
      <c r="U18" s="706"/>
      <c r="V18" s="705"/>
      <c r="W18" s="706"/>
      <c r="X18" s="1355"/>
      <c r="Y18" s="3686"/>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84"/>
      <c r="Q19" s="1352" t="str">
        <f>B19</f>
        <v>公共配套设施</v>
      </c>
      <c r="R19" s="705" t="s">
        <v>18</v>
      </c>
      <c r="S19" s="706">
        <f>F19</f>
        <v>100</v>
      </c>
      <c r="T19" s="705" t="s">
        <v>18</v>
      </c>
      <c r="U19" s="706">
        <f>H19</f>
        <v>100</v>
      </c>
      <c r="V19" s="705" t="s">
        <v>18</v>
      </c>
      <c r="W19" s="706">
        <f>J19</f>
        <v>100</v>
      </c>
      <c r="X19" s="1355"/>
      <c r="Y19" s="368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684"/>
      <c r="Q20" s="1352"/>
      <c r="R20" s="705"/>
      <c r="S20" s="706"/>
      <c r="T20" s="705"/>
      <c r="U20" s="706"/>
      <c r="V20" s="705"/>
      <c r="W20" s="706"/>
      <c r="X20" s="1355"/>
      <c r="Y20" s="3686"/>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84"/>
      <c r="Q21" s="1352" t="str">
        <f>B21</f>
        <v>基础设施水平</v>
      </c>
      <c r="R21" s="705" t="s">
        <v>14</v>
      </c>
      <c r="S21" s="706">
        <f>F21</f>
        <v>100</v>
      </c>
      <c r="T21" s="705" t="s">
        <v>14</v>
      </c>
      <c r="U21" s="706">
        <f>H21</f>
        <v>100</v>
      </c>
      <c r="V21" s="705" t="s">
        <v>14</v>
      </c>
      <c r="W21" s="706">
        <f>J21</f>
        <v>100</v>
      </c>
      <c r="X21" s="1355"/>
      <c r="Y21" s="368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684"/>
      <c r="Q22" s="1352"/>
      <c r="R22" s="705"/>
      <c r="S22" s="706"/>
      <c r="T22" s="705"/>
      <c r="U22" s="706"/>
      <c r="V22" s="705"/>
      <c r="W22" s="706"/>
      <c r="X22" s="1355"/>
      <c r="Y22" s="3686"/>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84"/>
      <c r="Q23" s="1352" t="str">
        <f>B23</f>
        <v>自然及人文环境</v>
      </c>
      <c r="R23" s="705" t="s">
        <v>18</v>
      </c>
      <c r="S23" s="706">
        <f>F23</f>
        <v>100</v>
      </c>
      <c r="T23" s="705" t="s">
        <v>18</v>
      </c>
      <c r="U23" s="706">
        <f>H23</f>
        <v>100</v>
      </c>
      <c r="V23" s="705" t="s">
        <v>18</v>
      </c>
      <c r="W23" s="706">
        <f>J23</f>
        <v>100</v>
      </c>
      <c r="X23" s="1355"/>
      <c r="Y23" s="368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684"/>
      <c r="Q24" s="1352"/>
      <c r="R24" s="705"/>
      <c r="S24" s="706"/>
      <c r="T24" s="705"/>
      <c r="U24" s="706"/>
      <c r="V24" s="705"/>
      <c r="W24" s="706"/>
      <c r="X24" s="1355"/>
      <c r="Y24" s="3686"/>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68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6"/>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684"/>
      <c r="Q26" s="1352" t="str">
        <f t="shared" si="11"/>
        <v>朝向</v>
      </c>
      <c r="R26" s="705" t="s">
        <v>18</v>
      </c>
      <c r="S26" s="706">
        <f t="shared" si="12"/>
        <v>100</v>
      </c>
      <c r="T26" s="705" t="s">
        <v>18</v>
      </c>
      <c r="U26" s="706">
        <f t="shared" si="13"/>
        <v>100</v>
      </c>
      <c r="V26" s="705" t="s">
        <v>18</v>
      </c>
      <c r="W26" s="706">
        <f t="shared" si="14"/>
        <v>100</v>
      </c>
      <c r="X26" s="1355"/>
      <c r="Y26" s="368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684"/>
      <c r="Q27" s="1343">
        <f t="shared" si="11"/>
        <v>111</v>
      </c>
      <c r="R27" s="701" t="s">
        <v>18</v>
      </c>
      <c r="S27" s="702">
        <f t="shared" si="12"/>
        <v>100</v>
      </c>
      <c r="T27" s="701" t="s">
        <v>18</v>
      </c>
      <c r="U27" s="702">
        <f t="shared" si="13"/>
        <v>100</v>
      </c>
      <c r="V27" s="701" t="s">
        <v>18</v>
      </c>
      <c r="W27" s="702">
        <f t="shared" si="14"/>
        <v>100</v>
      </c>
      <c r="X27" s="703"/>
      <c r="Y27" s="368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684"/>
      <c r="Q28" s="1352">
        <f t="shared" si="11"/>
        <v>111</v>
      </c>
      <c r="R28" s="705" t="s">
        <v>18</v>
      </c>
      <c r="S28" s="706">
        <f t="shared" si="12"/>
        <v>100</v>
      </c>
      <c r="T28" s="705" t="s">
        <v>18</v>
      </c>
      <c r="U28" s="706">
        <f t="shared" si="13"/>
        <v>100</v>
      </c>
      <c r="V28" s="705" t="s">
        <v>18</v>
      </c>
      <c r="W28" s="706">
        <f t="shared" si="14"/>
        <v>100</v>
      </c>
      <c r="X28" s="1355"/>
      <c r="Y28" s="368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684"/>
      <c r="Q29" s="1352">
        <f t="shared" si="11"/>
        <v>111</v>
      </c>
      <c r="R29" s="705" t="s">
        <v>18</v>
      </c>
      <c r="S29" s="706">
        <f t="shared" si="12"/>
        <v>100</v>
      </c>
      <c r="T29" s="705" t="s">
        <v>18</v>
      </c>
      <c r="U29" s="706">
        <f t="shared" si="13"/>
        <v>100</v>
      </c>
      <c r="V29" s="705" t="s">
        <v>18</v>
      </c>
      <c r="W29" s="706">
        <f t="shared" si="14"/>
        <v>100</v>
      </c>
      <c r="X29" s="1355"/>
      <c r="Y29" s="368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684"/>
      <c r="Q30" s="1352">
        <f t="shared" si="11"/>
        <v>111</v>
      </c>
      <c r="R30" s="705" t="s">
        <v>18</v>
      </c>
      <c r="S30" s="706">
        <f t="shared" si="12"/>
        <v>100</v>
      </c>
      <c r="T30" s="705" t="s">
        <v>18</v>
      </c>
      <c r="U30" s="706">
        <f t="shared" si="13"/>
        <v>100</v>
      </c>
      <c r="V30" s="705" t="s">
        <v>18</v>
      </c>
      <c r="W30" s="706">
        <f t="shared" si="14"/>
        <v>100</v>
      </c>
      <c r="X30" s="1355"/>
      <c r="Y30" s="368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684"/>
      <c r="Q31" s="1352">
        <f t="shared" si="11"/>
        <v>111</v>
      </c>
      <c r="R31" s="705" t="s">
        <v>18</v>
      </c>
      <c r="S31" s="706">
        <f t="shared" si="12"/>
        <v>100</v>
      </c>
      <c r="T31" s="705" t="s">
        <v>18</v>
      </c>
      <c r="U31" s="706">
        <f t="shared" si="13"/>
        <v>100</v>
      </c>
      <c r="V31" s="705" t="s">
        <v>18</v>
      </c>
      <c r="W31" s="706">
        <f t="shared" si="14"/>
        <v>100</v>
      </c>
      <c r="X31" s="1355"/>
      <c r="Y31" s="3686"/>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687" t="s">
        <v>1696</v>
      </c>
      <c r="Q32" s="1352" t="str">
        <f t="shared" si="11"/>
        <v>建筑类型</v>
      </c>
      <c r="R32" s="705" t="s">
        <v>18</v>
      </c>
      <c r="S32" s="706">
        <f t="shared" si="12"/>
        <v>100</v>
      </c>
      <c r="T32" s="705" t="s">
        <v>18</v>
      </c>
      <c r="U32" s="706">
        <f t="shared" si="13"/>
        <v>100</v>
      </c>
      <c r="V32" s="705" t="s">
        <v>18</v>
      </c>
      <c r="W32" s="706">
        <f t="shared" si="14"/>
        <v>100</v>
      </c>
      <c r="X32" s="1355"/>
      <c r="Y32" s="3690"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688"/>
      <c r="Q33" s="707" t="str">
        <f t="shared" si="11"/>
        <v>项目建筑规模</v>
      </c>
      <c r="R33" s="708" t="s">
        <v>18</v>
      </c>
      <c r="S33" s="709" t="e">
        <f t="shared" si="12"/>
        <v>#N/A</v>
      </c>
      <c r="T33" s="708" t="s">
        <v>18</v>
      </c>
      <c r="U33" s="709" t="e">
        <f t="shared" si="13"/>
        <v>#N/A</v>
      </c>
      <c r="V33" s="708" t="s">
        <v>18</v>
      </c>
      <c r="W33" s="709" t="e">
        <f t="shared" si="14"/>
        <v>#N/A</v>
      </c>
      <c r="X33" s="710"/>
      <c r="Y33" s="3690"/>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688"/>
      <c r="Q34" s="1352" t="str">
        <f t="shared" si="11"/>
        <v>建筑结构</v>
      </c>
      <c r="R34" s="705" t="s">
        <v>18</v>
      </c>
      <c r="S34" s="706">
        <f t="shared" si="12"/>
        <v>100</v>
      </c>
      <c r="T34" s="705" t="s">
        <v>18</v>
      </c>
      <c r="U34" s="706">
        <f t="shared" si="13"/>
        <v>100</v>
      </c>
      <c r="V34" s="705" t="s">
        <v>18</v>
      </c>
      <c r="W34" s="706">
        <f t="shared" si="14"/>
        <v>100</v>
      </c>
      <c r="X34" s="1355"/>
      <c r="Y34" s="3690"/>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688"/>
      <c r="Q35" s="1352" t="str">
        <f t="shared" si="11"/>
        <v>建筑品质</v>
      </c>
      <c r="R35" s="705" t="s">
        <v>18</v>
      </c>
      <c r="S35" s="706">
        <f t="shared" si="12"/>
        <v>100</v>
      </c>
      <c r="T35" s="705" t="s">
        <v>18</v>
      </c>
      <c r="U35" s="706">
        <f t="shared" si="13"/>
        <v>100</v>
      </c>
      <c r="V35" s="705" t="s">
        <v>18</v>
      </c>
      <c r="W35" s="706">
        <f t="shared" si="14"/>
        <v>100</v>
      </c>
      <c r="X35" s="1355"/>
      <c r="Y35" s="3690"/>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688"/>
      <c r="Q36" s="1352" t="str">
        <f t="shared" si="11"/>
        <v>公共部分装修</v>
      </c>
      <c r="R36" s="705" t="s">
        <v>18</v>
      </c>
      <c r="S36" s="706">
        <f t="shared" si="12"/>
        <v>100</v>
      </c>
      <c r="T36" s="705" t="s">
        <v>18</v>
      </c>
      <c r="U36" s="706">
        <f t="shared" si="13"/>
        <v>100</v>
      </c>
      <c r="V36" s="705" t="s">
        <v>18</v>
      </c>
      <c r="W36" s="706">
        <f t="shared" si="14"/>
        <v>100</v>
      </c>
      <c r="X36" s="1355"/>
      <c r="Y36" s="3690"/>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88"/>
      <c r="Q37" s="1343" t="str">
        <f t="shared" si="11"/>
        <v>成新度</v>
      </c>
      <c r="R37" s="701" t="s">
        <v>18</v>
      </c>
      <c r="S37" s="702" t="e">
        <f t="shared" si="12"/>
        <v>#N/A</v>
      </c>
      <c r="T37" s="701" t="s">
        <v>18</v>
      </c>
      <c r="U37" s="702" t="e">
        <f t="shared" si="13"/>
        <v>#N/A</v>
      </c>
      <c r="V37" s="701" t="s">
        <v>18</v>
      </c>
      <c r="W37" s="702" t="e">
        <f t="shared" si="14"/>
        <v>#N/A</v>
      </c>
      <c r="X37" s="703"/>
      <c r="Y37" s="3690"/>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688" t="s">
        <v>1696</v>
      </c>
      <c r="Q38" s="1352" t="str">
        <f t="shared" si="11"/>
        <v>物业管理</v>
      </c>
      <c r="R38" s="705" t="s">
        <v>18</v>
      </c>
      <c r="S38" s="706">
        <f t="shared" si="12"/>
        <v>100</v>
      </c>
      <c r="T38" s="705" t="s">
        <v>18</v>
      </c>
      <c r="U38" s="706">
        <f t="shared" si="13"/>
        <v>100</v>
      </c>
      <c r="V38" s="705" t="s">
        <v>18</v>
      </c>
      <c r="W38" s="706">
        <f t="shared" si="14"/>
        <v>100</v>
      </c>
      <c r="X38" s="1355"/>
      <c r="Y38" s="3690"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688"/>
      <c r="Q39" s="1352" t="str">
        <f t="shared" si="11"/>
        <v>市政基础设施</v>
      </c>
      <c r="R39" s="705" t="s">
        <v>18</v>
      </c>
      <c r="S39" s="706">
        <f t="shared" si="12"/>
        <v>100</v>
      </c>
      <c r="T39" s="705" t="s">
        <v>18</v>
      </c>
      <c r="U39" s="706">
        <f t="shared" si="13"/>
        <v>100</v>
      </c>
      <c r="V39" s="705" t="s">
        <v>18</v>
      </c>
      <c r="W39" s="706">
        <f t="shared" si="14"/>
        <v>100</v>
      </c>
      <c r="X39" s="1355"/>
      <c r="Y39" s="3690"/>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688"/>
      <c r="Q40" s="1352" t="str">
        <f t="shared" si="11"/>
        <v>房型</v>
      </c>
      <c r="R40" s="705" t="s">
        <v>18</v>
      </c>
      <c r="S40" s="706">
        <f t="shared" si="12"/>
        <v>100</v>
      </c>
      <c r="T40" s="705" t="s">
        <v>18</v>
      </c>
      <c r="U40" s="706">
        <f t="shared" si="13"/>
        <v>100</v>
      </c>
      <c r="V40" s="705" t="s">
        <v>18</v>
      </c>
      <c r="W40" s="706">
        <f t="shared" si="14"/>
        <v>100</v>
      </c>
      <c r="X40" s="1355"/>
      <c r="Y40" s="3690"/>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688"/>
      <c r="Q41" s="707" t="str">
        <f t="shared" si="11"/>
        <v>单套/主力户型建筑面积</v>
      </c>
      <c r="R41" s="708" t="s">
        <v>18</v>
      </c>
      <c r="S41" s="709">
        <f t="shared" si="12"/>
        <v>100</v>
      </c>
      <c r="T41" s="708" t="s">
        <v>18</v>
      </c>
      <c r="U41" s="709">
        <f t="shared" si="13"/>
        <v>100</v>
      </c>
      <c r="V41" s="708" t="s">
        <v>18</v>
      </c>
      <c r="W41" s="709">
        <f t="shared" si="14"/>
        <v>100</v>
      </c>
      <c r="X41" s="710"/>
      <c r="Y41" s="3690"/>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688"/>
      <c r="Q42" s="1352" t="str">
        <f t="shared" si="11"/>
        <v>内部装修</v>
      </c>
      <c r="R42" s="705" t="s">
        <v>18</v>
      </c>
      <c r="S42" s="706">
        <f t="shared" si="12"/>
        <v>100</v>
      </c>
      <c r="T42" s="705" t="s">
        <v>18</v>
      </c>
      <c r="U42" s="706">
        <f t="shared" si="13"/>
        <v>100</v>
      </c>
      <c r="V42" s="705" t="s">
        <v>18</v>
      </c>
      <c r="W42" s="706">
        <f t="shared" si="14"/>
        <v>100</v>
      </c>
      <c r="X42" s="1355"/>
      <c r="Y42" s="3690"/>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688"/>
      <c r="Q43" s="1352" t="str">
        <f t="shared" si="11"/>
        <v>内部装修维护情况</v>
      </c>
      <c r="R43" s="705" t="s">
        <v>18</v>
      </c>
      <c r="S43" s="706">
        <f t="shared" si="12"/>
        <v>100</v>
      </c>
      <c r="T43" s="705" t="s">
        <v>18</v>
      </c>
      <c r="U43" s="706">
        <f t="shared" si="13"/>
        <v>100</v>
      </c>
      <c r="V43" s="705" t="s">
        <v>18</v>
      </c>
      <c r="W43" s="706">
        <f t="shared" si="14"/>
        <v>100</v>
      </c>
      <c r="X43" s="1355"/>
      <c r="Y43" s="369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688"/>
      <c r="Q44" s="1343">
        <f t="shared" si="11"/>
        <v>111</v>
      </c>
      <c r="R44" s="701" t="s">
        <v>18</v>
      </c>
      <c r="S44" s="702">
        <f t="shared" si="12"/>
        <v>100</v>
      </c>
      <c r="T44" s="701" t="s">
        <v>18</v>
      </c>
      <c r="U44" s="702">
        <f t="shared" si="13"/>
        <v>100</v>
      </c>
      <c r="V44" s="701" t="s">
        <v>18</v>
      </c>
      <c r="W44" s="702">
        <f t="shared" si="14"/>
        <v>100</v>
      </c>
      <c r="X44" s="703"/>
      <c r="Y44" s="369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688"/>
      <c r="Q45" s="1352">
        <f t="shared" si="11"/>
        <v>111</v>
      </c>
      <c r="R45" s="705" t="s">
        <v>18</v>
      </c>
      <c r="S45" s="706">
        <f t="shared" si="12"/>
        <v>100</v>
      </c>
      <c r="T45" s="705" t="s">
        <v>18</v>
      </c>
      <c r="U45" s="706">
        <f t="shared" si="13"/>
        <v>100</v>
      </c>
      <c r="V45" s="705" t="s">
        <v>18</v>
      </c>
      <c r="W45" s="706">
        <f t="shared" si="14"/>
        <v>100</v>
      </c>
      <c r="X45" s="1355"/>
      <c r="Y45" s="369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689"/>
      <c r="Q46" s="1352">
        <f t="shared" si="11"/>
        <v>111</v>
      </c>
      <c r="R46" s="705" t="s">
        <v>17</v>
      </c>
      <c r="S46" s="706">
        <f t="shared" si="12"/>
        <v>100</v>
      </c>
      <c r="T46" s="705" t="s">
        <v>17</v>
      </c>
      <c r="U46" s="706">
        <f t="shared" si="13"/>
        <v>100</v>
      </c>
      <c r="V46" s="705" t="s">
        <v>17</v>
      </c>
      <c r="W46" s="706">
        <f t="shared" si="14"/>
        <v>100</v>
      </c>
      <c r="X46" s="1355"/>
      <c r="Y46" s="3691"/>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3"/>
      <c r="M47" s="2724"/>
      <c r="N47" s="2715"/>
      <c r="O47" s="2724"/>
      <c r="P47" s="3678" t="str">
        <f>A47</f>
        <v>成交单价（元/平方米）</v>
      </c>
      <c r="Q47" s="3678"/>
      <c r="R47" s="3679">
        <f>E47</f>
        <v>0</v>
      </c>
      <c r="S47" s="3679"/>
      <c r="T47" s="3679">
        <f>G47</f>
        <v>0</v>
      </c>
      <c r="U47" s="3679"/>
      <c r="V47" s="3679">
        <f>I47</f>
        <v>0</v>
      </c>
      <c r="W47" s="3679"/>
      <c r="X47" s="690"/>
      <c r="Y47" s="712"/>
      <c r="Z47" s="690"/>
      <c r="AA47" s="690"/>
      <c r="AB47" s="690"/>
      <c r="AC47" s="690"/>
    </row>
    <row r="48" spans="1:29" ht="15.75" thickBot="1">
      <c r="A48" s="437" t="s">
        <v>1709</v>
      </c>
      <c r="B48" s="438"/>
      <c r="C48" s="1160" t="e">
        <f>R49</f>
        <v>#DIV/0!</v>
      </c>
      <c r="D48" s="2317" t="s">
        <v>2137</v>
      </c>
      <c r="E48" s="1161" t="e">
        <f>R48</f>
        <v>#DIV/0!</v>
      </c>
      <c r="F48" s="2318"/>
      <c r="G48" s="1160" t="e">
        <f>T48</f>
        <v>#DIV/0!</v>
      </c>
      <c r="H48" s="2318"/>
      <c r="I48" s="1161" t="e">
        <f>V48</f>
        <v>#DIV/0!</v>
      </c>
      <c r="J48" s="2318"/>
      <c r="K48" s="2319">
        <f>F48+H48+J48</f>
        <v>0</v>
      </c>
      <c r="L48" s="2723"/>
      <c r="M48" s="2724"/>
      <c r="N48" s="2724"/>
      <c r="O48" s="2724"/>
      <c r="P48" s="3678" t="str">
        <f>A48</f>
        <v>比较价值（元/平方米）</v>
      </c>
      <c r="Q48" s="3678"/>
      <c r="R48" s="3679" t="e">
        <f>IF(F1="售价",ROUND(PRODUCT(R47,AA7:AA46),0),ROUND(PRODUCT(R47,AA7:AA46),1))</f>
        <v>#DIV/0!</v>
      </c>
      <c r="S48" s="3679"/>
      <c r="T48" s="3679" t="e">
        <f>IF(F1="售价",ROUND(PRODUCT(T47,AB7:AB46),0),ROUND(PRODUCT(T47,AB7:AB46),1))</f>
        <v>#DIV/0!</v>
      </c>
      <c r="U48" s="3679"/>
      <c r="V48" s="3679" t="e">
        <f>IF(F1="售价",ROUND(PRODUCT(V47,AC7:AC46),0),ROUND(PRODUCT(V47,AC7:AC46),1))</f>
        <v>#DIV/0!</v>
      </c>
      <c r="W48" s="3679"/>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3"/>
      <c r="M49" s="2724"/>
      <c r="N49" s="2724"/>
      <c r="O49" s="2724"/>
      <c r="P49" s="3680" t="str">
        <f>A49</f>
        <v>估价对象XX用房的比较价值（楼面单价，元/平方米）</v>
      </c>
      <c r="Q49" s="3681"/>
      <c r="R49" s="3682" t="e">
        <f>IF(F1="售价",ROUND(IF(D48="简单平均",AVERAGE(R48:V48),R48*F48+T48*H48+V48*J48),0),ROUND(IF(D48="简单平均",AVERAGE(R48:V48),R48*F48+T48*H48+V48*J48),1))</f>
        <v>#DIV/0!</v>
      </c>
      <c r="S49" s="3682"/>
      <c r="T49" s="3682"/>
      <c r="U49" s="3682"/>
      <c r="V49" s="3682"/>
      <c r="W49" s="3682"/>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2023-12</v>
      </c>
      <c r="D58" s="1185">
        <f>EDATE(C58,-1)</f>
        <v>45231</v>
      </c>
      <c r="E58" s="1185">
        <f>EDATE(D58,-1)</f>
        <v>45200</v>
      </c>
      <c r="F58" s="1185">
        <f t="shared" ref="F58:O58" si="19">EDATE(E58,-1)</f>
        <v>45170</v>
      </c>
      <c r="G58" s="1185">
        <f t="shared" si="19"/>
        <v>45139</v>
      </c>
      <c r="H58" s="1185">
        <f t="shared" si="19"/>
        <v>45108</v>
      </c>
      <c r="I58" s="1185">
        <f t="shared" si="19"/>
        <v>45078</v>
      </c>
      <c r="J58" s="1185">
        <f t="shared" si="19"/>
        <v>45047</v>
      </c>
      <c r="K58" s="1185">
        <f t="shared" si="19"/>
        <v>45017</v>
      </c>
      <c r="L58" s="1185">
        <f t="shared" si="19"/>
        <v>44986</v>
      </c>
      <c r="M58" s="1185">
        <f t="shared" si="19"/>
        <v>44958</v>
      </c>
      <c r="N58" s="1185">
        <f t="shared" si="19"/>
        <v>44927</v>
      </c>
      <c r="O58" s="1185">
        <f t="shared" si="19"/>
        <v>44896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受贵公司委托，我公司对北京市密云区沙河镇1号院房地产抵押价值进行了预评估。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估价对象为北京市密云区沙河镇1号院房地产，为所有。根据《国有土地使用证》[]，估价对象（分摊）出让国有建设用地使用权面积为0平方米，建筑面积为1562.24平方米。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估价对象为北京市密云区沙河镇1号院房地产,属开发建设的，该项目尚在开发建设中。根据《国有土地使用证》[]，估价对象（分摊）出让国有建设用地使用权面积为0平方米，规划建筑面积为1562.24平方米。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密云区沙河镇1号院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2023年12月19日（评估专业人员实地查勘之日）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19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1562.24</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97" t="s">
        <v>1770</v>
      </c>
      <c r="D4" s="3698"/>
      <c r="E4" s="3699" t="s">
        <v>1771</v>
      </c>
      <c r="F4" s="3700"/>
      <c r="G4" s="3697" t="s">
        <v>1772</v>
      </c>
      <c r="H4" s="3698"/>
      <c r="I4" s="3697" t="s">
        <v>1773</v>
      </c>
      <c r="J4" s="3698"/>
      <c r="K4" s="559" t="s">
        <v>1774</v>
      </c>
      <c r="L4" s="2714"/>
      <c r="M4" s="2715"/>
      <c r="N4" s="2715"/>
      <c r="O4" s="2715"/>
      <c r="P4" s="3758" t="s">
        <v>1775</v>
      </c>
      <c r="Q4" s="3759"/>
      <c r="R4" s="3762" t="s">
        <v>1771</v>
      </c>
      <c r="S4" s="3763"/>
      <c r="T4" s="3762" t="s">
        <v>1772</v>
      </c>
      <c r="U4" s="3763"/>
      <c r="V4" s="3764" t="s">
        <v>1773</v>
      </c>
      <c r="W4" s="3764"/>
      <c r="X4" s="1958"/>
      <c r="Y4" s="3762" t="s">
        <v>1775</v>
      </c>
      <c r="Z4" s="3763"/>
      <c r="AA4" s="3766" t="s">
        <v>1771</v>
      </c>
      <c r="AB4" s="3766" t="s">
        <v>1772</v>
      </c>
      <c r="AC4" s="3755" t="s">
        <v>1773</v>
      </c>
    </row>
    <row r="5" spans="1:29" ht="15">
      <c r="A5" s="358"/>
      <c r="B5" s="359"/>
      <c r="C5" s="3720" t="s">
        <v>1673</v>
      </c>
      <c r="D5" s="3716"/>
      <c r="E5" s="3751" t="s">
        <v>1674</v>
      </c>
      <c r="F5" s="3724"/>
      <c r="G5" s="3720" t="s">
        <v>1675</v>
      </c>
      <c r="H5" s="3716"/>
      <c r="I5" s="3720" t="s">
        <v>1676</v>
      </c>
      <c r="J5" s="3716"/>
      <c r="K5" s="559"/>
      <c r="L5" s="2714"/>
      <c r="M5" s="2715"/>
      <c r="N5" s="2715"/>
      <c r="O5" s="2715"/>
      <c r="P5" s="3760"/>
      <c r="Q5" s="3704"/>
      <c r="R5" s="3709"/>
      <c r="S5" s="3710"/>
      <c r="T5" s="3709"/>
      <c r="U5" s="3710"/>
      <c r="V5" s="3692"/>
      <c r="W5" s="3692"/>
      <c r="X5" s="1355"/>
      <c r="Y5" s="3709"/>
      <c r="Z5" s="3710"/>
      <c r="AA5" s="3695"/>
      <c r="AB5" s="3695"/>
      <c r="AC5" s="3756"/>
    </row>
    <row r="6" spans="1:29" ht="15.75" thickBot="1">
      <c r="A6" s="360"/>
      <c r="B6" s="361"/>
      <c r="C6" s="3713" t="s">
        <v>1677</v>
      </c>
      <c r="D6" s="3714"/>
      <c r="E6" s="3721" t="s">
        <v>1677</v>
      </c>
      <c r="F6" s="3722"/>
      <c r="G6" s="3713" t="s">
        <v>1677</v>
      </c>
      <c r="H6" s="3714"/>
      <c r="I6" s="3713" t="s">
        <v>1677</v>
      </c>
      <c r="J6" s="3714"/>
      <c r="K6" s="559" t="s">
        <v>1678</v>
      </c>
      <c r="L6" s="2714"/>
      <c r="M6" s="2715"/>
      <c r="N6" s="2715"/>
      <c r="O6" s="2715"/>
      <c r="P6" s="3761"/>
      <c r="Q6" s="3706"/>
      <c r="R6" s="3709"/>
      <c r="S6" s="3710"/>
      <c r="T6" s="3711"/>
      <c r="U6" s="3712"/>
      <c r="V6" s="3692"/>
      <c r="W6" s="3692"/>
      <c r="X6" s="1355"/>
      <c r="Y6" s="3711"/>
      <c r="Z6" s="3712"/>
      <c r="AA6" s="3696"/>
      <c r="AB6" s="3696"/>
      <c r="AC6" s="3757"/>
    </row>
    <row r="7" spans="1:29" s="108" customFormat="1" ht="15.75" thickBot="1">
      <c r="A7" s="362" t="s">
        <v>1679</v>
      </c>
      <c r="B7" s="363"/>
      <c r="C7" s="364">
        <f>'数据-取费表'!B2</f>
        <v>45279</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65" t="s">
        <v>1680</v>
      </c>
      <c r="Q7" s="3719"/>
      <c r="R7" s="701" t="s">
        <v>14</v>
      </c>
      <c r="S7" s="702">
        <f t="shared" ref="S7:S15" si="0">F7</f>
        <v>0</v>
      </c>
      <c r="T7" s="701" t="s">
        <v>14</v>
      </c>
      <c r="U7" s="702">
        <f t="shared" ref="U7:U15" si="1">H7</f>
        <v>0</v>
      </c>
      <c r="V7" s="701" t="s">
        <v>14</v>
      </c>
      <c r="W7" s="702">
        <f t="shared" ref="W7:W15" si="2">J7</f>
        <v>0</v>
      </c>
      <c r="X7" s="703"/>
      <c r="Y7" s="3717" t="s">
        <v>1680</v>
      </c>
      <c r="Z7" s="3718"/>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65" t="s">
        <v>1683</v>
      </c>
      <c r="Q8" s="3718"/>
      <c r="R8" s="701" t="s">
        <v>14</v>
      </c>
      <c r="S8" s="702">
        <f t="shared" si="0"/>
        <v>100</v>
      </c>
      <c r="T8" s="701" t="s">
        <v>14</v>
      </c>
      <c r="U8" s="702">
        <f t="shared" si="1"/>
        <v>100</v>
      </c>
      <c r="V8" s="701" t="s">
        <v>14</v>
      </c>
      <c r="W8" s="702">
        <f t="shared" si="2"/>
        <v>100</v>
      </c>
      <c r="X8" s="703"/>
      <c r="Y8" s="3717" t="s">
        <v>1683</v>
      </c>
      <c r="Z8" s="3718"/>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93" t="s">
        <v>1686</v>
      </c>
      <c r="Q9" s="1343" t="str">
        <f t="shared" ref="Q9:Q15" si="6">B9</f>
        <v>用途</v>
      </c>
      <c r="R9" s="701" t="s">
        <v>14</v>
      </c>
      <c r="S9" s="702">
        <f t="shared" si="0"/>
        <v>100</v>
      </c>
      <c r="T9" s="701" t="s">
        <v>14</v>
      </c>
      <c r="U9" s="702">
        <f t="shared" si="1"/>
        <v>100</v>
      </c>
      <c r="V9" s="701" t="s">
        <v>14</v>
      </c>
      <c r="W9" s="702">
        <f t="shared" si="2"/>
        <v>100</v>
      </c>
      <c r="X9" s="703"/>
      <c r="Y9" s="3563" t="s">
        <v>1687</v>
      </c>
      <c r="Z9" s="52" t="str">
        <f t="shared" ref="Z9:Z15" si="7">Q9</f>
        <v>用途</v>
      </c>
      <c r="AA9" s="704">
        <f t="shared" si="3"/>
        <v>1</v>
      </c>
      <c r="AB9" s="704">
        <f t="shared" si="4"/>
        <v>1</v>
      </c>
      <c r="AC9" s="1959">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93"/>
      <c r="Q10" s="1343" t="str">
        <f t="shared" si="6"/>
        <v>土地使用年限（年）</v>
      </c>
      <c r="R10" s="701" t="s">
        <v>14</v>
      </c>
      <c r="S10" s="702">
        <f t="shared" si="0"/>
        <v>100</v>
      </c>
      <c r="T10" s="701" t="s">
        <v>14</v>
      </c>
      <c r="U10" s="702">
        <f t="shared" si="1"/>
        <v>100</v>
      </c>
      <c r="V10" s="701" t="s">
        <v>14</v>
      </c>
      <c r="W10" s="702">
        <f t="shared" si="2"/>
        <v>100</v>
      </c>
      <c r="X10" s="703"/>
      <c r="Y10" s="3563"/>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93"/>
      <c r="Q11" s="1343" t="str">
        <f t="shared" si="6"/>
        <v>容积率</v>
      </c>
      <c r="R11" s="701" t="s">
        <v>14</v>
      </c>
      <c r="S11" s="702">
        <f t="shared" si="0"/>
        <v>100</v>
      </c>
      <c r="T11" s="701" t="s">
        <v>14</v>
      </c>
      <c r="U11" s="702">
        <f t="shared" si="1"/>
        <v>100</v>
      </c>
      <c r="V11" s="701" t="s">
        <v>14</v>
      </c>
      <c r="W11" s="702">
        <f t="shared" si="2"/>
        <v>100</v>
      </c>
      <c r="X11" s="703"/>
      <c r="Y11" s="356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93"/>
      <c r="Q12" s="1343">
        <f t="shared" si="6"/>
        <v>111</v>
      </c>
      <c r="R12" s="701" t="s">
        <v>14</v>
      </c>
      <c r="S12" s="702">
        <f t="shared" si="0"/>
        <v>100</v>
      </c>
      <c r="T12" s="701" t="s">
        <v>14</v>
      </c>
      <c r="U12" s="702">
        <f t="shared" si="1"/>
        <v>100</v>
      </c>
      <c r="V12" s="701" t="s">
        <v>14</v>
      </c>
      <c r="W12" s="702">
        <f t="shared" si="2"/>
        <v>100</v>
      </c>
      <c r="X12" s="703"/>
      <c r="Y12" s="356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93"/>
      <c r="Q13" s="1343">
        <f t="shared" si="6"/>
        <v>111</v>
      </c>
      <c r="R13" s="701" t="s">
        <v>14</v>
      </c>
      <c r="S13" s="702">
        <f t="shared" si="0"/>
        <v>100</v>
      </c>
      <c r="T13" s="701" t="s">
        <v>14</v>
      </c>
      <c r="U13" s="702">
        <f t="shared" si="1"/>
        <v>100</v>
      </c>
      <c r="V13" s="701" t="s">
        <v>14</v>
      </c>
      <c r="W13" s="702">
        <f t="shared" si="2"/>
        <v>100</v>
      </c>
      <c r="X13" s="703"/>
      <c r="Y13" s="3563"/>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93"/>
      <c r="Q14" s="1343">
        <f t="shared" si="6"/>
        <v>111</v>
      </c>
      <c r="R14" s="701" t="s">
        <v>14</v>
      </c>
      <c r="S14" s="702">
        <f t="shared" si="0"/>
        <v>100</v>
      </c>
      <c r="T14" s="701" t="s">
        <v>14</v>
      </c>
      <c r="U14" s="702">
        <f t="shared" si="1"/>
        <v>100</v>
      </c>
      <c r="V14" s="701" t="s">
        <v>14</v>
      </c>
      <c r="W14" s="702">
        <f t="shared" si="2"/>
        <v>100</v>
      </c>
      <c r="X14" s="703"/>
      <c r="Y14" s="3563"/>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83" t="s">
        <v>1691</v>
      </c>
      <c r="Q15" s="1352" t="str">
        <f t="shared" si="6"/>
        <v>办公集聚程度</v>
      </c>
      <c r="R15" s="705" t="s">
        <v>14</v>
      </c>
      <c r="S15" s="706">
        <f t="shared" si="0"/>
        <v>100</v>
      </c>
      <c r="T15" s="705" t="s">
        <v>14</v>
      </c>
      <c r="U15" s="706">
        <f t="shared" si="1"/>
        <v>100</v>
      </c>
      <c r="V15" s="705" t="s">
        <v>14</v>
      </c>
      <c r="W15" s="706">
        <f t="shared" si="2"/>
        <v>100</v>
      </c>
      <c r="X15" s="1355"/>
      <c r="Y15" s="3685"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684"/>
      <c r="Q16" s="1352"/>
      <c r="R16" s="705"/>
      <c r="S16" s="706"/>
      <c r="T16" s="705"/>
      <c r="U16" s="706"/>
      <c r="V16" s="705"/>
      <c r="W16" s="706"/>
      <c r="X16" s="1355"/>
      <c r="Y16" s="3686"/>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84"/>
      <c r="Q17" s="1352" t="str">
        <f>B17</f>
        <v>交通便捷度</v>
      </c>
      <c r="R17" s="705" t="s">
        <v>14</v>
      </c>
      <c r="S17" s="706">
        <f>F17</f>
        <v>100</v>
      </c>
      <c r="T17" s="705" t="s">
        <v>14</v>
      </c>
      <c r="U17" s="706">
        <f>H17</f>
        <v>100</v>
      </c>
      <c r="V17" s="705" t="s">
        <v>14</v>
      </c>
      <c r="W17" s="706">
        <f>J17</f>
        <v>100</v>
      </c>
      <c r="X17" s="1355"/>
      <c r="Y17" s="3686"/>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684"/>
      <c r="Q18" s="1352"/>
      <c r="R18" s="705"/>
      <c r="S18" s="706"/>
      <c r="T18" s="705"/>
      <c r="U18" s="706"/>
      <c r="V18" s="705"/>
      <c r="W18" s="706"/>
      <c r="X18" s="1355"/>
      <c r="Y18" s="3686"/>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84"/>
      <c r="Q19" s="1352" t="str">
        <f>B19</f>
        <v>公共配套设施</v>
      </c>
      <c r="R19" s="705" t="s">
        <v>14</v>
      </c>
      <c r="S19" s="706">
        <f>F19</f>
        <v>100</v>
      </c>
      <c r="T19" s="705" t="s">
        <v>14</v>
      </c>
      <c r="U19" s="706">
        <f>H19</f>
        <v>100</v>
      </c>
      <c r="V19" s="705" t="s">
        <v>14</v>
      </c>
      <c r="W19" s="706">
        <f>J19</f>
        <v>100</v>
      </c>
      <c r="X19" s="1355"/>
      <c r="Y19" s="3686"/>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684"/>
      <c r="Q20" s="1352"/>
      <c r="R20" s="705"/>
      <c r="S20" s="706"/>
      <c r="T20" s="705"/>
      <c r="U20" s="706"/>
      <c r="V20" s="705"/>
      <c r="W20" s="706"/>
      <c r="X20" s="1355"/>
      <c r="Y20" s="3686"/>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84"/>
      <c r="Q21" s="1352" t="str">
        <f>B21</f>
        <v>基础设施水平</v>
      </c>
      <c r="R21" s="705" t="s">
        <v>14</v>
      </c>
      <c r="S21" s="706">
        <f>F21</f>
        <v>100</v>
      </c>
      <c r="T21" s="705" t="s">
        <v>14</v>
      </c>
      <c r="U21" s="706">
        <f>H21</f>
        <v>100</v>
      </c>
      <c r="V21" s="705" t="s">
        <v>14</v>
      </c>
      <c r="W21" s="706">
        <f>J21</f>
        <v>100</v>
      </c>
      <c r="X21" s="1355"/>
      <c r="Y21" s="3686"/>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684"/>
      <c r="Q22" s="1352"/>
      <c r="R22" s="705"/>
      <c r="S22" s="706"/>
      <c r="T22" s="705"/>
      <c r="U22" s="706"/>
      <c r="V22" s="705"/>
      <c r="W22" s="706"/>
      <c r="X22" s="1355"/>
      <c r="Y22" s="3686"/>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84"/>
      <c r="Q23" s="1352" t="str">
        <f>B23</f>
        <v>环境质量</v>
      </c>
      <c r="R23" s="705" t="s">
        <v>14</v>
      </c>
      <c r="S23" s="706">
        <f>F23</f>
        <v>100</v>
      </c>
      <c r="T23" s="705" t="s">
        <v>14</v>
      </c>
      <c r="U23" s="706">
        <f>H23</f>
        <v>100</v>
      </c>
      <c r="V23" s="705" t="s">
        <v>14</v>
      </c>
      <c r="W23" s="706">
        <f>J23</f>
        <v>100</v>
      </c>
      <c r="X23" s="1355"/>
      <c r="Y23" s="3686"/>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684"/>
      <c r="Q24" s="1352"/>
      <c r="R24" s="705"/>
      <c r="S24" s="706"/>
      <c r="T24" s="705"/>
      <c r="U24" s="706"/>
      <c r="V24" s="705"/>
      <c r="W24" s="706"/>
      <c r="X24" s="1355"/>
      <c r="Y24" s="3686"/>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684"/>
      <c r="Q25" s="1352" t="str">
        <f>B25</f>
        <v>毗邻道路的类型与等级</v>
      </c>
      <c r="R25" s="705" t="s">
        <v>14</v>
      </c>
      <c r="S25" s="706">
        <f>F25</f>
        <v>100</v>
      </c>
      <c r="T25" s="705" t="s">
        <v>14</v>
      </c>
      <c r="U25" s="706">
        <f>H25</f>
        <v>100</v>
      </c>
      <c r="V25" s="705" t="s">
        <v>14</v>
      </c>
      <c r="W25" s="706">
        <f>J25</f>
        <v>100</v>
      </c>
      <c r="X25" s="1355"/>
      <c r="Y25" s="368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684"/>
      <c r="Q26" s="1352"/>
      <c r="R26" s="705"/>
      <c r="S26" s="706"/>
      <c r="T26" s="705"/>
      <c r="U26" s="706"/>
      <c r="V26" s="705"/>
      <c r="W26" s="706"/>
      <c r="X26" s="1355"/>
      <c r="Y26" s="3686"/>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684"/>
      <c r="Q27" s="1352" t="str">
        <f t="shared" ref="Q27:Q47" si="11">B27</f>
        <v>楼层</v>
      </c>
      <c r="R27" s="705" t="s">
        <v>14</v>
      </c>
      <c r="S27" s="706">
        <f>F27</f>
        <v>100</v>
      </c>
      <c r="T27" s="705" t="s">
        <v>14</v>
      </c>
      <c r="U27" s="706">
        <f>H27</f>
        <v>100</v>
      </c>
      <c r="V27" s="705" t="s">
        <v>14</v>
      </c>
      <c r="W27" s="706">
        <f>J27</f>
        <v>100</v>
      </c>
      <c r="X27" s="1355"/>
      <c r="Y27" s="3686"/>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684"/>
      <c r="Q28" s="1343" t="str">
        <f t="shared" si="11"/>
        <v>朝向</v>
      </c>
      <c r="R28" s="701" t="s">
        <v>14</v>
      </c>
      <c r="S28" s="702">
        <f>F28</f>
        <v>100</v>
      </c>
      <c r="T28" s="701" t="s">
        <v>14</v>
      </c>
      <c r="U28" s="702">
        <f>H28</f>
        <v>100</v>
      </c>
      <c r="V28" s="701" t="s">
        <v>14</v>
      </c>
      <c r="W28" s="702">
        <f>J28</f>
        <v>100</v>
      </c>
      <c r="X28" s="703"/>
      <c r="Y28" s="3686"/>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684"/>
      <c r="Q29" s="1352">
        <f t="shared" si="11"/>
        <v>111</v>
      </c>
      <c r="R29" s="705" t="s">
        <v>14</v>
      </c>
      <c r="S29" s="706">
        <f t="shared" ref="S29:S47" si="12">F29</f>
        <v>100</v>
      </c>
      <c r="T29" s="705" t="s">
        <v>14</v>
      </c>
      <c r="U29" s="706">
        <f t="shared" ref="U29:U47" si="13">H29</f>
        <v>100</v>
      </c>
      <c r="V29" s="705" t="s">
        <v>14</v>
      </c>
      <c r="W29" s="706">
        <f t="shared" ref="W29:W47" si="14">J29</f>
        <v>100</v>
      </c>
      <c r="X29" s="1355"/>
      <c r="Y29" s="368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684"/>
      <c r="Q30" s="1352">
        <f t="shared" si="11"/>
        <v>111</v>
      </c>
      <c r="R30" s="705" t="s">
        <v>14</v>
      </c>
      <c r="S30" s="706">
        <f t="shared" si="12"/>
        <v>100</v>
      </c>
      <c r="T30" s="705" t="s">
        <v>14</v>
      </c>
      <c r="U30" s="706">
        <f t="shared" si="13"/>
        <v>100</v>
      </c>
      <c r="V30" s="705" t="s">
        <v>14</v>
      </c>
      <c r="W30" s="706">
        <f t="shared" si="14"/>
        <v>100</v>
      </c>
      <c r="X30" s="1355"/>
      <c r="Y30" s="368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684"/>
      <c r="Q31" s="1352">
        <f t="shared" si="11"/>
        <v>111</v>
      </c>
      <c r="R31" s="705" t="s">
        <v>14</v>
      </c>
      <c r="S31" s="706">
        <f t="shared" si="12"/>
        <v>100</v>
      </c>
      <c r="T31" s="705" t="s">
        <v>14</v>
      </c>
      <c r="U31" s="706">
        <f t="shared" si="13"/>
        <v>100</v>
      </c>
      <c r="V31" s="705" t="s">
        <v>14</v>
      </c>
      <c r="W31" s="706">
        <f t="shared" si="14"/>
        <v>100</v>
      </c>
      <c r="X31" s="1355"/>
      <c r="Y31" s="3686"/>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684"/>
      <c r="Q32" s="1352">
        <f t="shared" si="11"/>
        <v>111</v>
      </c>
      <c r="R32" s="705" t="s">
        <v>14</v>
      </c>
      <c r="S32" s="706">
        <f t="shared" si="12"/>
        <v>100</v>
      </c>
      <c r="T32" s="705" t="s">
        <v>14</v>
      </c>
      <c r="U32" s="706">
        <f t="shared" si="13"/>
        <v>100</v>
      </c>
      <c r="V32" s="705" t="s">
        <v>14</v>
      </c>
      <c r="W32" s="706">
        <f t="shared" si="14"/>
        <v>100</v>
      </c>
      <c r="X32" s="1355"/>
      <c r="Y32" s="3686"/>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687" t="s">
        <v>1696</v>
      </c>
      <c r="Q33" s="1352" t="str">
        <f t="shared" si="11"/>
        <v>建筑类型</v>
      </c>
      <c r="R33" s="705" t="s">
        <v>14</v>
      </c>
      <c r="S33" s="706">
        <f t="shared" si="12"/>
        <v>100</v>
      </c>
      <c r="T33" s="705" t="s">
        <v>14</v>
      </c>
      <c r="U33" s="706">
        <f t="shared" si="13"/>
        <v>100</v>
      </c>
      <c r="V33" s="705" t="s">
        <v>14</v>
      </c>
      <c r="W33" s="706">
        <f t="shared" si="14"/>
        <v>100</v>
      </c>
      <c r="X33" s="1355"/>
      <c r="Y33" s="3690"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88"/>
      <c r="Q34" s="707" t="str">
        <f t="shared" si="11"/>
        <v>项目建筑规模</v>
      </c>
      <c r="R34" s="708" t="s">
        <v>14</v>
      </c>
      <c r="S34" s="709" t="e">
        <f t="shared" si="12"/>
        <v>#N/A</v>
      </c>
      <c r="T34" s="708" t="s">
        <v>14</v>
      </c>
      <c r="U34" s="709" t="e">
        <f t="shared" si="13"/>
        <v>#N/A</v>
      </c>
      <c r="V34" s="708" t="s">
        <v>14</v>
      </c>
      <c r="W34" s="709" t="e">
        <f t="shared" si="14"/>
        <v>#N/A</v>
      </c>
      <c r="X34" s="710"/>
      <c r="Y34" s="3690"/>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88"/>
      <c r="Q35" s="1352" t="str">
        <f t="shared" si="11"/>
        <v>建筑结构</v>
      </c>
      <c r="R35" s="705" t="s">
        <v>14</v>
      </c>
      <c r="S35" s="706">
        <f t="shared" si="12"/>
        <v>100</v>
      </c>
      <c r="T35" s="705" t="s">
        <v>14</v>
      </c>
      <c r="U35" s="706">
        <f t="shared" si="13"/>
        <v>100</v>
      </c>
      <c r="V35" s="705" t="s">
        <v>14</v>
      </c>
      <c r="W35" s="706">
        <f t="shared" si="14"/>
        <v>100</v>
      </c>
      <c r="X35" s="1355"/>
      <c r="Y35" s="3690"/>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88"/>
      <c r="Q36" s="1352" t="str">
        <f t="shared" si="11"/>
        <v>公共部分装修</v>
      </c>
      <c r="R36" s="705" t="s">
        <v>14</v>
      </c>
      <c r="S36" s="706">
        <f t="shared" si="12"/>
        <v>100</v>
      </c>
      <c r="T36" s="705" t="s">
        <v>14</v>
      </c>
      <c r="U36" s="706">
        <f t="shared" si="13"/>
        <v>100</v>
      </c>
      <c r="V36" s="705" t="s">
        <v>14</v>
      </c>
      <c r="W36" s="706">
        <f t="shared" si="14"/>
        <v>100</v>
      </c>
      <c r="X36" s="1355"/>
      <c r="Y36" s="3690"/>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88"/>
      <c r="Q37" s="1352" t="str">
        <f t="shared" si="11"/>
        <v>成新度</v>
      </c>
      <c r="R37" s="705" t="s">
        <v>14</v>
      </c>
      <c r="S37" s="706" t="e">
        <f t="shared" si="12"/>
        <v>#N/A</v>
      </c>
      <c r="T37" s="705" t="s">
        <v>14</v>
      </c>
      <c r="U37" s="706" t="e">
        <f t="shared" si="13"/>
        <v>#N/A</v>
      </c>
      <c r="V37" s="705" t="s">
        <v>14</v>
      </c>
      <c r="W37" s="706" t="e">
        <f t="shared" si="14"/>
        <v>#N/A</v>
      </c>
      <c r="X37" s="1355"/>
      <c r="Y37" s="3690"/>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88"/>
      <c r="Q38" s="1343" t="str">
        <f t="shared" si="11"/>
        <v>写字楼等级</v>
      </c>
      <c r="R38" s="701" t="s">
        <v>14</v>
      </c>
      <c r="S38" s="702">
        <f t="shared" si="12"/>
        <v>100</v>
      </c>
      <c r="T38" s="701" t="s">
        <v>14</v>
      </c>
      <c r="U38" s="702">
        <f t="shared" si="13"/>
        <v>100</v>
      </c>
      <c r="V38" s="701" t="s">
        <v>14</v>
      </c>
      <c r="W38" s="702">
        <f t="shared" si="14"/>
        <v>100</v>
      </c>
      <c r="X38" s="703"/>
      <c r="Y38" s="3690"/>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88" t="s">
        <v>1696</v>
      </c>
      <c r="Q39" s="1352" t="str">
        <f t="shared" si="11"/>
        <v>物业管理</v>
      </c>
      <c r="R39" s="705" t="s">
        <v>14</v>
      </c>
      <c r="S39" s="706">
        <f t="shared" si="12"/>
        <v>100</v>
      </c>
      <c r="T39" s="705" t="s">
        <v>14</v>
      </c>
      <c r="U39" s="706">
        <f t="shared" si="13"/>
        <v>100</v>
      </c>
      <c r="V39" s="705" t="s">
        <v>14</v>
      </c>
      <c r="W39" s="706">
        <f t="shared" si="14"/>
        <v>100</v>
      </c>
      <c r="X39" s="1355"/>
      <c r="Y39" s="3690"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88"/>
      <c r="Q40" s="1352" t="str">
        <f t="shared" si="11"/>
        <v>市政基础设施</v>
      </c>
      <c r="R40" s="705" t="s">
        <v>14</v>
      </c>
      <c r="S40" s="706">
        <f t="shared" si="12"/>
        <v>100</v>
      </c>
      <c r="T40" s="705" t="s">
        <v>14</v>
      </c>
      <c r="U40" s="706">
        <f t="shared" si="13"/>
        <v>100</v>
      </c>
      <c r="V40" s="705" t="s">
        <v>14</v>
      </c>
      <c r="W40" s="706">
        <f t="shared" si="14"/>
        <v>100</v>
      </c>
      <c r="X40" s="1355"/>
      <c r="Y40" s="3690"/>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88"/>
      <c r="Q41" s="1352" t="str">
        <f t="shared" si="11"/>
        <v>层高</v>
      </c>
      <c r="R41" s="705" t="s">
        <v>14</v>
      </c>
      <c r="S41" s="706">
        <f t="shared" si="12"/>
        <v>100</v>
      </c>
      <c r="T41" s="705" t="s">
        <v>14</v>
      </c>
      <c r="U41" s="706">
        <f t="shared" si="13"/>
        <v>100</v>
      </c>
      <c r="V41" s="705" t="s">
        <v>14</v>
      </c>
      <c r="W41" s="706">
        <f t="shared" si="14"/>
        <v>100</v>
      </c>
      <c r="X41" s="1355"/>
      <c r="Y41" s="3690"/>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88"/>
      <c r="Q42" s="707" t="str">
        <f t="shared" si="11"/>
        <v>单套建筑面积</v>
      </c>
      <c r="R42" s="708" t="s">
        <v>14</v>
      </c>
      <c r="S42" s="709">
        <f t="shared" si="12"/>
        <v>100</v>
      </c>
      <c r="T42" s="708" t="s">
        <v>14</v>
      </c>
      <c r="U42" s="709">
        <f t="shared" si="13"/>
        <v>100</v>
      </c>
      <c r="V42" s="708" t="s">
        <v>14</v>
      </c>
      <c r="W42" s="709">
        <f t="shared" si="14"/>
        <v>100</v>
      </c>
      <c r="X42" s="710"/>
      <c r="Y42" s="3690"/>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88"/>
      <c r="Q43" s="1352" t="str">
        <f t="shared" si="11"/>
        <v>内部装修</v>
      </c>
      <c r="R43" s="705" t="s">
        <v>14</v>
      </c>
      <c r="S43" s="706">
        <f t="shared" si="12"/>
        <v>100</v>
      </c>
      <c r="T43" s="705" t="s">
        <v>14</v>
      </c>
      <c r="U43" s="706">
        <f t="shared" si="13"/>
        <v>100</v>
      </c>
      <c r="V43" s="705" t="s">
        <v>14</v>
      </c>
      <c r="W43" s="706">
        <f t="shared" si="14"/>
        <v>100</v>
      </c>
      <c r="X43" s="1355"/>
      <c r="Y43" s="3690"/>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688"/>
      <c r="Q44" s="1352" t="str">
        <f t="shared" si="11"/>
        <v>内部装修维护情况</v>
      </c>
      <c r="R44" s="705" t="s">
        <v>14</v>
      </c>
      <c r="S44" s="706">
        <f t="shared" si="12"/>
        <v>100</v>
      </c>
      <c r="T44" s="705" t="s">
        <v>14</v>
      </c>
      <c r="U44" s="706">
        <f t="shared" si="13"/>
        <v>100</v>
      </c>
      <c r="V44" s="705" t="s">
        <v>14</v>
      </c>
      <c r="W44" s="706">
        <f t="shared" si="14"/>
        <v>100</v>
      </c>
      <c r="X44" s="1355"/>
      <c r="Y44" s="3690"/>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88"/>
      <c r="Q45" s="1343">
        <f t="shared" si="11"/>
        <v>111</v>
      </c>
      <c r="R45" s="701" t="s">
        <v>14</v>
      </c>
      <c r="S45" s="702">
        <f t="shared" si="12"/>
        <v>100</v>
      </c>
      <c r="T45" s="701" t="s">
        <v>14</v>
      </c>
      <c r="U45" s="702">
        <f t="shared" si="13"/>
        <v>100</v>
      </c>
      <c r="V45" s="701" t="s">
        <v>14</v>
      </c>
      <c r="W45" s="702">
        <f t="shared" si="14"/>
        <v>100</v>
      </c>
      <c r="X45" s="703"/>
      <c r="Y45" s="3690"/>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88"/>
      <c r="Q46" s="1352">
        <f t="shared" si="11"/>
        <v>111</v>
      </c>
      <c r="R46" s="705" t="s">
        <v>14</v>
      </c>
      <c r="S46" s="706">
        <f t="shared" si="12"/>
        <v>100</v>
      </c>
      <c r="T46" s="705" t="s">
        <v>14</v>
      </c>
      <c r="U46" s="706">
        <f t="shared" si="13"/>
        <v>100</v>
      </c>
      <c r="V46" s="705" t="s">
        <v>14</v>
      </c>
      <c r="W46" s="706">
        <f t="shared" si="14"/>
        <v>100</v>
      </c>
      <c r="X46" s="1355"/>
      <c r="Y46" s="3690"/>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89"/>
      <c r="Q47" s="1352">
        <f t="shared" si="11"/>
        <v>111</v>
      </c>
      <c r="R47" s="705" t="s">
        <v>14</v>
      </c>
      <c r="S47" s="706">
        <f t="shared" si="12"/>
        <v>100</v>
      </c>
      <c r="T47" s="705" t="s">
        <v>14</v>
      </c>
      <c r="U47" s="706">
        <f t="shared" si="13"/>
        <v>100</v>
      </c>
      <c r="V47" s="705" t="s">
        <v>14</v>
      </c>
      <c r="W47" s="706">
        <f t="shared" si="14"/>
        <v>100</v>
      </c>
      <c r="X47" s="1355"/>
      <c r="Y47" s="3691"/>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3"/>
      <c r="M48" s="2715"/>
      <c r="N48" s="2715"/>
      <c r="O48" s="2715"/>
      <c r="P48" s="3693" t="str">
        <f>A48</f>
        <v>成交单价（元/平方米）</v>
      </c>
      <c r="Q48" s="3678"/>
      <c r="R48" s="3679">
        <f>E48</f>
        <v>0</v>
      </c>
      <c r="S48" s="3679"/>
      <c r="T48" s="3679">
        <f>G48</f>
        <v>0</v>
      </c>
      <c r="U48" s="3679"/>
      <c r="V48" s="3679">
        <f>I48</f>
        <v>0</v>
      </c>
      <c r="W48" s="3679"/>
      <c r="X48" s="397"/>
      <c r="Y48" s="712"/>
      <c r="Z48" s="397"/>
      <c r="AA48" s="397"/>
      <c r="AB48" s="397"/>
      <c r="AC48" s="578"/>
    </row>
    <row r="49" spans="1:29" ht="15.75" thickBot="1">
      <c r="A49" s="437" t="s">
        <v>1793</v>
      </c>
      <c r="B49" s="438"/>
      <c r="C49" s="1160" t="e">
        <f>R50</f>
        <v>#DIV/0!</v>
      </c>
      <c r="D49" s="2317" t="s">
        <v>2137</v>
      </c>
      <c r="E49" s="1161" t="e">
        <f>R49</f>
        <v>#DIV/0!</v>
      </c>
      <c r="F49" s="2318"/>
      <c r="G49" s="1160" t="e">
        <f>T49</f>
        <v>#DIV/0!</v>
      </c>
      <c r="H49" s="2318"/>
      <c r="I49" s="1161" t="e">
        <f>V49</f>
        <v>#DIV/0!</v>
      </c>
      <c r="J49" s="2318"/>
      <c r="K49" s="2320">
        <f>F49+H49+J49</f>
        <v>0</v>
      </c>
      <c r="L49" s="2723"/>
      <c r="M49" s="2715"/>
      <c r="N49" s="2715"/>
      <c r="O49" s="2715"/>
      <c r="P49" s="3693" t="str">
        <f>A49</f>
        <v>比较价值（元/平方米）</v>
      </c>
      <c r="Q49" s="3678"/>
      <c r="R49" s="3679" t="e">
        <f>IF(F1="售价",ROUND(PRODUCT(R48,AA7:AA47),0),ROUND(PRODUCT(R48,AA7:AA47),1))</f>
        <v>#DIV/0!</v>
      </c>
      <c r="S49" s="3679"/>
      <c r="T49" s="3679" t="e">
        <f>IF(F1="售价",ROUND(PRODUCT(T48,AB7:AB47),0),ROUND(PRODUCT(T48,AB7:AB47),1))</f>
        <v>#DIV/0!</v>
      </c>
      <c r="U49" s="3679"/>
      <c r="V49" s="3679" t="e">
        <f>IF(F1="售价",ROUND(PRODUCT(V48,AC7:AC47),0),ROUND(PRODUCT(V48,AC7:AC47),1))</f>
        <v>#DIV/0!</v>
      </c>
      <c r="W49" s="3679"/>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52" t="str">
        <f>A50</f>
        <v>估价对象XX用房的比较价值（楼面单价，元/平方米）</v>
      </c>
      <c r="Q50" s="3753"/>
      <c r="R50" s="3754" t="e">
        <f>IF(F1="售价",ROUND(IF(D49="简单平均",AVERAGE(R49:V49),R49*F49+T49*H49+V49*J49),0),ROUND(IF(D49="简单平均",AVERAGE(R49:V49),R49*F49+T49*H49+V49*J49),1))</f>
        <v>#DIV/0!</v>
      </c>
      <c r="S50" s="3754"/>
      <c r="T50" s="3754"/>
      <c r="U50" s="3754"/>
      <c r="V50" s="3754"/>
      <c r="W50" s="3754"/>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2023-12</v>
      </c>
      <c r="D59" s="1185">
        <f>EDATE(C59,-1)</f>
        <v>45231</v>
      </c>
      <c r="E59" s="1185">
        <f>EDATE(D59,-1)</f>
        <v>45200</v>
      </c>
      <c r="F59" s="1185">
        <f t="shared" ref="F59:O59" si="16">EDATE(E59,-1)</f>
        <v>45170</v>
      </c>
      <c r="G59" s="1185">
        <f t="shared" si="16"/>
        <v>45139</v>
      </c>
      <c r="H59" s="1185">
        <f t="shared" si="16"/>
        <v>45108</v>
      </c>
      <c r="I59" s="1185">
        <f t="shared" si="16"/>
        <v>45078</v>
      </c>
      <c r="J59" s="1185">
        <f t="shared" si="16"/>
        <v>45047</v>
      </c>
      <c r="K59" s="1185">
        <f t="shared" si="16"/>
        <v>45017</v>
      </c>
      <c r="L59" s="1185">
        <f t="shared" si="16"/>
        <v>44986</v>
      </c>
      <c r="M59" s="1185">
        <f t="shared" si="16"/>
        <v>44958</v>
      </c>
      <c r="N59" s="1185">
        <f t="shared" si="16"/>
        <v>44927</v>
      </c>
      <c r="O59" s="1185">
        <f t="shared" si="16"/>
        <v>44896</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1"/>
      <c r="O89" s="2751"/>
      <c r="P89" s="2761"/>
      <c r="Q89" s="2738"/>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1562.24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7" t="s">
        <v>1770</v>
      </c>
      <c r="D4" s="3698"/>
      <c r="E4" s="3699" t="s">
        <v>1771</v>
      </c>
      <c r="F4" s="3700"/>
      <c r="G4" s="3697" t="s">
        <v>1772</v>
      </c>
      <c r="H4" s="3698"/>
      <c r="I4" s="3697" t="s">
        <v>1773</v>
      </c>
      <c r="J4" s="3698"/>
      <c r="K4" s="559" t="s">
        <v>1774</v>
      </c>
      <c r="L4" s="913"/>
      <c r="M4" s="914"/>
      <c r="N4" s="914"/>
      <c r="O4" s="914"/>
      <c r="P4" s="3701" t="s">
        <v>1775</v>
      </c>
      <c r="Q4" s="3702"/>
      <c r="R4" s="3707" t="s">
        <v>1771</v>
      </c>
      <c r="S4" s="3708"/>
      <c r="T4" s="3707" t="s">
        <v>1772</v>
      </c>
      <c r="U4" s="3708"/>
      <c r="V4" s="3692" t="s">
        <v>1773</v>
      </c>
      <c r="W4" s="3692"/>
      <c r="X4" s="1355"/>
      <c r="Y4" s="3707" t="s">
        <v>1775</v>
      </c>
      <c r="Z4" s="3708"/>
      <c r="AA4" s="3694" t="s">
        <v>1771</v>
      </c>
      <c r="AB4" s="3695" t="s">
        <v>1772</v>
      </c>
      <c r="AC4" s="3694" t="s">
        <v>1773</v>
      </c>
    </row>
    <row r="5" spans="1:29" ht="15">
      <c r="A5" s="358"/>
      <c r="B5" s="359"/>
      <c r="C5" s="3720" t="s">
        <v>1673</v>
      </c>
      <c r="D5" s="3716"/>
      <c r="E5" s="3751" t="s">
        <v>1674</v>
      </c>
      <c r="F5" s="3724"/>
      <c r="G5" s="3720" t="s">
        <v>1675</v>
      </c>
      <c r="H5" s="3716"/>
      <c r="I5" s="3720" t="s">
        <v>1676</v>
      </c>
      <c r="J5" s="3716"/>
      <c r="K5" s="559"/>
      <c r="L5" s="913"/>
      <c r="M5" s="914"/>
      <c r="N5" s="914"/>
      <c r="O5" s="914"/>
      <c r="P5" s="3703"/>
      <c r="Q5" s="3704"/>
      <c r="R5" s="3709"/>
      <c r="S5" s="3710"/>
      <c r="T5" s="3709"/>
      <c r="U5" s="3710"/>
      <c r="V5" s="3692"/>
      <c r="W5" s="3692"/>
      <c r="X5" s="1355"/>
      <c r="Y5" s="3709"/>
      <c r="Z5" s="3710"/>
      <c r="AA5" s="3695"/>
      <c r="AB5" s="3695"/>
      <c r="AC5" s="3695"/>
    </row>
    <row r="6" spans="1:29" ht="15.75" thickBot="1">
      <c r="A6" s="360"/>
      <c r="B6" s="361"/>
      <c r="C6" s="3713" t="s">
        <v>1677</v>
      </c>
      <c r="D6" s="3714"/>
      <c r="E6" s="3721" t="s">
        <v>1677</v>
      </c>
      <c r="F6" s="3722"/>
      <c r="G6" s="3713" t="s">
        <v>1677</v>
      </c>
      <c r="H6" s="3714"/>
      <c r="I6" s="3713" t="s">
        <v>1677</v>
      </c>
      <c r="J6" s="3714"/>
      <c r="K6" s="559" t="s">
        <v>1678</v>
      </c>
      <c r="L6" s="913"/>
      <c r="M6" s="914"/>
      <c r="N6" s="914"/>
      <c r="O6" s="914"/>
      <c r="P6" s="3705"/>
      <c r="Q6" s="3706"/>
      <c r="R6" s="3709"/>
      <c r="S6" s="3710"/>
      <c r="T6" s="3711"/>
      <c r="U6" s="3712"/>
      <c r="V6" s="3692"/>
      <c r="W6" s="3692"/>
      <c r="X6" s="1355"/>
      <c r="Y6" s="3711"/>
      <c r="Z6" s="3712"/>
      <c r="AA6" s="3696"/>
      <c r="AB6" s="3696"/>
      <c r="AC6" s="3696"/>
    </row>
    <row r="7" spans="1:29" s="108" customFormat="1" ht="15.75" thickBot="1">
      <c r="A7" s="362" t="s">
        <v>1679</v>
      </c>
      <c r="B7" s="363"/>
      <c r="C7" s="364">
        <f>'数据-取费表'!B2</f>
        <v>45279</v>
      </c>
      <c r="D7" s="365">
        <v>100</v>
      </c>
      <c r="E7" s="366"/>
      <c r="F7" s="367">
        <f>SUMIF(52:52,YEAR(E7)&amp;"-"&amp;MONTH(E7),53:53)</f>
        <v>0</v>
      </c>
      <c r="G7" s="366"/>
      <c r="H7" s="365">
        <f>SUMIF(52:52,YEAR(G7)&amp;"-"&amp;MONTH(G7),53:53)</f>
        <v>0</v>
      </c>
      <c r="I7" s="366"/>
      <c r="J7" s="365">
        <f>SUMIF(52:52,YEAR(I7)&amp;"-"&amp;MONTH(I7),53:53)</f>
        <v>0</v>
      </c>
      <c r="K7" s="560"/>
      <c r="L7" s="915"/>
      <c r="M7" s="916"/>
      <c r="N7" s="916"/>
      <c r="O7" s="916"/>
      <c r="P7" s="3717" t="s">
        <v>1680</v>
      </c>
      <c r="Q7" s="3719"/>
      <c r="R7" s="701" t="s">
        <v>14</v>
      </c>
      <c r="S7" s="702">
        <f t="shared" ref="S7:S15" si="0">F7</f>
        <v>0</v>
      </c>
      <c r="T7" s="701" t="s">
        <v>14</v>
      </c>
      <c r="U7" s="702">
        <f t="shared" ref="U7:U15" si="1">H7</f>
        <v>0</v>
      </c>
      <c r="V7" s="701" t="s">
        <v>14</v>
      </c>
      <c r="W7" s="702">
        <f t="shared" ref="W7:W15" si="2">J7</f>
        <v>0</v>
      </c>
      <c r="X7" s="703"/>
      <c r="Y7" s="3717" t="s">
        <v>1680</v>
      </c>
      <c r="Z7" s="3718"/>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7" t="s">
        <v>1683</v>
      </c>
      <c r="Q8" s="3718"/>
      <c r="R8" s="701" t="s">
        <v>14</v>
      </c>
      <c r="S8" s="702">
        <f t="shared" si="0"/>
        <v>100</v>
      </c>
      <c r="T8" s="701" t="s">
        <v>14</v>
      </c>
      <c r="U8" s="702">
        <f t="shared" si="1"/>
        <v>100</v>
      </c>
      <c r="V8" s="701" t="s">
        <v>14</v>
      </c>
      <c r="W8" s="702">
        <f t="shared" si="2"/>
        <v>100</v>
      </c>
      <c r="X8" s="703"/>
      <c r="Y8" s="3717" t="s">
        <v>1683</v>
      </c>
      <c r="Z8" s="3718"/>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8" t="s">
        <v>1686</v>
      </c>
      <c r="Q9" s="1343" t="str">
        <f t="shared" ref="Q9:Q15" si="6">B9</f>
        <v>用途</v>
      </c>
      <c r="R9" s="701" t="s">
        <v>14</v>
      </c>
      <c r="S9" s="702">
        <f t="shared" si="0"/>
        <v>100</v>
      </c>
      <c r="T9" s="701" t="s">
        <v>14</v>
      </c>
      <c r="U9" s="702">
        <f t="shared" si="1"/>
        <v>100</v>
      </c>
      <c r="V9" s="701" t="s">
        <v>14</v>
      </c>
      <c r="W9" s="702">
        <f t="shared" si="2"/>
        <v>100</v>
      </c>
      <c r="X9" s="703"/>
      <c r="Y9" s="3563"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78"/>
      <c r="Q10" s="1343" t="str">
        <f t="shared" si="6"/>
        <v>土地使用年限（年）</v>
      </c>
      <c r="R10" s="701" t="s">
        <v>14</v>
      </c>
      <c r="S10" s="702">
        <f t="shared" si="0"/>
        <v>100</v>
      </c>
      <c r="T10" s="701" t="s">
        <v>14</v>
      </c>
      <c r="U10" s="702">
        <f t="shared" si="1"/>
        <v>100</v>
      </c>
      <c r="V10" s="701" t="s">
        <v>14</v>
      </c>
      <c r="W10" s="702">
        <f t="shared" si="2"/>
        <v>100</v>
      </c>
      <c r="X10" s="703"/>
      <c r="Y10" s="356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8"/>
      <c r="Q11" s="1343" t="str">
        <f t="shared" si="6"/>
        <v>容积率</v>
      </c>
      <c r="R11" s="701" t="s">
        <v>14</v>
      </c>
      <c r="S11" s="702">
        <f t="shared" si="0"/>
        <v>100</v>
      </c>
      <c r="T11" s="701" t="s">
        <v>14</v>
      </c>
      <c r="U11" s="702">
        <f t="shared" si="1"/>
        <v>100</v>
      </c>
      <c r="V11" s="701" t="s">
        <v>14</v>
      </c>
      <c r="W11" s="702">
        <f t="shared" si="2"/>
        <v>100</v>
      </c>
      <c r="X11" s="703"/>
      <c r="Y11" s="356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78"/>
      <c r="Q12" s="1343">
        <f t="shared" si="6"/>
        <v>111</v>
      </c>
      <c r="R12" s="701" t="s">
        <v>14</v>
      </c>
      <c r="S12" s="702">
        <f t="shared" si="0"/>
        <v>100</v>
      </c>
      <c r="T12" s="701" t="s">
        <v>14</v>
      </c>
      <c r="U12" s="702">
        <f t="shared" si="1"/>
        <v>100</v>
      </c>
      <c r="V12" s="701" t="s">
        <v>14</v>
      </c>
      <c r="W12" s="702">
        <f t="shared" si="2"/>
        <v>100</v>
      </c>
      <c r="X12" s="703"/>
      <c r="Y12" s="356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78"/>
      <c r="Q13" s="1343">
        <f t="shared" si="6"/>
        <v>111</v>
      </c>
      <c r="R13" s="701" t="s">
        <v>14</v>
      </c>
      <c r="S13" s="702">
        <f t="shared" si="0"/>
        <v>100</v>
      </c>
      <c r="T13" s="701" t="s">
        <v>14</v>
      </c>
      <c r="U13" s="702">
        <f t="shared" si="1"/>
        <v>100</v>
      </c>
      <c r="V13" s="701" t="s">
        <v>14</v>
      </c>
      <c r="W13" s="702">
        <f t="shared" si="2"/>
        <v>100</v>
      </c>
      <c r="X13" s="703"/>
      <c r="Y13" s="3563"/>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78"/>
      <c r="Q14" s="1343">
        <f t="shared" si="6"/>
        <v>111</v>
      </c>
      <c r="R14" s="701" t="s">
        <v>14</v>
      </c>
      <c r="S14" s="702">
        <f t="shared" si="0"/>
        <v>100</v>
      </c>
      <c r="T14" s="701" t="s">
        <v>14</v>
      </c>
      <c r="U14" s="702">
        <f t="shared" si="1"/>
        <v>100</v>
      </c>
      <c r="V14" s="701" t="s">
        <v>14</v>
      </c>
      <c r="W14" s="702">
        <f t="shared" si="2"/>
        <v>100</v>
      </c>
      <c r="X14" s="703"/>
      <c r="Y14" s="3563"/>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5" t="s">
        <v>1691</v>
      </c>
      <c r="Q15" s="1352" t="str">
        <f t="shared" si="6"/>
        <v>产业集聚程度</v>
      </c>
      <c r="R15" s="705" t="s">
        <v>14</v>
      </c>
      <c r="S15" s="706">
        <f t="shared" si="0"/>
        <v>100</v>
      </c>
      <c r="T15" s="705" t="s">
        <v>14</v>
      </c>
      <c r="U15" s="706">
        <f t="shared" si="1"/>
        <v>100</v>
      </c>
      <c r="V15" s="705" t="s">
        <v>14</v>
      </c>
      <c r="W15" s="706">
        <f t="shared" si="2"/>
        <v>100</v>
      </c>
      <c r="X15" s="1355"/>
      <c r="Y15" s="3685"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6"/>
      <c r="Q16" s="1352"/>
      <c r="R16" s="705"/>
      <c r="S16" s="706"/>
      <c r="T16" s="705"/>
      <c r="U16" s="706"/>
      <c r="V16" s="705"/>
      <c r="W16" s="706"/>
      <c r="X16" s="1355"/>
      <c r="Y16" s="3686"/>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6"/>
      <c r="Q17" s="1352" t="str">
        <f>B17</f>
        <v>交通便捷度</v>
      </c>
      <c r="R17" s="705" t="s">
        <v>14</v>
      </c>
      <c r="S17" s="706">
        <f>F17</f>
        <v>100</v>
      </c>
      <c r="T17" s="705" t="s">
        <v>14</v>
      </c>
      <c r="U17" s="706">
        <f>H17</f>
        <v>100</v>
      </c>
      <c r="V17" s="705" t="s">
        <v>14</v>
      </c>
      <c r="W17" s="706">
        <f>J17</f>
        <v>100</v>
      </c>
      <c r="X17" s="1355"/>
      <c r="Y17" s="368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6"/>
      <c r="Q18" s="1352"/>
      <c r="R18" s="705"/>
      <c r="S18" s="706"/>
      <c r="T18" s="705"/>
      <c r="U18" s="706"/>
      <c r="V18" s="705"/>
      <c r="W18" s="706"/>
      <c r="X18" s="1355"/>
      <c r="Y18" s="3686"/>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6"/>
      <c r="Q19" s="1352" t="str">
        <f>B19</f>
        <v>公共配套设施</v>
      </c>
      <c r="R19" s="705" t="s">
        <v>14</v>
      </c>
      <c r="S19" s="706">
        <f>F19</f>
        <v>100</v>
      </c>
      <c r="T19" s="705" t="s">
        <v>14</v>
      </c>
      <c r="U19" s="706">
        <f>H19</f>
        <v>100</v>
      </c>
      <c r="V19" s="705" t="s">
        <v>14</v>
      </c>
      <c r="W19" s="706">
        <f>J19</f>
        <v>100</v>
      </c>
      <c r="X19" s="1355"/>
      <c r="Y19" s="368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6"/>
      <c r="Q20" s="1352"/>
      <c r="R20" s="705"/>
      <c r="S20" s="706"/>
      <c r="T20" s="705"/>
      <c r="U20" s="706"/>
      <c r="V20" s="705"/>
      <c r="W20" s="706"/>
      <c r="X20" s="1355"/>
      <c r="Y20" s="3686"/>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6"/>
      <c r="Q21" s="1352" t="str">
        <f>B21</f>
        <v>基础设施水平</v>
      </c>
      <c r="R21" s="705" t="s">
        <v>14</v>
      </c>
      <c r="S21" s="706">
        <f>F21</f>
        <v>100</v>
      </c>
      <c r="T21" s="705" t="s">
        <v>14</v>
      </c>
      <c r="U21" s="706">
        <f>H21</f>
        <v>100</v>
      </c>
      <c r="V21" s="705" t="s">
        <v>14</v>
      </c>
      <c r="W21" s="706">
        <f>J21</f>
        <v>100</v>
      </c>
      <c r="X21" s="1355"/>
      <c r="Y21" s="368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6"/>
      <c r="Q22" s="1352"/>
      <c r="R22" s="705"/>
      <c r="S22" s="706"/>
      <c r="T22" s="705"/>
      <c r="U22" s="706"/>
      <c r="V22" s="705"/>
      <c r="W22" s="706"/>
      <c r="X22" s="1355"/>
      <c r="Y22" s="3686"/>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6"/>
      <c r="Q23" s="1352" t="str">
        <f>B23</f>
        <v>环境质量</v>
      </c>
      <c r="R23" s="705" t="s">
        <v>14</v>
      </c>
      <c r="S23" s="706">
        <f>F23</f>
        <v>100</v>
      </c>
      <c r="T23" s="705" t="s">
        <v>14</v>
      </c>
      <c r="U23" s="706">
        <f>H23</f>
        <v>100</v>
      </c>
      <c r="V23" s="705" t="s">
        <v>14</v>
      </c>
      <c r="W23" s="706">
        <f>J23</f>
        <v>100</v>
      </c>
      <c r="X23" s="1355"/>
      <c r="Y23" s="368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6"/>
      <c r="Q24" s="1352"/>
      <c r="R24" s="705"/>
      <c r="S24" s="706"/>
      <c r="T24" s="705"/>
      <c r="U24" s="706"/>
      <c r="V24" s="705"/>
      <c r="W24" s="706"/>
      <c r="X24" s="1355"/>
      <c r="Y24" s="368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6"/>
      <c r="Q25" s="1352">
        <f>B25</f>
        <v>111</v>
      </c>
      <c r="R25" s="705" t="s">
        <v>14</v>
      </c>
      <c r="S25" s="706">
        <f>F25</f>
        <v>100</v>
      </c>
      <c r="T25" s="705" t="s">
        <v>14</v>
      </c>
      <c r="U25" s="706">
        <f>H25</f>
        <v>100</v>
      </c>
      <c r="V25" s="705" t="s">
        <v>14</v>
      </c>
      <c r="W25" s="706">
        <f>J25</f>
        <v>100</v>
      </c>
      <c r="X25" s="1355"/>
      <c r="Y25" s="368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6"/>
      <c r="Q26" s="1352">
        <f t="shared" ref="Q26:Q40" si="11">B26</f>
        <v>111</v>
      </c>
      <c r="R26" s="705" t="s">
        <v>14</v>
      </c>
      <c r="S26" s="706">
        <f>F26</f>
        <v>100</v>
      </c>
      <c r="T26" s="705" t="s">
        <v>14</v>
      </c>
      <c r="U26" s="706">
        <f>H26</f>
        <v>100</v>
      </c>
      <c r="V26" s="705" t="s">
        <v>14</v>
      </c>
      <c r="W26" s="706">
        <f>J26</f>
        <v>100</v>
      </c>
      <c r="X26" s="1355"/>
      <c r="Y26" s="368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6"/>
      <c r="Q27" s="1343">
        <f t="shared" si="11"/>
        <v>111</v>
      </c>
      <c r="R27" s="701" t="s">
        <v>14</v>
      </c>
      <c r="S27" s="702">
        <f>F27</f>
        <v>100</v>
      </c>
      <c r="T27" s="701" t="s">
        <v>14</v>
      </c>
      <c r="U27" s="702">
        <f>H27</f>
        <v>100</v>
      </c>
      <c r="V27" s="701" t="s">
        <v>14</v>
      </c>
      <c r="W27" s="702">
        <f>J27</f>
        <v>100</v>
      </c>
      <c r="X27" s="703"/>
      <c r="Y27" s="368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6"/>
      <c r="Q28" s="1352">
        <f t="shared" si="11"/>
        <v>111</v>
      </c>
      <c r="R28" s="705" t="s">
        <v>14</v>
      </c>
      <c r="S28" s="706">
        <f t="shared" ref="S28:S40" si="12">F28</f>
        <v>100</v>
      </c>
      <c r="T28" s="705" t="s">
        <v>14</v>
      </c>
      <c r="U28" s="706">
        <f t="shared" ref="U28:U40" si="13">H28</f>
        <v>100</v>
      </c>
      <c r="V28" s="705" t="s">
        <v>14</v>
      </c>
      <c r="W28" s="706">
        <f t="shared" ref="W28:W40" si="14">J28</f>
        <v>100</v>
      </c>
      <c r="X28" s="1355"/>
      <c r="Y28" s="3686"/>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67" t="s">
        <v>1696</v>
      </c>
      <c r="Q29" s="1352" t="str">
        <f t="shared" si="11"/>
        <v>建筑类型</v>
      </c>
      <c r="R29" s="705" t="s">
        <v>14</v>
      </c>
      <c r="S29" s="706">
        <f t="shared" si="12"/>
        <v>100</v>
      </c>
      <c r="T29" s="705" t="s">
        <v>14</v>
      </c>
      <c r="U29" s="706">
        <f t="shared" si="13"/>
        <v>100</v>
      </c>
      <c r="V29" s="705" t="s">
        <v>14</v>
      </c>
      <c r="W29" s="706">
        <f t="shared" si="14"/>
        <v>100</v>
      </c>
      <c r="X29" s="1355"/>
      <c r="Y29" s="3690"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0"/>
      <c r="Q30" s="707" t="str">
        <f t="shared" si="11"/>
        <v>项目建筑规模</v>
      </c>
      <c r="R30" s="708" t="s">
        <v>14</v>
      </c>
      <c r="S30" s="709" t="e">
        <f t="shared" si="12"/>
        <v>#N/A</v>
      </c>
      <c r="T30" s="708" t="s">
        <v>14</v>
      </c>
      <c r="U30" s="709" t="e">
        <f t="shared" si="13"/>
        <v>#N/A</v>
      </c>
      <c r="V30" s="708" t="s">
        <v>14</v>
      </c>
      <c r="W30" s="709" t="e">
        <f t="shared" si="14"/>
        <v>#N/A</v>
      </c>
      <c r="X30" s="710"/>
      <c r="Y30" s="3690"/>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0"/>
      <c r="Q31" s="1352" t="str">
        <f t="shared" si="11"/>
        <v>建筑结构</v>
      </c>
      <c r="R31" s="705" t="s">
        <v>14</v>
      </c>
      <c r="S31" s="706">
        <f t="shared" si="12"/>
        <v>100</v>
      </c>
      <c r="T31" s="705" t="s">
        <v>14</v>
      </c>
      <c r="U31" s="706">
        <f t="shared" si="13"/>
        <v>100</v>
      </c>
      <c r="V31" s="705" t="s">
        <v>14</v>
      </c>
      <c r="W31" s="706">
        <f t="shared" si="14"/>
        <v>100</v>
      </c>
      <c r="X31" s="1355"/>
      <c r="Y31" s="3690"/>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0"/>
      <c r="Q32" s="1352" t="str">
        <f t="shared" si="11"/>
        <v>公共部分装修</v>
      </c>
      <c r="R32" s="705" t="s">
        <v>14</v>
      </c>
      <c r="S32" s="706">
        <f t="shared" si="12"/>
        <v>100</v>
      </c>
      <c r="T32" s="705" t="s">
        <v>14</v>
      </c>
      <c r="U32" s="706">
        <f t="shared" si="13"/>
        <v>100</v>
      </c>
      <c r="V32" s="705" t="s">
        <v>14</v>
      </c>
      <c r="W32" s="706">
        <f t="shared" si="14"/>
        <v>100</v>
      </c>
      <c r="X32" s="1355"/>
      <c r="Y32" s="3690"/>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0"/>
      <c r="Q33" s="1352" t="str">
        <f t="shared" si="11"/>
        <v>成新度</v>
      </c>
      <c r="R33" s="705" t="s">
        <v>14</v>
      </c>
      <c r="S33" s="706" t="e">
        <f t="shared" si="12"/>
        <v>#N/A</v>
      </c>
      <c r="T33" s="705" t="s">
        <v>14</v>
      </c>
      <c r="U33" s="706" t="e">
        <f t="shared" si="13"/>
        <v>#N/A</v>
      </c>
      <c r="V33" s="705" t="s">
        <v>14</v>
      </c>
      <c r="W33" s="706" t="e">
        <f t="shared" si="14"/>
        <v>#N/A</v>
      </c>
      <c r="X33" s="1355"/>
      <c r="Y33" s="3690"/>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0"/>
      <c r="Q34" s="1343" t="str">
        <f t="shared" si="11"/>
        <v>物业管理</v>
      </c>
      <c r="R34" s="701" t="s">
        <v>14</v>
      </c>
      <c r="S34" s="702">
        <f t="shared" si="12"/>
        <v>100</v>
      </c>
      <c r="T34" s="701" t="s">
        <v>14</v>
      </c>
      <c r="U34" s="702">
        <f t="shared" si="13"/>
        <v>100</v>
      </c>
      <c r="V34" s="701" t="s">
        <v>14</v>
      </c>
      <c r="W34" s="702">
        <f t="shared" si="14"/>
        <v>100</v>
      </c>
      <c r="X34" s="703"/>
      <c r="Y34" s="369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0" t="s">
        <v>1696</v>
      </c>
      <c r="Q35" s="1352" t="str">
        <f t="shared" si="11"/>
        <v>市政基础设施</v>
      </c>
      <c r="R35" s="705" t="s">
        <v>14</v>
      </c>
      <c r="S35" s="706">
        <f t="shared" si="12"/>
        <v>100</v>
      </c>
      <c r="T35" s="705" t="s">
        <v>14</v>
      </c>
      <c r="U35" s="706">
        <f t="shared" si="13"/>
        <v>100</v>
      </c>
      <c r="V35" s="705" t="s">
        <v>14</v>
      </c>
      <c r="W35" s="706">
        <f t="shared" si="14"/>
        <v>100</v>
      </c>
      <c r="X35" s="1355"/>
      <c r="Y35" s="3690"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0"/>
      <c r="Q36" s="1352" t="str">
        <f t="shared" si="11"/>
        <v>内部装修</v>
      </c>
      <c r="R36" s="705" t="s">
        <v>14</v>
      </c>
      <c r="S36" s="706">
        <f t="shared" si="12"/>
        <v>100</v>
      </c>
      <c r="T36" s="705" t="s">
        <v>14</v>
      </c>
      <c r="U36" s="706">
        <f t="shared" si="13"/>
        <v>100</v>
      </c>
      <c r="V36" s="705" t="s">
        <v>14</v>
      </c>
      <c r="W36" s="706">
        <f t="shared" si="14"/>
        <v>100</v>
      </c>
      <c r="X36" s="1355"/>
      <c r="Y36" s="3690"/>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0"/>
      <c r="Q37" s="1352" t="str">
        <f t="shared" si="11"/>
        <v>内部装修状况</v>
      </c>
      <c r="R37" s="705" t="s">
        <v>14</v>
      </c>
      <c r="S37" s="706">
        <f t="shared" si="12"/>
        <v>100</v>
      </c>
      <c r="T37" s="705" t="s">
        <v>14</v>
      </c>
      <c r="U37" s="706">
        <f t="shared" si="13"/>
        <v>100</v>
      </c>
      <c r="V37" s="705" t="s">
        <v>14</v>
      </c>
      <c r="W37" s="706">
        <f t="shared" si="14"/>
        <v>100</v>
      </c>
      <c r="X37" s="1355"/>
      <c r="Y37" s="369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0"/>
      <c r="Q38" s="707">
        <f t="shared" si="11"/>
        <v>111</v>
      </c>
      <c r="R38" s="708" t="s">
        <v>14</v>
      </c>
      <c r="S38" s="709">
        <f t="shared" si="12"/>
        <v>100</v>
      </c>
      <c r="T38" s="708" t="s">
        <v>14</v>
      </c>
      <c r="U38" s="709">
        <f t="shared" si="13"/>
        <v>100</v>
      </c>
      <c r="V38" s="708" t="s">
        <v>14</v>
      </c>
      <c r="W38" s="709">
        <f t="shared" si="14"/>
        <v>100</v>
      </c>
      <c r="X38" s="710"/>
      <c r="Y38" s="369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0"/>
      <c r="Q39" s="1352">
        <f t="shared" si="11"/>
        <v>111</v>
      </c>
      <c r="R39" s="705" t="s">
        <v>14</v>
      </c>
      <c r="S39" s="706">
        <f t="shared" si="12"/>
        <v>100</v>
      </c>
      <c r="T39" s="705" t="s">
        <v>14</v>
      </c>
      <c r="U39" s="706">
        <f t="shared" si="13"/>
        <v>100</v>
      </c>
      <c r="V39" s="705" t="s">
        <v>14</v>
      </c>
      <c r="W39" s="706">
        <f t="shared" si="14"/>
        <v>100</v>
      </c>
      <c r="X39" s="1355"/>
      <c r="Y39" s="369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1"/>
      <c r="Q40" s="1352">
        <f t="shared" si="11"/>
        <v>111</v>
      </c>
      <c r="R40" s="705" t="s">
        <v>14</v>
      </c>
      <c r="S40" s="706">
        <f t="shared" si="12"/>
        <v>100</v>
      </c>
      <c r="T40" s="705" t="s">
        <v>14</v>
      </c>
      <c r="U40" s="706">
        <f t="shared" si="13"/>
        <v>100</v>
      </c>
      <c r="V40" s="705" t="s">
        <v>14</v>
      </c>
      <c r="W40" s="706">
        <f t="shared" si="14"/>
        <v>100</v>
      </c>
      <c r="X40" s="1355"/>
      <c r="Y40" s="3691"/>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78" t="str">
        <f>A41</f>
        <v>成交单价（元/平方米）</v>
      </c>
      <c r="Q41" s="3678"/>
      <c r="R41" s="3679">
        <f>E41</f>
        <v>0</v>
      </c>
      <c r="S41" s="3679"/>
      <c r="T41" s="3679">
        <f>G41</f>
        <v>0</v>
      </c>
      <c r="U41" s="3679"/>
      <c r="V41" s="3679">
        <f>I41</f>
        <v>0</v>
      </c>
      <c r="W41" s="3679"/>
      <c r="X41" s="690"/>
      <c r="Y41" s="712"/>
      <c r="Z41" s="690"/>
      <c r="AA41" s="690"/>
      <c r="AB41" s="690"/>
      <c r="AC41" s="690"/>
    </row>
    <row r="42" spans="1:29" ht="15.75" thickBot="1">
      <c r="A42" s="437" t="s">
        <v>1793</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678" t="str">
        <f>A42</f>
        <v>比较价值（元/平方米）</v>
      </c>
      <c r="Q42" s="3678"/>
      <c r="R42" s="3679" t="e">
        <f>IF(F1="售价",ROUND(PRODUCT(R41,AA7:AA40),0),ROUND(PRODUCT(R41,AA7:AA40),1))</f>
        <v>#DIV/0!</v>
      </c>
      <c r="S42" s="3679"/>
      <c r="T42" s="3679" t="e">
        <f>IF(F1="售价",ROUND(PRODUCT(T41,AB7:AB40),0),ROUND(PRODUCT(T41,AB7:AB40),1))</f>
        <v>#DIV/0!</v>
      </c>
      <c r="U42" s="3679"/>
      <c r="V42" s="3679" t="e">
        <f>IF(F1="售价",ROUND(PRODUCT(V41,AC7:AC40),0),ROUND(PRODUCT(V41,AC7:AC40),1))</f>
        <v>#DIV/0!</v>
      </c>
      <c r="W42" s="3679"/>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80" t="str">
        <f>A43</f>
        <v>估价对象XX用房的比较价值（楼面单价，元/平方米）</v>
      </c>
      <c r="Q43" s="3681"/>
      <c r="R43" s="3682" t="e">
        <f>IF(F1="售价",ROUND(IF(D42="简单平均",AVERAGE(R42:V42),R42*F42+T42*H42+V42*J42),0),ROUND(IF(D42="简单平均",AVERAGE(R42:V42),R42*F42+T42*H42+V42*J42),1))</f>
        <v>#DIV/0!</v>
      </c>
      <c r="S43" s="3682"/>
      <c r="T43" s="3682"/>
      <c r="U43" s="3682"/>
      <c r="V43" s="3682"/>
      <c r="W43" s="3682"/>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2023-12</v>
      </c>
      <c r="D52" s="1185">
        <f>EDATE(C52,-1)</f>
        <v>45231</v>
      </c>
      <c r="E52" s="1185">
        <f t="shared" ref="E52:O52" si="16">EDATE(D52,-1)</f>
        <v>45200</v>
      </c>
      <c r="F52" s="1185">
        <f t="shared" si="16"/>
        <v>45170</v>
      </c>
      <c r="G52" s="1185">
        <f t="shared" si="16"/>
        <v>45139</v>
      </c>
      <c r="H52" s="1185">
        <f t="shared" si="16"/>
        <v>45108</v>
      </c>
      <c r="I52" s="1185">
        <f t="shared" si="16"/>
        <v>45078</v>
      </c>
      <c r="J52" s="1185">
        <f t="shared" si="16"/>
        <v>45047</v>
      </c>
      <c r="K52" s="1185">
        <f t="shared" si="16"/>
        <v>45017</v>
      </c>
      <c r="L52" s="1185">
        <f t="shared" si="16"/>
        <v>44986</v>
      </c>
      <c r="M52" s="1185">
        <f t="shared" si="16"/>
        <v>44958</v>
      </c>
      <c r="N52" s="1185">
        <f t="shared" si="16"/>
        <v>44927</v>
      </c>
      <c r="O52" s="1185">
        <f t="shared" si="16"/>
        <v>44896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97" t="s">
        <v>1770</v>
      </c>
      <c r="D4" s="3698"/>
      <c r="E4" s="3699" t="s">
        <v>1771</v>
      </c>
      <c r="F4" s="3700"/>
      <c r="G4" s="3697" t="s">
        <v>1772</v>
      </c>
      <c r="H4" s="3698"/>
      <c r="I4" s="3697" t="s">
        <v>1773</v>
      </c>
      <c r="J4" s="3698"/>
      <c r="K4" s="559" t="s">
        <v>1774</v>
      </c>
      <c r="L4" s="2714"/>
      <c r="M4" s="2715"/>
      <c r="N4" s="2715"/>
      <c r="O4" s="2715"/>
      <c r="P4" s="3701" t="s">
        <v>1775</v>
      </c>
      <c r="Q4" s="3702"/>
      <c r="R4" s="3707" t="s">
        <v>1771</v>
      </c>
      <c r="S4" s="3708"/>
      <c r="T4" s="3707" t="s">
        <v>1772</v>
      </c>
      <c r="U4" s="3708"/>
      <c r="V4" s="3692" t="s">
        <v>1773</v>
      </c>
      <c r="W4" s="3692"/>
      <c r="X4" s="1355"/>
      <c r="Y4" s="3707" t="s">
        <v>1775</v>
      </c>
      <c r="Z4" s="3708"/>
      <c r="AA4" s="3694" t="s">
        <v>1771</v>
      </c>
      <c r="AB4" s="3695" t="s">
        <v>1772</v>
      </c>
      <c r="AC4" s="3694" t="s">
        <v>1773</v>
      </c>
    </row>
    <row r="5" spans="1:29" ht="15">
      <c r="A5" s="358"/>
      <c r="B5" s="359"/>
      <c r="C5" s="3720" t="s">
        <v>1673</v>
      </c>
      <c r="D5" s="3716"/>
      <c r="E5" s="3751" t="s">
        <v>1674</v>
      </c>
      <c r="F5" s="3724"/>
      <c r="G5" s="3720" t="s">
        <v>1675</v>
      </c>
      <c r="H5" s="3716"/>
      <c r="I5" s="3720" t="s">
        <v>1676</v>
      </c>
      <c r="J5" s="3716"/>
      <c r="K5" s="559"/>
      <c r="L5" s="2714"/>
      <c r="M5" s="2715"/>
      <c r="N5" s="2715"/>
      <c r="O5" s="2715"/>
      <c r="P5" s="3703"/>
      <c r="Q5" s="3704"/>
      <c r="R5" s="3709"/>
      <c r="S5" s="3710"/>
      <c r="T5" s="3709"/>
      <c r="U5" s="3710"/>
      <c r="V5" s="3692"/>
      <c r="W5" s="3692"/>
      <c r="X5" s="1355"/>
      <c r="Y5" s="3709"/>
      <c r="Z5" s="3710"/>
      <c r="AA5" s="3695"/>
      <c r="AB5" s="3695"/>
      <c r="AC5" s="3695"/>
    </row>
    <row r="6" spans="1:29" ht="15.75" thickBot="1">
      <c r="A6" s="360"/>
      <c r="B6" s="361"/>
      <c r="C6" s="3713" t="s">
        <v>1677</v>
      </c>
      <c r="D6" s="3714"/>
      <c r="E6" s="3721" t="s">
        <v>1677</v>
      </c>
      <c r="F6" s="3722"/>
      <c r="G6" s="3713" t="s">
        <v>1677</v>
      </c>
      <c r="H6" s="3714"/>
      <c r="I6" s="3713" t="s">
        <v>1677</v>
      </c>
      <c r="J6" s="3714"/>
      <c r="K6" s="559" t="s">
        <v>1678</v>
      </c>
      <c r="L6" s="2714"/>
      <c r="M6" s="2715"/>
      <c r="N6" s="2715"/>
      <c r="O6" s="2715"/>
      <c r="P6" s="3705"/>
      <c r="Q6" s="3706"/>
      <c r="R6" s="3709"/>
      <c r="S6" s="3710"/>
      <c r="T6" s="3711"/>
      <c r="U6" s="3712"/>
      <c r="V6" s="3692"/>
      <c r="W6" s="3692"/>
      <c r="X6" s="1355"/>
      <c r="Y6" s="3711"/>
      <c r="Z6" s="3712"/>
      <c r="AA6" s="3696"/>
      <c r="AB6" s="3696"/>
      <c r="AC6" s="3696"/>
    </row>
    <row r="7" spans="1:29" s="108" customFormat="1" ht="15.75" thickBot="1">
      <c r="A7" s="362" t="s">
        <v>1679</v>
      </c>
      <c r="B7" s="363"/>
      <c r="C7" s="364">
        <f>'数据-取费表'!B2</f>
        <v>45279</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17" t="s">
        <v>1680</v>
      </c>
      <c r="Q7" s="3719"/>
      <c r="R7" s="701" t="s">
        <v>14</v>
      </c>
      <c r="S7" s="702">
        <f t="shared" ref="S7:S14" si="0">F7</f>
        <v>0</v>
      </c>
      <c r="T7" s="701" t="s">
        <v>14</v>
      </c>
      <c r="U7" s="702">
        <f t="shared" ref="U7:U14" si="1">H7</f>
        <v>0</v>
      </c>
      <c r="V7" s="701" t="s">
        <v>14</v>
      </c>
      <c r="W7" s="702">
        <f t="shared" ref="W7:W14" si="2">J7</f>
        <v>0</v>
      </c>
      <c r="X7" s="703"/>
      <c r="Y7" s="3717" t="s">
        <v>1680</v>
      </c>
      <c r="Z7" s="3718"/>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17" t="s">
        <v>1683</v>
      </c>
      <c r="Q8" s="3718"/>
      <c r="R8" s="701" t="s">
        <v>14</v>
      </c>
      <c r="S8" s="702">
        <f t="shared" si="0"/>
        <v>100</v>
      </c>
      <c r="T8" s="701" t="s">
        <v>14</v>
      </c>
      <c r="U8" s="702">
        <f t="shared" si="1"/>
        <v>100</v>
      </c>
      <c r="V8" s="701" t="s">
        <v>14</v>
      </c>
      <c r="W8" s="702">
        <f t="shared" si="2"/>
        <v>100</v>
      </c>
      <c r="X8" s="703"/>
      <c r="Y8" s="3717" t="s">
        <v>1683</v>
      </c>
      <c r="Z8" s="3718"/>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78" t="s">
        <v>1686</v>
      </c>
      <c r="Q9" s="1343" t="str">
        <f t="shared" ref="Q9:Q14" si="6">B9</f>
        <v>用途</v>
      </c>
      <c r="R9" s="701" t="s">
        <v>14</v>
      </c>
      <c r="S9" s="702">
        <f t="shared" si="0"/>
        <v>100</v>
      </c>
      <c r="T9" s="701" t="s">
        <v>14</v>
      </c>
      <c r="U9" s="702">
        <f t="shared" si="1"/>
        <v>100</v>
      </c>
      <c r="V9" s="701" t="s">
        <v>14</v>
      </c>
      <c r="W9" s="702">
        <f t="shared" si="2"/>
        <v>100</v>
      </c>
      <c r="X9" s="703"/>
      <c r="Y9" s="3563"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78"/>
      <c r="Q10" s="1343" t="str">
        <f t="shared" si="6"/>
        <v>土地使用年限（年）</v>
      </c>
      <c r="R10" s="701" t="s">
        <v>14</v>
      </c>
      <c r="S10" s="702">
        <f t="shared" si="0"/>
        <v>100</v>
      </c>
      <c r="T10" s="701" t="s">
        <v>14</v>
      </c>
      <c r="U10" s="702">
        <f t="shared" si="1"/>
        <v>100</v>
      </c>
      <c r="V10" s="701" t="s">
        <v>14</v>
      </c>
      <c r="W10" s="702">
        <f t="shared" si="2"/>
        <v>100</v>
      </c>
      <c r="X10" s="703"/>
      <c r="Y10" s="356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78"/>
      <c r="Q11" s="1343">
        <f t="shared" si="6"/>
        <v>111</v>
      </c>
      <c r="R11" s="701" t="s">
        <v>14</v>
      </c>
      <c r="S11" s="702">
        <f t="shared" si="0"/>
        <v>100</v>
      </c>
      <c r="T11" s="701" t="s">
        <v>14</v>
      </c>
      <c r="U11" s="702">
        <f t="shared" si="1"/>
        <v>100</v>
      </c>
      <c r="V11" s="701" t="s">
        <v>14</v>
      </c>
      <c r="W11" s="702">
        <f t="shared" si="2"/>
        <v>100</v>
      </c>
      <c r="X11" s="703"/>
      <c r="Y11" s="356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78"/>
      <c r="Q12" s="1343">
        <f t="shared" si="6"/>
        <v>111</v>
      </c>
      <c r="R12" s="701" t="s">
        <v>14</v>
      </c>
      <c r="S12" s="702">
        <f t="shared" si="0"/>
        <v>100</v>
      </c>
      <c r="T12" s="701" t="s">
        <v>14</v>
      </c>
      <c r="U12" s="702">
        <f t="shared" si="1"/>
        <v>100</v>
      </c>
      <c r="V12" s="701" t="s">
        <v>14</v>
      </c>
      <c r="W12" s="702">
        <f t="shared" si="2"/>
        <v>100</v>
      </c>
      <c r="X12" s="703"/>
      <c r="Y12" s="356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78"/>
      <c r="Q13" s="1343">
        <f t="shared" si="6"/>
        <v>111</v>
      </c>
      <c r="R13" s="701" t="s">
        <v>14</v>
      </c>
      <c r="S13" s="702">
        <f t="shared" si="0"/>
        <v>100</v>
      </c>
      <c r="T13" s="701" t="s">
        <v>14</v>
      </c>
      <c r="U13" s="702">
        <f t="shared" si="1"/>
        <v>100</v>
      </c>
      <c r="V13" s="701" t="s">
        <v>14</v>
      </c>
      <c r="W13" s="702">
        <f t="shared" si="2"/>
        <v>100</v>
      </c>
      <c r="X13" s="703"/>
      <c r="Y13" s="3563"/>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85" t="s">
        <v>1691</v>
      </c>
      <c r="Q14" s="1352" t="str">
        <f t="shared" si="6"/>
        <v>交通便捷度</v>
      </c>
      <c r="R14" s="705" t="s">
        <v>14</v>
      </c>
      <c r="S14" s="706">
        <f t="shared" si="0"/>
        <v>100</v>
      </c>
      <c r="T14" s="705" t="s">
        <v>14</v>
      </c>
      <c r="U14" s="706">
        <f t="shared" si="1"/>
        <v>100</v>
      </c>
      <c r="V14" s="705" t="s">
        <v>14</v>
      </c>
      <c r="W14" s="706">
        <f t="shared" si="2"/>
        <v>100</v>
      </c>
      <c r="X14" s="1355"/>
      <c r="Y14" s="3685"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686"/>
      <c r="Q15" s="1352"/>
      <c r="R15" s="705"/>
      <c r="S15" s="706"/>
      <c r="T15" s="705"/>
      <c r="U15" s="706"/>
      <c r="V15" s="705"/>
      <c r="W15" s="706"/>
      <c r="X15" s="1355"/>
      <c r="Y15" s="3686"/>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86"/>
      <c r="Q16" s="1352" t="str">
        <f>B16</f>
        <v>公共配套设施</v>
      </c>
      <c r="R16" s="705" t="s">
        <v>14</v>
      </c>
      <c r="S16" s="706">
        <f>F16</f>
        <v>100</v>
      </c>
      <c r="T16" s="705" t="s">
        <v>14</v>
      </c>
      <c r="U16" s="706">
        <f>H16</f>
        <v>100</v>
      </c>
      <c r="V16" s="705" t="s">
        <v>14</v>
      </c>
      <c r="W16" s="706">
        <f>J16</f>
        <v>100</v>
      </c>
      <c r="X16" s="1355"/>
      <c r="Y16" s="368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686"/>
      <c r="Q17" s="1352"/>
      <c r="R17" s="705"/>
      <c r="S17" s="706"/>
      <c r="T17" s="705"/>
      <c r="U17" s="706"/>
      <c r="V17" s="705"/>
      <c r="W17" s="706"/>
      <c r="X17" s="1355"/>
      <c r="Y17" s="3686"/>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86"/>
      <c r="Q18" s="1352" t="str">
        <f>B18</f>
        <v>基础设施水平</v>
      </c>
      <c r="R18" s="705" t="s">
        <v>14</v>
      </c>
      <c r="S18" s="706">
        <f>F18</f>
        <v>100</v>
      </c>
      <c r="T18" s="705" t="s">
        <v>14</v>
      </c>
      <c r="U18" s="706">
        <f>H18</f>
        <v>100</v>
      </c>
      <c r="V18" s="705" t="s">
        <v>14</v>
      </c>
      <c r="W18" s="706">
        <f>J18</f>
        <v>100</v>
      </c>
      <c r="X18" s="1355"/>
      <c r="Y18" s="368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686"/>
      <c r="Q19" s="1352"/>
      <c r="R19" s="705"/>
      <c r="S19" s="706"/>
      <c r="T19" s="705"/>
      <c r="U19" s="706"/>
      <c r="V19" s="705"/>
      <c r="W19" s="706"/>
      <c r="X19" s="1355"/>
      <c r="Y19" s="3686"/>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86"/>
      <c r="Q20" s="1352" t="str">
        <f>B20</f>
        <v>自然及人文环境</v>
      </c>
      <c r="R20" s="705" t="s">
        <v>14</v>
      </c>
      <c r="S20" s="706">
        <f>F20</f>
        <v>100</v>
      </c>
      <c r="T20" s="705" t="s">
        <v>14</v>
      </c>
      <c r="U20" s="706">
        <f>H20</f>
        <v>100</v>
      </c>
      <c r="V20" s="705" t="s">
        <v>14</v>
      </c>
      <c r="W20" s="706">
        <f>J20</f>
        <v>100</v>
      </c>
      <c r="X20" s="1355"/>
      <c r="Y20" s="368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686"/>
      <c r="Q21" s="1352"/>
      <c r="R21" s="705"/>
      <c r="S21" s="706"/>
      <c r="T21" s="705"/>
      <c r="U21" s="706"/>
      <c r="V21" s="705"/>
      <c r="W21" s="706"/>
      <c r="X21" s="1355"/>
      <c r="Y21" s="3686"/>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86"/>
      <c r="Q22" s="1352" t="str">
        <f>B22</f>
        <v>楼层</v>
      </c>
      <c r="R22" s="705" t="s">
        <v>14</v>
      </c>
      <c r="S22" s="706">
        <f>F22</f>
        <v>100</v>
      </c>
      <c r="T22" s="705" t="s">
        <v>14</v>
      </c>
      <c r="U22" s="706">
        <f>H22</f>
        <v>100</v>
      </c>
      <c r="V22" s="705" t="s">
        <v>14</v>
      </c>
      <c r="W22" s="706">
        <f>J22</f>
        <v>100</v>
      </c>
      <c r="X22" s="1355"/>
      <c r="Y22" s="368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86"/>
      <c r="Q23" s="1352">
        <f>B23</f>
        <v>111</v>
      </c>
      <c r="R23" s="705" t="s">
        <v>14</v>
      </c>
      <c r="S23" s="706">
        <f>F23</f>
        <v>100</v>
      </c>
      <c r="T23" s="705" t="s">
        <v>14</v>
      </c>
      <c r="U23" s="706">
        <f>H23</f>
        <v>100</v>
      </c>
      <c r="V23" s="705" t="s">
        <v>14</v>
      </c>
      <c r="W23" s="706">
        <f>J23</f>
        <v>100</v>
      </c>
      <c r="X23" s="1355"/>
      <c r="Y23" s="368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86"/>
      <c r="Q24" s="1352">
        <f t="shared" ref="Q24:Q36" si="11">B24</f>
        <v>111</v>
      </c>
      <c r="R24" s="705" t="s">
        <v>14</v>
      </c>
      <c r="S24" s="706">
        <f>F24</f>
        <v>100</v>
      </c>
      <c r="T24" s="705" t="s">
        <v>14</v>
      </c>
      <c r="U24" s="706">
        <f>H24</f>
        <v>100</v>
      </c>
      <c r="V24" s="705" t="s">
        <v>14</v>
      </c>
      <c r="W24" s="706">
        <f>J24</f>
        <v>100</v>
      </c>
      <c r="X24" s="1355"/>
      <c r="Y24" s="368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86"/>
      <c r="Q25" s="1343">
        <f t="shared" si="11"/>
        <v>111</v>
      </c>
      <c r="R25" s="701" t="s">
        <v>14</v>
      </c>
      <c r="S25" s="702">
        <f>F25</f>
        <v>100</v>
      </c>
      <c r="T25" s="701" t="s">
        <v>14</v>
      </c>
      <c r="U25" s="702">
        <f>H25</f>
        <v>100</v>
      </c>
      <c r="V25" s="701" t="s">
        <v>14</v>
      </c>
      <c r="W25" s="702">
        <f>J25</f>
        <v>100</v>
      </c>
      <c r="X25" s="703"/>
      <c r="Y25" s="3686"/>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67"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0"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90"/>
      <c r="Q27" s="707" t="str">
        <f t="shared" si="11"/>
        <v>项目停车位配比</v>
      </c>
      <c r="R27" s="708" t="s">
        <v>14</v>
      </c>
      <c r="S27" s="709">
        <f t="shared" si="12"/>
        <v>100</v>
      </c>
      <c r="T27" s="708" t="s">
        <v>14</v>
      </c>
      <c r="U27" s="709">
        <f t="shared" si="13"/>
        <v>100</v>
      </c>
      <c r="V27" s="708" t="s">
        <v>14</v>
      </c>
      <c r="W27" s="709">
        <f t="shared" si="14"/>
        <v>100</v>
      </c>
      <c r="X27" s="710"/>
      <c r="Y27" s="3690"/>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90"/>
      <c r="Q28" s="1352" t="str">
        <f t="shared" si="11"/>
        <v>公共部分装修</v>
      </c>
      <c r="R28" s="705" t="s">
        <v>14</v>
      </c>
      <c r="S28" s="706">
        <f t="shared" si="12"/>
        <v>100</v>
      </c>
      <c r="T28" s="705" t="s">
        <v>14</v>
      </c>
      <c r="U28" s="706">
        <f t="shared" si="13"/>
        <v>100</v>
      </c>
      <c r="V28" s="705" t="s">
        <v>14</v>
      </c>
      <c r="W28" s="706">
        <f t="shared" si="14"/>
        <v>100</v>
      </c>
      <c r="X28" s="1355"/>
      <c r="Y28" s="3690"/>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90"/>
      <c r="Q29" s="1352" t="str">
        <f t="shared" si="11"/>
        <v>成新率</v>
      </c>
      <c r="R29" s="705" t="s">
        <v>14</v>
      </c>
      <c r="S29" s="706" t="e">
        <f t="shared" si="12"/>
        <v>#N/A</v>
      </c>
      <c r="T29" s="705" t="s">
        <v>14</v>
      </c>
      <c r="U29" s="706" t="e">
        <f t="shared" si="13"/>
        <v>#N/A</v>
      </c>
      <c r="V29" s="705" t="s">
        <v>14</v>
      </c>
      <c r="W29" s="706" t="e">
        <f t="shared" si="14"/>
        <v>#N/A</v>
      </c>
      <c r="X29" s="1355"/>
      <c r="Y29" s="3690"/>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90"/>
      <c r="Q30" s="1352" t="str">
        <f t="shared" si="11"/>
        <v>物业等级</v>
      </c>
      <c r="R30" s="705" t="s">
        <v>14</v>
      </c>
      <c r="S30" s="706">
        <f t="shared" si="12"/>
        <v>100</v>
      </c>
      <c r="T30" s="705" t="s">
        <v>14</v>
      </c>
      <c r="U30" s="706">
        <f t="shared" si="13"/>
        <v>100</v>
      </c>
      <c r="V30" s="705" t="s">
        <v>14</v>
      </c>
      <c r="W30" s="706">
        <f t="shared" si="14"/>
        <v>100</v>
      </c>
      <c r="X30" s="1355"/>
      <c r="Y30" s="3690"/>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90"/>
      <c r="Q31" s="1343" t="str">
        <f t="shared" si="11"/>
        <v>停车位面积</v>
      </c>
      <c r="R31" s="701" t="s">
        <v>14</v>
      </c>
      <c r="S31" s="702" t="e">
        <f t="shared" si="12"/>
        <v>#N/A</v>
      </c>
      <c r="T31" s="701" t="s">
        <v>14</v>
      </c>
      <c r="U31" s="702" t="e">
        <f t="shared" si="13"/>
        <v>#N/A</v>
      </c>
      <c r="V31" s="701" t="s">
        <v>14</v>
      </c>
      <c r="W31" s="702" t="e">
        <f t="shared" si="14"/>
        <v>#N/A</v>
      </c>
      <c r="X31" s="703"/>
      <c r="Y31" s="369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90" t="s">
        <v>1696</v>
      </c>
      <c r="Q32" s="1352" t="str">
        <f t="shared" si="11"/>
        <v>车位类型</v>
      </c>
      <c r="R32" s="705" t="s">
        <v>14</v>
      </c>
      <c r="S32" s="706">
        <f t="shared" si="12"/>
        <v>100</v>
      </c>
      <c r="T32" s="705" t="s">
        <v>14</v>
      </c>
      <c r="U32" s="706">
        <f t="shared" si="13"/>
        <v>100</v>
      </c>
      <c r="V32" s="705" t="s">
        <v>14</v>
      </c>
      <c r="W32" s="706">
        <f t="shared" si="14"/>
        <v>100</v>
      </c>
      <c r="X32" s="1355"/>
      <c r="Y32" s="3690"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90"/>
      <c r="Q33" s="1352" t="str">
        <f t="shared" si="11"/>
        <v>是否直接入户</v>
      </c>
      <c r="R33" s="705" t="s">
        <v>14</v>
      </c>
      <c r="S33" s="706">
        <f t="shared" si="12"/>
        <v>100</v>
      </c>
      <c r="T33" s="705" t="s">
        <v>14</v>
      </c>
      <c r="U33" s="706">
        <f t="shared" si="13"/>
        <v>100</v>
      </c>
      <c r="V33" s="705" t="s">
        <v>14</v>
      </c>
      <c r="W33" s="706">
        <f t="shared" si="14"/>
        <v>100</v>
      </c>
      <c r="X33" s="1355"/>
      <c r="Y33" s="369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90"/>
      <c r="Q34" s="1352">
        <f t="shared" si="11"/>
        <v>111</v>
      </c>
      <c r="R34" s="705" t="s">
        <v>14</v>
      </c>
      <c r="S34" s="706">
        <f t="shared" si="12"/>
        <v>100</v>
      </c>
      <c r="T34" s="705" t="s">
        <v>14</v>
      </c>
      <c r="U34" s="706">
        <f t="shared" si="13"/>
        <v>100</v>
      </c>
      <c r="V34" s="705" t="s">
        <v>14</v>
      </c>
      <c r="W34" s="706">
        <f t="shared" si="14"/>
        <v>100</v>
      </c>
      <c r="X34" s="1355"/>
      <c r="Y34" s="369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90"/>
      <c r="Q35" s="707">
        <f t="shared" si="11"/>
        <v>111</v>
      </c>
      <c r="R35" s="708" t="s">
        <v>14</v>
      </c>
      <c r="S35" s="709">
        <f t="shared" si="12"/>
        <v>100</v>
      </c>
      <c r="T35" s="708" t="s">
        <v>14</v>
      </c>
      <c r="U35" s="709">
        <f t="shared" si="13"/>
        <v>100</v>
      </c>
      <c r="V35" s="708" t="s">
        <v>14</v>
      </c>
      <c r="W35" s="709">
        <f t="shared" si="14"/>
        <v>100</v>
      </c>
      <c r="X35" s="710"/>
      <c r="Y35" s="369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90"/>
      <c r="Q36" s="1352">
        <f t="shared" si="11"/>
        <v>111</v>
      </c>
      <c r="R36" s="705" t="s">
        <v>14</v>
      </c>
      <c r="S36" s="706">
        <f t="shared" si="12"/>
        <v>100</v>
      </c>
      <c r="T36" s="705" t="s">
        <v>14</v>
      </c>
      <c r="U36" s="706">
        <f t="shared" si="13"/>
        <v>100</v>
      </c>
      <c r="V36" s="705" t="s">
        <v>14</v>
      </c>
      <c r="W36" s="706">
        <f t="shared" si="14"/>
        <v>100</v>
      </c>
      <c r="X36" s="1355"/>
      <c r="Y36" s="3690"/>
      <c r="Z36" s="1356">
        <f t="shared" si="15"/>
        <v>111</v>
      </c>
      <c r="AA36" s="1353">
        <f t="shared" si="3"/>
        <v>1</v>
      </c>
      <c r="AB36" s="1353">
        <f t="shared" si="4"/>
        <v>1</v>
      </c>
      <c r="AC36" s="1353">
        <f t="shared" si="5"/>
        <v>1</v>
      </c>
    </row>
    <row r="37" spans="1:29" ht="15">
      <c r="A37" s="430" t="s">
        <v>1844</v>
      </c>
      <c r="B37" s="1973" t="s">
        <v>3355</v>
      </c>
      <c r="C37" s="1154" t="s">
        <v>0</v>
      </c>
      <c r="D37" s="1155"/>
      <c r="E37" s="1156"/>
      <c r="F37" s="1157"/>
      <c r="G37" s="1158"/>
      <c r="H37" s="1159"/>
      <c r="I37" s="1156"/>
      <c r="J37" s="1159"/>
      <c r="K37" s="568"/>
      <c r="L37" s="2723"/>
      <c r="M37" s="2724"/>
      <c r="N37" s="2715"/>
      <c r="O37" s="2724"/>
      <c r="P37" s="3678" t="str">
        <f>A37</f>
        <v>成交单价</v>
      </c>
      <c r="Q37" s="3678"/>
      <c r="R37" s="3679">
        <f>E37</f>
        <v>0</v>
      </c>
      <c r="S37" s="3679"/>
      <c r="T37" s="3679">
        <f>G37</f>
        <v>0</v>
      </c>
      <c r="U37" s="3679"/>
      <c r="V37" s="3679">
        <f>I37</f>
        <v>0</v>
      </c>
      <c r="W37" s="3679"/>
      <c r="X37" s="690"/>
      <c r="Y37" s="712"/>
      <c r="Z37" s="690"/>
      <c r="AA37" s="690"/>
      <c r="AB37" s="690"/>
      <c r="AC37" s="690"/>
    </row>
    <row r="38" spans="1:29" ht="15.75" thickBot="1">
      <c r="A38" s="437" t="s">
        <v>1845</v>
      </c>
      <c r="B38" s="438" t="str">
        <f>B37</f>
        <v>元/平方米</v>
      </c>
      <c r="C38" s="1160" t="e">
        <f>R39</f>
        <v>#DIV/0!</v>
      </c>
      <c r="D38" s="2317" t="s">
        <v>2137</v>
      </c>
      <c r="E38" s="1161" t="e">
        <f>R38</f>
        <v>#DIV/0!</v>
      </c>
      <c r="F38" s="2318"/>
      <c r="G38" s="1160" t="e">
        <f>T38</f>
        <v>#DIV/0!</v>
      </c>
      <c r="H38" s="2318"/>
      <c r="I38" s="1161" t="e">
        <f>V38</f>
        <v>#DIV/0!</v>
      </c>
      <c r="J38" s="2318"/>
      <c r="K38" s="2320">
        <f>F38+H38+J38</f>
        <v>0</v>
      </c>
      <c r="L38" s="2723"/>
      <c r="M38" s="2724"/>
      <c r="N38" s="2724"/>
      <c r="O38" s="2724"/>
      <c r="P38" s="3678" t="str">
        <f>A38</f>
        <v>比较价值（元/平方米）</v>
      </c>
      <c r="Q38" s="3678"/>
      <c r="R38" s="3679" t="e">
        <f>IF(F1="售价",ROUND(PRODUCT(R37,AA7:AA36),0),ROUND(PRODUCT(R37,AA7:AA36),1))</f>
        <v>#DIV/0!</v>
      </c>
      <c r="S38" s="3679"/>
      <c r="T38" s="3679" t="e">
        <f>IF(F1="售价",ROUND(PRODUCT(T37,AB7:AB36),0),ROUND(PRODUCT(T37,AB7:AB36),1))</f>
        <v>#DIV/0!</v>
      </c>
      <c r="U38" s="3679"/>
      <c r="V38" s="3679" t="e">
        <f>IF(F1="售价",ROUND(PRODUCT(V37,AC7:AC36),0),ROUND(PRODUCT(V37,AC7:AC36),1))</f>
        <v>#DIV/0!</v>
      </c>
      <c r="W38" s="3679"/>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680" t="str">
        <f>A39</f>
        <v>估价对象XX用房的比较价值（楼面单价，元/平方米）</v>
      </c>
      <c r="Q39" s="3681"/>
      <c r="R39" s="3768" t="e">
        <f>IF(F1="售价",ROUND(IF(D38="简单平均",AVERAGE(R38:W38),R38*F38+T38*H38+V38*J38),0),ROUND(IF(D38="简单平均",AVERAGE(R38:V38),R38*F38+T38*H38+V38*J38),1))</f>
        <v>#DIV/0!</v>
      </c>
      <c r="S39" s="3768"/>
      <c r="T39" s="3768"/>
      <c r="U39" s="3768"/>
      <c r="V39" s="3768"/>
      <c r="W39" s="3768"/>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2023-12</v>
      </c>
      <c r="D48" s="1185">
        <f>EDATE(C48,-1)</f>
        <v>45231</v>
      </c>
      <c r="E48" s="1185">
        <f t="shared" ref="E48:O48" si="16">EDATE(D48,-1)</f>
        <v>45200</v>
      </c>
      <c r="F48" s="1185">
        <f t="shared" si="16"/>
        <v>45170</v>
      </c>
      <c r="G48" s="1185">
        <f t="shared" si="16"/>
        <v>45139</v>
      </c>
      <c r="H48" s="1185">
        <f t="shared" si="16"/>
        <v>45108</v>
      </c>
      <c r="I48" s="1185">
        <f t="shared" si="16"/>
        <v>45078</v>
      </c>
      <c r="J48" s="1185">
        <f t="shared" si="16"/>
        <v>45047</v>
      </c>
      <c r="K48" s="1185">
        <f t="shared" si="16"/>
        <v>45017</v>
      </c>
      <c r="L48" s="1185">
        <f t="shared" si="16"/>
        <v>44986</v>
      </c>
      <c r="M48" s="1185">
        <f t="shared" si="16"/>
        <v>44958</v>
      </c>
      <c r="N48" s="1185">
        <f t="shared" si="16"/>
        <v>44927</v>
      </c>
      <c r="O48" s="1185">
        <f t="shared" si="16"/>
        <v>44896</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3"/>
      <c r="O74" s="2753"/>
      <c r="P74" s="2761"/>
      <c r="Q74" s="2738"/>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3"/>
      <c r="O76" s="2753"/>
      <c r="P76" s="2761"/>
      <c r="Q76" s="2738"/>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97" t="s">
        <v>1770</v>
      </c>
      <c r="D4" s="3698"/>
      <c r="E4" s="3699" t="s">
        <v>1771</v>
      </c>
      <c r="F4" s="3700"/>
      <c r="G4" s="3697" t="s">
        <v>1772</v>
      </c>
      <c r="H4" s="3698"/>
      <c r="I4" s="3697" t="s">
        <v>1773</v>
      </c>
      <c r="J4" s="3698"/>
      <c r="K4" s="559" t="s">
        <v>1774</v>
      </c>
      <c r="L4" s="2714"/>
      <c r="M4" s="2715"/>
      <c r="N4" s="2715"/>
      <c r="O4" s="2715"/>
      <c r="P4" s="3701" t="s">
        <v>1775</v>
      </c>
      <c r="Q4" s="3702"/>
      <c r="R4" s="3707" t="s">
        <v>1771</v>
      </c>
      <c r="S4" s="3708"/>
      <c r="T4" s="3707" t="s">
        <v>1772</v>
      </c>
      <c r="U4" s="3708"/>
      <c r="V4" s="3692" t="s">
        <v>1773</v>
      </c>
      <c r="W4" s="3692"/>
      <c r="X4" s="1355"/>
      <c r="Y4" s="3707" t="s">
        <v>1775</v>
      </c>
      <c r="Z4" s="3708"/>
      <c r="AA4" s="3694" t="s">
        <v>1771</v>
      </c>
      <c r="AB4" s="3695" t="s">
        <v>1772</v>
      </c>
      <c r="AC4" s="3694" t="s">
        <v>1773</v>
      </c>
    </row>
    <row r="5" spans="1:29" ht="15">
      <c r="A5" s="358"/>
      <c r="B5" s="359"/>
      <c r="C5" s="3720" t="s">
        <v>1673</v>
      </c>
      <c r="D5" s="3716"/>
      <c r="E5" s="3751" t="s">
        <v>1674</v>
      </c>
      <c r="F5" s="3724"/>
      <c r="G5" s="3720" t="s">
        <v>1675</v>
      </c>
      <c r="H5" s="3716"/>
      <c r="I5" s="3720" t="s">
        <v>1676</v>
      </c>
      <c r="J5" s="3716"/>
      <c r="K5" s="559"/>
      <c r="L5" s="2714"/>
      <c r="M5" s="2715"/>
      <c r="N5" s="2715"/>
      <c r="O5" s="2715"/>
      <c r="P5" s="3703"/>
      <c r="Q5" s="3704"/>
      <c r="R5" s="3709"/>
      <c r="S5" s="3710"/>
      <c r="T5" s="3709"/>
      <c r="U5" s="3710"/>
      <c r="V5" s="3692"/>
      <c r="W5" s="3692"/>
      <c r="X5" s="1355"/>
      <c r="Y5" s="3709"/>
      <c r="Z5" s="3710"/>
      <c r="AA5" s="3695"/>
      <c r="AB5" s="3695"/>
      <c r="AC5" s="3695"/>
    </row>
    <row r="6" spans="1:29" ht="15.75" thickBot="1">
      <c r="A6" s="360"/>
      <c r="B6" s="361"/>
      <c r="C6" s="3713" t="s">
        <v>1677</v>
      </c>
      <c r="D6" s="3714"/>
      <c r="E6" s="3721" t="s">
        <v>1677</v>
      </c>
      <c r="F6" s="3722"/>
      <c r="G6" s="3713" t="s">
        <v>1677</v>
      </c>
      <c r="H6" s="3714"/>
      <c r="I6" s="3713" t="s">
        <v>1677</v>
      </c>
      <c r="J6" s="3714"/>
      <c r="K6" s="559" t="s">
        <v>1678</v>
      </c>
      <c r="L6" s="2714"/>
      <c r="M6" s="2715"/>
      <c r="N6" s="2715"/>
      <c r="O6" s="2715"/>
      <c r="P6" s="3705"/>
      <c r="Q6" s="3706"/>
      <c r="R6" s="3709"/>
      <c r="S6" s="3710"/>
      <c r="T6" s="3711"/>
      <c r="U6" s="3712"/>
      <c r="V6" s="3692"/>
      <c r="W6" s="3692"/>
      <c r="X6" s="1355"/>
      <c r="Y6" s="3711"/>
      <c r="Z6" s="3712"/>
      <c r="AA6" s="3696"/>
      <c r="AB6" s="3696"/>
      <c r="AC6" s="3696"/>
    </row>
    <row r="7" spans="1:29" s="108" customFormat="1" ht="15.75" thickBot="1">
      <c r="A7" s="362" t="s">
        <v>1679</v>
      </c>
      <c r="B7" s="363"/>
      <c r="C7" s="364">
        <f>'数据-取费表'!B2</f>
        <v>45279</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717" t="s">
        <v>1680</v>
      </c>
      <c r="Q7" s="3719"/>
      <c r="R7" s="701" t="s">
        <v>14</v>
      </c>
      <c r="S7" s="702">
        <f t="shared" ref="S7:S14" si="0">F7</f>
        <v>0</v>
      </c>
      <c r="T7" s="701" t="s">
        <v>14</v>
      </c>
      <c r="U7" s="702">
        <f t="shared" ref="U7:U14" si="1">H7</f>
        <v>0</v>
      </c>
      <c r="V7" s="701" t="s">
        <v>14</v>
      </c>
      <c r="W7" s="702">
        <f t="shared" ref="W7:W14" si="2">J7</f>
        <v>0</v>
      </c>
      <c r="X7" s="703"/>
      <c r="Y7" s="3717" t="s">
        <v>1680</v>
      </c>
      <c r="Z7" s="3718"/>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17" t="s">
        <v>1683</v>
      </c>
      <c r="Q8" s="3718"/>
      <c r="R8" s="701" t="s">
        <v>14</v>
      </c>
      <c r="S8" s="702">
        <f t="shared" si="0"/>
        <v>100</v>
      </c>
      <c r="T8" s="701" t="s">
        <v>14</v>
      </c>
      <c r="U8" s="702">
        <f t="shared" si="1"/>
        <v>100</v>
      </c>
      <c r="V8" s="701" t="s">
        <v>14</v>
      </c>
      <c r="W8" s="702">
        <f t="shared" si="2"/>
        <v>100</v>
      </c>
      <c r="X8" s="703"/>
      <c r="Y8" s="3717" t="s">
        <v>1683</v>
      </c>
      <c r="Z8" s="3718"/>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78" t="s">
        <v>1686</v>
      </c>
      <c r="Q9" s="1343" t="str">
        <f t="shared" ref="Q9:Q14" si="6">B9</f>
        <v>用途</v>
      </c>
      <c r="R9" s="701" t="s">
        <v>14</v>
      </c>
      <c r="S9" s="702">
        <f t="shared" si="0"/>
        <v>100</v>
      </c>
      <c r="T9" s="701" t="s">
        <v>14</v>
      </c>
      <c r="U9" s="702">
        <f t="shared" si="1"/>
        <v>100</v>
      </c>
      <c r="V9" s="701" t="s">
        <v>14</v>
      </c>
      <c r="W9" s="702">
        <f t="shared" si="2"/>
        <v>100</v>
      </c>
      <c r="X9" s="703"/>
      <c r="Y9" s="3563"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78"/>
      <c r="Q10" s="1343" t="str">
        <f t="shared" si="6"/>
        <v>土地使用年限（年）</v>
      </c>
      <c r="R10" s="701" t="s">
        <v>14</v>
      </c>
      <c r="S10" s="702">
        <f t="shared" si="0"/>
        <v>100</v>
      </c>
      <c r="T10" s="701" t="s">
        <v>14</v>
      </c>
      <c r="U10" s="702">
        <f t="shared" si="1"/>
        <v>100</v>
      </c>
      <c r="V10" s="701" t="s">
        <v>14</v>
      </c>
      <c r="W10" s="702">
        <f t="shared" si="2"/>
        <v>100</v>
      </c>
      <c r="X10" s="703"/>
      <c r="Y10" s="356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78"/>
      <c r="Q11" s="1343">
        <f t="shared" si="6"/>
        <v>111</v>
      </c>
      <c r="R11" s="701" t="s">
        <v>14</v>
      </c>
      <c r="S11" s="702">
        <f t="shared" si="0"/>
        <v>100</v>
      </c>
      <c r="T11" s="701" t="s">
        <v>14</v>
      </c>
      <c r="U11" s="702">
        <f t="shared" si="1"/>
        <v>100</v>
      </c>
      <c r="V11" s="701" t="s">
        <v>14</v>
      </c>
      <c r="W11" s="702">
        <f t="shared" si="2"/>
        <v>100</v>
      </c>
      <c r="X11" s="703"/>
      <c r="Y11" s="356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78"/>
      <c r="Q12" s="1343">
        <f t="shared" si="6"/>
        <v>111</v>
      </c>
      <c r="R12" s="701" t="s">
        <v>14</v>
      </c>
      <c r="S12" s="702">
        <f t="shared" si="0"/>
        <v>100</v>
      </c>
      <c r="T12" s="701" t="s">
        <v>14</v>
      </c>
      <c r="U12" s="702">
        <f t="shared" si="1"/>
        <v>100</v>
      </c>
      <c r="V12" s="701" t="s">
        <v>14</v>
      </c>
      <c r="W12" s="702">
        <f t="shared" si="2"/>
        <v>100</v>
      </c>
      <c r="X12" s="703"/>
      <c r="Y12" s="356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678"/>
      <c r="Q13" s="1343">
        <f t="shared" si="6"/>
        <v>111</v>
      </c>
      <c r="R13" s="701" t="s">
        <v>14</v>
      </c>
      <c r="S13" s="702">
        <f t="shared" si="0"/>
        <v>100</v>
      </c>
      <c r="T13" s="701" t="s">
        <v>14</v>
      </c>
      <c r="U13" s="702">
        <f t="shared" si="1"/>
        <v>100</v>
      </c>
      <c r="V13" s="701" t="s">
        <v>14</v>
      </c>
      <c r="W13" s="702">
        <f t="shared" si="2"/>
        <v>100</v>
      </c>
      <c r="X13" s="703"/>
      <c r="Y13" s="3563"/>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85" t="s">
        <v>1691</v>
      </c>
      <c r="Q14" s="1352" t="str">
        <f t="shared" si="6"/>
        <v>交通便捷度</v>
      </c>
      <c r="R14" s="705" t="s">
        <v>14</v>
      </c>
      <c r="S14" s="706">
        <f t="shared" si="0"/>
        <v>100</v>
      </c>
      <c r="T14" s="705" t="s">
        <v>14</v>
      </c>
      <c r="U14" s="706">
        <f t="shared" si="1"/>
        <v>100</v>
      </c>
      <c r="V14" s="705" t="s">
        <v>14</v>
      </c>
      <c r="W14" s="706">
        <f t="shared" si="2"/>
        <v>100</v>
      </c>
      <c r="X14" s="1355"/>
      <c r="Y14" s="3685"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686"/>
      <c r="Q15" s="1352"/>
      <c r="R15" s="705"/>
      <c r="S15" s="706"/>
      <c r="T15" s="705"/>
      <c r="U15" s="706"/>
      <c r="V15" s="705"/>
      <c r="W15" s="706"/>
      <c r="X15" s="1355"/>
      <c r="Y15" s="3686"/>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86"/>
      <c r="Q16" s="1352" t="str">
        <f>B16</f>
        <v>公共配套设施</v>
      </c>
      <c r="R16" s="705" t="s">
        <v>14</v>
      </c>
      <c r="S16" s="706">
        <f>F16</f>
        <v>100</v>
      </c>
      <c r="T16" s="705" t="s">
        <v>14</v>
      </c>
      <c r="U16" s="706">
        <f>H16</f>
        <v>100</v>
      </c>
      <c r="V16" s="705" t="s">
        <v>14</v>
      </c>
      <c r="W16" s="706">
        <f>J16</f>
        <v>100</v>
      </c>
      <c r="X16" s="1355"/>
      <c r="Y16" s="368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686"/>
      <c r="Q17" s="1352"/>
      <c r="R17" s="705"/>
      <c r="S17" s="706"/>
      <c r="T17" s="705"/>
      <c r="U17" s="706"/>
      <c r="V17" s="705"/>
      <c r="W17" s="706"/>
      <c r="X17" s="1355"/>
      <c r="Y17" s="3686"/>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86"/>
      <c r="Q18" s="1352" t="str">
        <f>B18</f>
        <v>基础设施水平</v>
      </c>
      <c r="R18" s="705" t="s">
        <v>14</v>
      </c>
      <c r="S18" s="706">
        <f>F18</f>
        <v>100</v>
      </c>
      <c r="T18" s="705" t="s">
        <v>14</v>
      </c>
      <c r="U18" s="706">
        <f>H18</f>
        <v>100</v>
      </c>
      <c r="V18" s="705" t="s">
        <v>14</v>
      </c>
      <c r="W18" s="706">
        <f>J18</f>
        <v>100</v>
      </c>
      <c r="X18" s="1355"/>
      <c r="Y18" s="368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686"/>
      <c r="Q19" s="1352"/>
      <c r="R19" s="705"/>
      <c r="S19" s="706"/>
      <c r="T19" s="705"/>
      <c r="U19" s="706"/>
      <c r="V19" s="705"/>
      <c r="W19" s="706"/>
      <c r="X19" s="1355"/>
      <c r="Y19" s="3686"/>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86"/>
      <c r="Q20" s="1352" t="str">
        <f>B20</f>
        <v>自然及人文环境</v>
      </c>
      <c r="R20" s="705" t="s">
        <v>14</v>
      </c>
      <c r="S20" s="706">
        <f>F20</f>
        <v>100</v>
      </c>
      <c r="T20" s="705" t="s">
        <v>14</v>
      </c>
      <c r="U20" s="706">
        <f>H20</f>
        <v>100</v>
      </c>
      <c r="V20" s="705" t="s">
        <v>14</v>
      </c>
      <c r="W20" s="706">
        <f>J20</f>
        <v>100</v>
      </c>
      <c r="X20" s="1355"/>
      <c r="Y20" s="368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686"/>
      <c r="Q21" s="1352"/>
      <c r="R21" s="705"/>
      <c r="S21" s="706"/>
      <c r="T21" s="705"/>
      <c r="U21" s="706"/>
      <c r="V21" s="705"/>
      <c r="W21" s="706"/>
      <c r="X21" s="1355"/>
      <c r="Y21" s="3686"/>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86"/>
      <c r="Q22" s="1352" t="str">
        <f>B22</f>
        <v>楼层</v>
      </c>
      <c r="R22" s="705" t="s">
        <v>14</v>
      </c>
      <c r="S22" s="706">
        <f>F22</f>
        <v>100</v>
      </c>
      <c r="T22" s="705" t="s">
        <v>14</v>
      </c>
      <c r="U22" s="706">
        <f>H22</f>
        <v>100</v>
      </c>
      <c r="V22" s="705" t="s">
        <v>14</v>
      </c>
      <c r="W22" s="706">
        <f>J22</f>
        <v>100</v>
      </c>
      <c r="X22" s="1355"/>
      <c r="Y22" s="368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86"/>
      <c r="Q23" s="1352">
        <f>B23</f>
        <v>111</v>
      </c>
      <c r="R23" s="705" t="s">
        <v>14</v>
      </c>
      <c r="S23" s="706">
        <f>F23</f>
        <v>100</v>
      </c>
      <c r="T23" s="705" t="s">
        <v>14</v>
      </c>
      <c r="U23" s="706">
        <f>H23</f>
        <v>100</v>
      </c>
      <c r="V23" s="705" t="s">
        <v>14</v>
      </c>
      <c r="W23" s="706">
        <f>J23</f>
        <v>100</v>
      </c>
      <c r="X23" s="1355"/>
      <c r="Y23" s="368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86"/>
      <c r="Q24" s="1352">
        <f t="shared" ref="Q24:Q34" si="11">B24</f>
        <v>111</v>
      </c>
      <c r="R24" s="705" t="s">
        <v>14</v>
      </c>
      <c r="S24" s="706">
        <f>F24</f>
        <v>100</v>
      </c>
      <c r="T24" s="705" t="s">
        <v>14</v>
      </c>
      <c r="U24" s="706">
        <f>H24</f>
        <v>100</v>
      </c>
      <c r="V24" s="705" t="s">
        <v>14</v>
      </c>
      <c r="W24" s="706">
        <f>J24</f>
        <v>100</v>
      </c>
      <c r="X24" s="1355"/>
      <c r="Y24" s="368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686"/>
      <c r="Q25" s="1343">
        <f t="shared" si="11"/>
        <v>111</v>
      </c>
      <c r="R25" s="701" t="s">
        <v>14</v>
      </c>
      <c r="S25" s="702">
        <f>F25</f>
        <v>100</v>
      </c>
      <c r="T25" s="701" t="s">
        <v>14</v>
      </c>
      <c r="U25" s="702">
        <f>H25</f>
        <v>100</v>
      </c>
      <c r="V25" s="701" t="s">
        <v>14</v>
      </c>
      <c r="W25" s="702">
        <f>J25</f>
        <v>100</v>
      </c>
      <c r="X25" s="703"/>
      <c r="Y25" s="3686"/>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67"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0"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90"/>
      <c r="Q27" s="707" t="str">
        <f t="shared" si="11"/>
        <v>成新率</v>
      </c>
      <c r="R27" s="708" t="s">
        <v>14</v>
      </c>
      <c r="S27" s="709" t="e">
        <f t="shared" si="12"/>
        <v>#N/A</v>
      </c>
      <c r="T27" s="708" t="s">
        <v>14</v>
      </c>
      <c r="U27" s="709" t="e">
        <f t="shared" si="13"/>
        <v>#N/A</v>
      </c>
      <c r="V27" s="708" t="s">
        <v>14</v>
      </c>
      <c r="W27" s="709" t="e">
        <f t="shared" si="14"/>
        <v>#N/A</v>
      </c>
      <c r="X27" s="710"/>
      <c r="Y27" s="3690"/>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90"/>
      <c r="Q28" s="1352" t="str">
        <f t="shared" si="11"/>
        <v>物业等级</v>
      </c>
      <c r="R28" s="705" t="s">
        <v>14</v>
      </c>
      <c r="S28" s="706">
        <f t="shared" si="12"/>
        <v>100</v>
      </c>
      <c r="T28" s="705" t="s">
        <v>14</v>
      </c>
      <c r="U28" s="706">
        <f t="shared" si="13"/>
        <v>100</v>
      </c>
      <c r="V28" s="705" t="s">
        <v>14</v>
      </c>
      <c r="W28" s="706">
        <f t="shared" si="14"/>
        <v>100</v>
      </c>
      <c r="X28" s="1355"/>
      <c r="Y28" s="3690"/>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90"/>
      <c r="Q29" s="1352" t="str">
        <f t="shared" si="11"/>
        <v>有无电梯</v>
      </c>
      <c r="R29" s="705" t="s">
        <v>14</v>
      </c>
      <c r="S29" s="706">
        <f t="shared" si="12"/>
        <v>100</v>
      </c>
      <c r="T29" s="705" t="s">
        <v>14</v>
      </c>
      <c r="U29" s="706">
        <f t="shared" si="13"/>
        <v>100</v>
      </c>
      <c r="V29" s="705" t="s">
        <v>14</v>
      </c>
      <c r="W29" s="706">
        <f t="shared" si="14"/>
        <v>100</v>
      </c>
      <c r="X29" s="1355"/>
      <c r="Y29" s="3690"/>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90"/>
      <c r="Q30" s="1352" t="str">
        <f t="shared" si="11"/>
        <v>建筑面积</v>
      </c>
      <c r="R30" s="705" t="s">
        <v>14</v>
      </c>
      <c r="S30" s="706" t="e">
        <f t="shared" si="12"/>
        <v>#N/A</v>
      </c>
      <c r="T30" s="705" t="s">
        <v>14</v>
      </c>
      <c r="U30" s="706" t="e">
        <f t="shared" si="13"/>
        <v>#N/A</v>
      </c>
      <c r="V30" s="705" t="s">
        <v>14</v>
      </c>
      <c r="W30" s="706" t="e">
        <f t="shared" si="14"/>
        <v>#N/A</v>
      </c>
      <c r="X30" s="1355"/>
      <c r="Y30" s="3690"/>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90"/>
      <c r="Q31" s="1343" t="str">
        <f t="shared" si="11"/>
        <v>是否封闭</v>
      </c>
      <c r="R31" s="701" t="s">
        <v>14</v>
      </c>
      <c r="S31" s="702">
        <f t="shared" si="12"/>
        <v>100</v>
      </c>
      <c r="T31" s="701" t="s">
        <v>14</v>
      </c>
      <c r="U31" s="702">
        <f t="shared" si="13"/>
        <v>100</v>
      </c>
      <c r="V31" s="701" t="s">
        <v>14</v>
      </c>
      <c r="W31" s="702">
        <f t="shared" si="14"/>
        <v>100</v>
      </c>
      <c r="X31" s="703"/>
      <c r="Y31" s="369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90" t="s">
        <v>1696</v>
      </c>
      <c r="Q32" s="1352">
        <f t="shared" si="11"/>
        <v>111</v>
      </c>
      <c r="R32" s="705" t="s">
        <v>14</v>
      </c>
      <c r="S32" s="706">
        <f t="shared" si="12"/>
        <v>100</v>
      </c>
      <c r="T32" s="705" t="s">
        <v>14</v>
      </c>
      <c r="U32" s="706">
        <f t="shared" si="13"/>
        <v>100</v>
      </c>
      <c r="V32" s="705" t="s">
        <v>14</v>
      </c>
      <c r="W32" s="706">
        <f t="shared" si="14"/>
        <v>100</v>
      </c>
      <c r="X32" s="1355"/>
      <c r="Y32" s="3690"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90"/>
      <c r="Q33" s="1352">
        <f t="shared" si="11"/>
        <v>111</v>
      </c>
      <c r="R33" s="705" t="s">
        <v>14</v>
      </c>
      <c r="S33" s="706">
        <f t="shared" si="12"/>
        <v>100</v>
      </c>
      <c r="T33" s="705" t="s">
        <v>14</v>
      </c>
      <c r="U33" s="706">
        <f t="shared" si="13"/>
        <v>100</v>
      </c>
      <c r="V33" s="705" t="s">
        <v>14</v>
      </c>
      <c r="W33" s="706">
        <f t="shared" si="14"/>
        <v>100</v>
      </c>
      <c r="X33" s="1355"/>
      <c r="Y33" s="369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690"/>
      <c r="Q34" s="1352">
        <f t="shared" si="11"/>
        <v>111</v>
      </c>
      <c r="R34" s="705" t="s">
        <v>14</v>
      </c>
      <c r="S34" s="706">
        <f t="shared" si="12"/>
        <v>100</v>
      </c>
      <c r="T34" s="705" t="s">
        <v>14</v>
      </c>
      <c r="U34" s="706">
        <f t="shared" si="13"/>
        <v>100</v>
      </c>
      <c r="V34" s="705" t="s">
        <v>14</v>
      </c>
      <c r="W34" s="706">
        <f t="shared" si="14"/>
        <v>100</v>
      </c>
      <c r="X34" s="1355"/>
      <c r="Y34" s="3690"/>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678" t="str">
        <f>A35</f>
        <v>成交单价（元/平方米）</v>
      </c>
      <c r="Q35" s="3678"/>
      <c r="R35" s="3679">
        <f>E35</f>
        <v>0</v>
      </c>
      <c r="S35" s="3679"/>
      <c r="T35" s="3679">
        <f>G35</f>
        <v>0</v>
      </c>
      <c r="U35" s="3679"/>
      <c r="V35" s="3679">
        <f>I35</f>
        <v>0</v>
      </c>
      <c r="W35" s="3679"/>
      <c r="X35" s="690"/>
      <c r="Y35" s="712"/>
      <c r="Z35" s="690"/>
      <c r="AA35" s="690"/>
      <c r="AB35" s="690"/>
      <c r="AC35" s="690"/>
    </row>
    <row r="36" spans="1:30" ht="15.75" thickBot="1">
      <c r="A36" s="437" t="s">
        <v>1793</v>
      </c>
      <c r="B36" s="438"/>
      <c r="C36" s="1160" t="e">
        <f>R37</f>
        <v>#DIV/0!</v>
      </c>
      <c r="D36" s="2317" t="s">
        <v>2137</v>
      </c>
      <c r="E36" s="1161" t="e">
        <f>R36</f>
        <v>#DIV/0!</v>
      </c>
      <c r="F36" s="2318"/>
      <c r="G36" s="1160" t="e">
        <f>T36</f>
        <v>#DIV/0!</v>
      </c>
      <c r="H36" s="2318"/>
      <c r="I36" s="1161" t="e">
        <f>V36</f>
        <v>#DIV/0!</v>
      </c>
      <c r="J36" s="2318"/>
      <c r="K36" s="2320">
        <f>F36+H36+J36</f>
        <v>0</v>
      </c>
      <c r="L36" s="2723"/>
      <c r="M36" s="2724"/>
      <c r="N36" s="2715"/>
      <c r="O36" s="2724"/>
      <c r="P36" s="3678" t="str">
        <f>A36</f>
        <v>比较价值（元/平方米）</v>
      </c>
      <c r="Q36" s="3678"/>
      <c r="R36" s="3679" t="e">
        <f>IF(F1="售价",ROUND(PRODUCT(R35,AA7:AA34),0),ROUND(PRODUCT(R35,AA7:AA34),1))</f>
        <v>#DIV/0!</v>
      </c>
      <c r="S36" s="3679"/>
      <c r="T36" s="3679" t="e">
        <f>IF(F1="售价",ROUND(PRODUCT(T35,AB7:AB34),0),ROUND(PRODUCT(T35,AB7:AB34),1))</f>
        <v>#DIV/0!</v>
      </c>
      <c r="U36" s="3679"/>
      <c r="V36" s="3679" t="e">
        <f>IF(F1="售价",ROUND(PRODUCT(V35,AC7:AC34),0),ROUND(PRODUCT(V35,AC7:AC34),1))</f>
        <v>#DIV/0!</v>
      </c>
      <c r="W36" s="3679"/>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680" t="str">
        <f>A37</f>
        <v>估价对象XX用房的比较价值（楼面单价，元/平方米）</v>
      </c>
      <c r="Q37" s="3681"/>
      <c r="R37" s="3768" t="e">
        <f>IF(F1="售价",ROUND(IF(D36="简单平均",AVERAGE(R36:W36),R36*F36+T36*H36+V36*J36),0),ROUND(IF(D36="简单平均",AVERAGE(R36:V36),R36*F36+T36*H36+V36*J36),1))</f>
        <v>#DIV/0!</v>
      </c>
      <c r="S37" s="3768"/>
      <c r="T37" s="3768"/>
      <c r="U37" s="3768"/>
      <c r="V37" s="3768"/>
      <c r="W37" s="3768"/>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2023-12</v>
      </c>
      <c r="D46" s="1185">
        <f>EDATE(C46,-1)</f>
        <v>45231</v>
      </c>
      <c r="E46" s="1185">
        <f t="shared" ref="E46:O46" si="16">EDATE(D46,-1)</f>
        <v>45200</v>
      </c>
      <c r="F46" s="1185">
        <f t="shared" si="16"/>
        <v>45170</v>
      </c>
      <c r="G46" s="1185">
        <f t="shared" si="16"/>
        <v>45139</v>
      </c>
      <c r="H46" s="1185">
        <f t="shared" si="16"/>
        <v>45108</v>
      </c>
      <c r="I46" s="1185">
        <f t="shared" si="16"/>
        <v>45078</v>
      </c>
      <c r="J46" s="1185">
        <f t="shared" si="16"/>
        <v>45047</v>
      </c>
      <c r="K46" s="1185">
        <f t="shared" si="16"/>
        <v>45017</v>
      </c>
      <c r="L46" s="1185">
        <f t="shared" si="16"/>
        <v>44986</v>
      </c>
      <c r="M46" s="1185">
        <f t="shared" si="16"/>
        <v>44958</v>
      </c>
      <c r="N46" s="1185">
        <f t="shared" si="16"/>
        <v>44927</v>
      </c>
      <c r="O46" s="1185">
        <f t="shared" si="16"/>
        <v>44896</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3"/>
      <c r="O72" s="2753"/>
      <c r="P72" s="2777"/>
      <c r="Q72" s="2738"/>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3"/>
      <c r="O74" s="2753"/>
      <c r="P74" s="2777"/>
      <c r="Q74" s="2738"/>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97" t="s">
        <v>1770</v>
      </c>
      <c r="D4" s="3698"/>
      <c r="E4" s="3699" t="s">
        <v>1771</v>
      </c>
      <c r="F4" s="3700"/>
      <c r="G4" s="3697" t="s">
        <v>1772</v>
      </c>
      <c r="H4" s="3698"/>
      <c r="I4" s="3697" t="s">
        <v>1773</v>
      </c>
      <c r="J4" s="3698"/>
      <c r="K4" s="559" t="s">
        <v>1774</v>
      </c>
      <c r="L4" s="2714"/>
      <c r="M4" s="2715"/>
      <c r="N4" s="2715"/>
      <c r="O4" s="2715"/>
      <c r="P4" s="3701" t="s">
        <v>1775</v>
      </c>
      <c r="Q4" s="3702"/>
      <c r="R4" s="3707" t="s">
        <v>1771</v>
      </c>
      <c r="S4" s="3708"/>
      <c r="T4" s="3707" t="s">
        <v>1772</v>
      </c>
      <c r="U4" s="3708"/>
      <c r="V4" s="3692" t="s">
        <v>1773</v>
      </c>
      <c r="W4" s="3692"/>
      <c r="X4" s="1355"/>
      <c r="Y4" s="3707" t="s">
        <v>1775</v>
      </c>
      <c r="Z4" s="3708"/>
      <c r="AA4" s="3694" t="s">
        <v>1771</v>
      </c>
      <c r="AB4" s="3695" t="s">
        <v>1772</v>
      </c>
      <c r="AC4" s="3694" t="s">
        <v>1773</v>
      </c>
    </row>
    <row r="5" spans="1:30" ht="15">
      <c r="A5" s="358"/>
      <c r="B5" s="359"/>
      <c r="C5" s="3720" t="s">
        <v>1673</v>
      </c>
      <c r="D5" s="3716"/>
      <c r="E5" s="3751" t="s">
        <v>1674</v>
      </c>
      <c r="F5" s="3724"/>
      <c r="G5" s="3720" t="s">
        <v>1675</v>
      </c>
      <c r="H5" s="3716"/>
      <c r="I5" s="3720" t="s">
        <v>1676</v>
      </c>
      <c r="J5" s="3716"/>
      <c r="K5" s="559"/>
      <c r="L5" s="2714"/>
      <c r="M5" s="2715"/>
      <c r="N5" s="2715"/>
      <c r="O5" s="2715"/>
      <c r="P5" s="3703"/>
      <c r="Q5" s="3704"/>
      <c r="R5" s="3709"/>
      <c r="S5" s="3710"/>
      <c r="T5" s="3709"/>
      <c r="U5" s="3710"/>
      <c r="V5" s="3692"/>
      <c r="W5" s="3692"/>
      <c r="X5" s="1355"/>
      <c r="Y5" s="3709"/>
      <c r="Z5" s="3710"/>
      <c r="AA5" s="3695"/>
      <c r="AB5" s="3695"/>
      <c r="AC5" s="3695"/>
    </row>
    <row r="6" spans="1:30" ht="15.75" thickBot="1">
      <c r="A6" s="360"/>
      <c r="B6" s="361"/>
      <c r="C6" s="3713" t="s">
        <v>1677</v>
      </c>
      <c r="D6" s="3714"/>
      <c r="E6" s="3721" t="s">
        <v>1677</v>
      </c>
      <c r="F6" s="3722"/>
      <c r="G6" s="3713" t="s">
        <v>1677</v>
      </c>
      <c r="H6" s="3714"/>
      <c r="I6" s="3713" t="s">
        <v>1677</v>
      </c>
      <c r="J6" s="3714"/>
      <c r="K6" s="559" t="s">
        <v>1678</v>
      </c>
      <c r="L6" s="2714"/>
      <c r="M6" s="2715"/>
      <c r="N6" s="2715"/>
      <c r="O6" s="2715"/>
      <c r="P6" s="3705"/>
      <c r="Q6" s="3706"/>
      <c r="R6" s="3709"/>
      <c r="S6" s="3710"/>
      <c r="T6" s="3711"/>
      <c r="U6" s="3712"/>
      <c r="V6" s="3692"/>
      <c r="W6" s="3692"/>
      <c r="X6" s="1355"/>
      <c r="Y6" s="3711"/>
      <c r="Z6" s="3712"/>
      <c r="AA6" s="3696"/>
      <c r="AB6" s="3696"/>
      <c r="AC6" s="3696"/>
    </row>
    <row r="7" spans="1:30" s="108" customFormat="1" ht="15.75" thickBot="1">
      <c r="A7" s="362" t="s">
        <v>1679</v>
      </c>
      <c r="B7" s="363"/>
      <c r="C7" s="364">
        <f>'数据-取费表'!B2</f>
        <v>45279</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717" t="s">
        <v>1680</v>
      </c>
      <c r="Q7" s="3719"/>
      <c r="R7" s="701" t="s">
        <v>14</v>
      </c>
      <c r="S7" s="702">
        <f t="shared" ref="S7:S15" si="0">F7</f>
        <v>0</v>
      </c>
      <c r="T7" s="701" t="s">
        <v>14</v>
      </c>
      <c r="U7" s="702">
        <f t="shared" ref="U7:U15" si="1">H7</f>
        <v>0</v>
      </c>
      <c r="V7" s="701" t="s">
        <v>14</v>
      </c>
      <c r="W7" s="702">
        <f t="shared" ref="W7:W15" si="2">J7</f>
        <v>0</v>
      </c>
      <c r="X7" s="703"/>
      <c r="Y7" s="3717" t="s">
        <v>1680</v>
      </c>
      <c r="Z7" s="3718"/>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17" t="s">
        <v>1683</v>
      </c>
      <c r="Q8" s="3718"/>
      <c r="R8" s="701" t="s">
        <v>14</v>
      </c>
      <c r="S8" s="702">
        <f t="shared" si="0"/>
        <v>0</v>
      </c>
      <c r="T8" s="701" t="s">
        <v>14</v>
      </c>
      <c r="U8" s="702">
        <f t="shared" si="1"/>
        <v>0</v>
      </c>
      <c r="V8" s="701" t="s">
        <v>14</v>
      </c>
      <c r="W8" s="702">
        <f t="shared" si="2"/>
        <v>0</v>
      </c>
      <c r="X8" s="703"/>
      <c r="Y8" s="3717" t="s">
        <v>1683</v>
      </c>
      <c r="Z8" s="3718"/>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678" t="s">
        <v>1686</v>
      </c>
      <c r="Q9" s="1343" t="str">
        <f t="shared" ref="Q9:Q15" si="6">B9</f>
        <v>用途</v>
      </c>
      <c r="R9" s="701" t="s">
        <v>14</v>
      </c>
      <c r="S9" s="702">
        <f t="shared" si="0"/>
        <v>100</v>
      </c>
      <c r="T9" s="701" t="s">
        <v>14</v>
      </c>
      <c r="U9" s="702">
        <f t="shared" si="1"/>
        <v>100</v>
      </c>
      <c r="V9" s="701" t="s">
        <v>14</v>
      </c>
      <c r="W9" s="702">
        <f t="shared" si="2"/>
        <v>100</v>
      </c>
      <c r="X9" s="703"/>
      <c r="Y9" s="3563"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143</v>
      </c>
      <c r="G10" s="414"/>
      <c r="H10" s="127">
        <f>ROUND(100/'数据-取费表'!G16,0)</f>
        <v>143</v>
      </c>
      <c r="I10" s="414"/>
      <c r="J10" s="127">
        <f>ROUND(100/'数据-取费表'!G16,0)</f>
        <v>143</v>
      </c>
      <c r="K10" s="620"/>
      <c r="L10" s="2718"/>
      <c r="M10" s="2719"/>
      <c r="N10" s="2719"/>
      <c r="O10" s="2772"/>
      <c r="P10" s="3678"/>
      <c r="Q10" s="1343" t="str">
        <f t="shared" si="6"/>
        <v>土地使用年限（年）</v>
      </c>
      <c r="R10" s="701" t="s">
        <v>14</v>
      </c>
      <c r="S10" s="702">
        <f t="shared" si="0"/>
        <v>143</v>
      </c>
      <c r="T10" s="701" t="s">
        <v>14</v>
      </c>
      <c r="U10" s="702">
        <f t="shared" si="1"/>
        <v>143</v>
      </c>
      <c r="V10" s="701" t="s">
        <v>14</v>
      </c>
      <c r="W10" s="702">
        <f t="shared" si="2"/>
        <v>143</v>
      </c>
      <c r="X10" s="703"/>
      <c r="Y10" s="3563"/>
      <c r="Z10" s="52" t="str">
        <f t="shared" si="7"/>
        <v>土地使用年限（年）</v>
      </c>
      <c r="AA10" s="704">
        <f t="shared" si="3"/>
        <v>0.69930069930069927</v>
      </c>
      <c r="AB10" s="704">
        <f t="shared" si="4"/>
        <v>0.69930069930069927</v>
      </c>
      <c r="AC10" s="704">
        <f t="shared" si="5"/>
        <v>0.69930069930069927</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78"/>
      <c r="Q11" s="1343" t="str">
        <f t="shared" si="6"/>
        <v>容积率</v>
      </c>
      <c r="R11" s="701" t="s">
        <v>14</v>
      </c>
      <c r="S11" s="702" t="e">
        <f t="shared" si="0"/>
        <v>#N/A</v>
      </c>
      <c r="T11" s="701" t="s">
        <v>14</v>
      </c>
      <c r="U11" s="702" t="e">
        <f t="shared" si="1"/>
        <v>#N/A</v>
      </c>
      <c r="V11" s="701" t="s">
        <v>14</v>
      </c>
      <c r="W11" s="702" t="e">
        <f t="shared" si="2"/>
        <v>#N/A</v>
      </c>
      <c r="X11" s="703"/>
      <c r="Y11" s="3563"/>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78"/>
      <c r="Q12" s="1343" t="str">
        <f t="shared" si="6"/>
        <v>配建</v>
      </c>
      <c r="R12" s="701" t="s">
        <v>14</v>
      </c>
      <c r="S12" s="702">
        <f t="shared" si="0"/>
        <v>100</v>
      </c>
      <c r="T12" s="701" t="s">
        <v>14</v>
      </c>
      <c r="U12" s="702">
        <f t="shared" si="1"/>
        <v>100</v>
      </c>
      <c r="V12" s="701" t="s">
        <v>14</v>
      </c>
      <c r="W12" s="702">
        <f t="shared" si="2"/>
        <v>100</v>
      </c>
      <c r="X12" s="703"/>
      <c r="Y12" s="356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78"/>
      <c r="Q13" s="1343">
        <f t="shared" si="6"/>
        <v>111</v>
      </c>
      <c r="R13" s="701" t="s">
        <v>14</v>
      </c>
      <c r="S13" s="702">
        <f t="shared" si="0"/>
        <v>100</v>
      </c>
      <c r="T13" s="701" t="s">
        <v>14</v>
      </c>
      <c r="U13" s="702">
        <f t="shared" si="1"/>
        <v>100</v>
      </c>
      <c r="V13" s="701" t="s">
        <v>14</v>
      </c>
      <c r="W13" s="702">
        <f t="shared" si="2"/>
        <v>100</v>
      </c>
      <c r="X13" s="703"/>
      <c r="Y13" s="356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78"/>
      <c r="Q14" s="1343">
        <f t="shared" si="6"/>
        <v>111</v>
      </c>
      <c r="R14" s="701" t="s">
        <v>14</v>
      </c>
      <c r="S14" s="702">
        <f t="shared" si="0"/>
        <v>100</v>
      </c>
      <c r="T14" s="701" t="s">
        <v>14</v>
      </c>
      <c r="U14" s="702">
        <f t="shared" si="1"/>
        <v>100</v>
      </c>
      <c r="V14" s="701" t="s">
        <v>14</v>
      </c>
      <c r="W14" s="702">
        <f t="shared" si="2"/>
        <v>100</v>
      </c>
      <c r="X14" s="703"/>
      <c r="Y14" s="3563"/>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85" t="s">
        <v>1691</v>
      </c>
      <c r="Q15" s="1352" t="str">
        <f t="shared" si="6"/>
        <v>居住社区成熟度</v>
      </c>
      <c r="R15" s="705" t="s">
        <v>14</v>
      </c>
      <c r="S15" s="706">
        <f t="shared" si="0"/>
        <v>100</v>
      </c>
      <c r="T15" s="705" t="s">
        <v>14</v>
      </c>
      <c r="U15" s="706">
        <f t="shared" si="1"/>
        <v>100</v>
      </c>
      <c r="V15" s="705" t="s">
        <v>14</v>
      </c>
      <c r="W15" s="706">
        <f t="shared" si="2"/>
        <v>100</v>
      </c>
      <c r="X15" s="1355"/>
      <c r="Y15" s="3685"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686"/>
      <c r="Q16" s="1352"/>
      <c r="R16" s="705"/>
      <c r="S16" s="706"/>
      <c r="T16" s="705"/>
      <c r="U16" s="706"/>
      <c r="V16" s="705"/>
      <c r="W16" s="706"/>
      <c r="X16" s="1355"/>
      <c r="Y16" s="3686"/>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86"/>
      <c r="Q17" s="1352" t="str">
        <f>B17</f>
        <v>商业繁华度</v>
      </c>
      <c r="R17" s="705" t="s">
        <v>14</v>
      </c>
      <c r="S17" s="706">
        <f>F17</f>
        <v>100</v>
      </c>
      <c r="T17" s="705" t="s">
        <v>14</v>
      </c>
      <c r="U17" s="706">
        <f>H17</f>
        <v>100</v>
      </c>
      <c r="V17" s="705" t="s">
        <v>14</v>
      </c>
      <c r="W17" s="706">
        <f>J17</f>
        <v>100</v>
      </c>
      <c r="X17" s="1355"/>
      <c r="Y17" s="368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686"/>
      <c r="Q18" s="1352"/>
      <c r="R18" s="705"/>
      <c r="S18" s="706"/>
      <c r="T18" s="705"/>
      <c r="U18" s="706"/>
      <c r="V18" s="705"/>
      <c r="W18" s="706"/>
      <c r="X18" s="1355"/>
      <c r="Y18" s="3686"/>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86"/>
      <c r="Q19" s="1352" t="str">
        <f>B19</f>
        <v>办公集聚程度</v>
      </c>
      <c r="R19" s="705" t="s">
        <v>14</v>
      </c>
      <c r="S19" s="706">
        <f>F19</f>
        <v>100</v>
      </c>
      <c r="T19" s="705" t="s">
        <v>14</v>
      </c>
      <c r="U19" s="706">
        <f>H19</f>
        <v>100</v>
      </c>
      <c r="V19" s="705" t="s">
        <v>14</v>
      </c>
      <c r="W19" s="706">
        <f>J19</f>
        <v>100</v>
      </c>
      <c r="X19" s="1355"/>
      <c r="Y19" s="368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686"/>
      <c r="Q20" s="1352"/>
      <c r="R20" s="705"/>
      <c r="S20" s="706"/>
      <c r="T20" s="705"/>
      <c r="U20" s="706"/>
      <c r="V20" s="705"/>
      <c r="W20" s="706"/>
      <c r="X20" s="1355"/>
      <c r="Y20" s="3686"/>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86"/>
      <c r="Q21" s="1352" t="str">
        <f>B21</f>
        <v>交通便捷度</v>
      </c>
      <c r="R21" s="705" t="s">
        <v>14</v>
      </c>
      <c r="S21" s="706">
        <f>F21</f>
        <v>100</v>
      </c>
      <c r="T21" s="705" t="s">
        <v>14</v>
      </c>
      <c r="U21" s="706">
        <f>H21</f>
        <v>100</v>
      </c>
      <c r="V21" s="705" t="s">
        <v>14</v>
      </c>
      <c r="W21" s="706">
        <f>J21</f>
        <v>100</v>
      </c>
      <c r="X21" s="1355"/>
      <c r="Y21" s="368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686"/>
      <c r="Q22" s="1352"/>
      <c r="R22" s="705"/>
      <c r="S22" s="706"/>
      <c r="T22" s="705"/>
      <c r="U22" s="706"/>
      <c r="V22" s="705"/>
      <c r="W22" s="706"/>
      <c r="X22" s="1355"/>
      <c r="Y22" s="3686"/>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86"/>
      <c r="Q23" s="1352" t="str">
        <f t="shared" ref="Q23:Q37" si="8">B23</f>
        <v>区域土地利用方向</v>
      </c>
      <c r="R23" s="705" t="s">
        <v>14</v>
      </c>
      <c r="S23" s="706">
        <f>F23</f>
        <v>100</v>
      </c>
      <c r="T23" s="705" t="s">
        <v>14</v>
      </c>
      <c r="U23" s="706">
        <f>H23</f>
        <v>100</v>
      </c>
      <c r="V23" s="705" t="s">
        <v>14</v>
      </c>
      <c r="W23" s="706">
        <f>J23</f>
        <v>100</v>
      </c>
      <c r="X23" s="1355"/>
      <c r="Y23" s="368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686"/>
      <c r="Q24" s="1352"/>
      <c r="R24" s="705"/>
      <c r="S24" s="706"/>
      <c r="T24" s="705"/>
      <c r="U24" s="706"/>
      <c r="V24" s="705"/>
      <c r="W24" s="706"/>
      <c r="X24" s="1355"/>
      <c r="Y24" s="3686"/>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86"/>
      <c r="Q25" s="1352" t="str">
        <f t="shared" si="8"/>
        <v>自然及人文环境状况</v>
      </c>
      <c r="R25" s="705" t="s">
        <v>14</v>
      </c>
      <c r="S25" s="706">
        <f>F25</f>
        <v>100</v>
      </c>
      <c r="T25" s="705" t="s">
        <v>14</v>
      </c>
      <c r="U25" s="706">
        <f>H25</f>
        <v>100</v>
      </c>
      <c r="V25" s="705" t="s">
        <v>14</v>
      </c>
      <c r="W25" s="706">
        <f>J25</f>
        <v>100</v>
      </c>
      <c r="X25" s="1355"/>
      <c r="Y25" s="368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686"/>
      <c r="Q26" s="1352"/>
      <c r="R26" s="705"/>
      <c r="S26" s="706"/>
      <c r="T26" s="705"/>
      <c r="U26" s="706"/>
      <c r="V26" s="705"/>
      <c r="W26" s="706"/>
      <c r="X26" s="1355"/>
      <c r="Y26" s="3686"/>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86"/>
      <c r="Q27" s="1343" t="str">
        <f t="shared" si="8"/>
        <v>公共配套设施</v>
      </c>
      <c r="R27" s="701" t="s">
        <v>14</v>
      </c>
      <c r="S27" s="702">
        <f>F27</f>
        <v>100</v>
      </c>
      <c r="T27" s="701" t="s">
        <v>14</v>
      </c>
      <c r="U27" s="702">
        <f>H27</f>
        <v>100</v>
      </c>
      <c r="V27" s="701" t="s">
        <v>14</v>
      </c>
      <c r="W27" s="702">
        <f>J27</f>
        <v>100</v>
      </c>
      <c r="X27" s="703"/>
      <c r="Y27" s="368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686"/>
      <c r="Q28" s="1343"/>
      <c r="R28" s="701"/>
      <c r="S28" s="702"/>
      <c r="T28" s="701"/>
      <c r="U28" s="702"/>
      <c r="V28" s="701"/>
      <c r="W28" s="702"/>
      <c r="X28" s="703"/>
      <c r="Y28" s="3686"/>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86"/>
      <c r="Q29" s="1343" t="str">
        <f t="shared" ref="Q29" si="9">B29</f>
        <v>基础设施水平</v>
      </c>
      <c r="R29" s="701" t="s">
        <v>14</v>
      </c>
      <c r="S29" s="702">
        <f>F29</f>
        <v>100</v>
      </c>
      <c r="T29" s="701" t="s">
        <v>14</v>
      </c>
      <c r="U29" s="702">
        <f>H29</f>
        <v>100</v>
      </c>
      <c r="V29" s="701" t="s">
        <v>14</v>
      </c>
      <c r="W29" s="702">
        <f>J29</f>
        <v>100</v>
      </c>
      <c r="X29" s="703"/>
      <c r="Y29" s="368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686"/>
      <c r="Q30" s="1343"/>
      <c r="R30" s="701"/>
      <c r="S30" s="702"/>
      <c r="T30" s="701"/>
      <c r="U30" s="702"/>
      <c r="V30" s="701"/>
      <c r="W30" s="702"/>
      <c r="X30" s="703"/>
      <c r="Y30" s="3686"/>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8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6"/>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86"/>
      <c r="Q32" s="1352" t="str">
        <f t="shared" si="8"/>
        <v>毗邻道路的类型与等级</v>
      </c>
      <c r="R32" s="705" t="s">
        <v>14</v>
      </c>
      <c r="S32" s="706">
        <f t="shared" si="10"/>
        <v>100</v>
      </c>
      <c r="T32" s="705" t="s">
        <v>14</v>
      </c>
      <c r="U32" s="706">
        <f t="shared" si="11"/>
        <v>100</v>
      </c>
      <c r="V32" s="705" t="s">
        <v>14</v>
      </c>
      <c r="W32" s="706">
        <f t="shared" si="12"/>
        <v>100</v>
      </c>
      <c r="X32" s="1355"/>
      <c r="Y32" s="368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686"/>
      <c r="Q33" s="1352"/>
      <c r="R33" s="705"/>
      <c r="S33" s="706"/>
      <c r="T33" s="705"/>
      <c r="U33" s="706"/>
      <c r="V33" s="705"/>
      <c r="W33" s="706"/>
      <c r="X33" s="1355"/>
      <c r="Y33" s="3686"/>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86"/>
      <c r="Q34" s="1352" t="str">
        <f t="shared" si="8"/>
        <v>土地级别</v>
      </c>
      <c r="R34" s="705" t="s">
        <v>14</v>
      </c>
      <c r="S34" s="706">
        <f t="shared" si="10"/>
        <v>100</v>
      </c>
      <c r="T34" s="705" t="s">
        <v>14</v>
      </c>
      <c r="U34" s="706">
        <f t="shared" si="11"/>
        <v>100</v>
      </c>
      <c r="V34" s="705" t="s">
        <v>14</v>
      </c>
      <c r="W34" s="706">
        <f t="shared" si="12"/>
        <v>100</v>
      </c>
      <c r="X34" s="1355"/>
      <c r="Y34" s="368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86"/>
      <c r="Q35" s="1352">
        <f t="shared" si="8"/>
        <v>111</v>
      </c>
      <c r="R35" s="705" t="s">
        <v>14</v>
      </c>
      <c r="S35" s="706">
        <f t="shared" si="10"/>
        <v>100</v>
      </c>
      <c r="T35" s="705" t="s">
        <v>14</v>
      </c>
      <c r="U35" s="706">
        <f t="shared" si="11"/>
        <v>100</v>
      </c>
      <c r="V35" s="705" t="s">
        <v>14</v>
      </c>
      <c r="W35" s="706">
        <f t="shared" si="12"/>
        <v>100</v>
      </c>
      <c r="X35" s="1355"/>
      <c r="Y35" s="368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67" t="s">
        <v>1696</v>
      </c>
      <c r="Q36" s="1352">
        <f t="shared" si="8"/>
        <v>111</v>
      </c>
      <c r="R36" s="705" t="s">
        <v>14</v>
      </c>
      <c r="S36" s="706">
        <f t="shared" si="10"/>
        <v>100</v>
      </c>
      <c r="T36" s="705" t="s">
        <v>14</v>
      </c>
      <c r="U36" s="706">
        <f t="shared" si="11"/>
        <v>100</v>
      </c>
      <c r="V36" s="705" t="s">
        <v>14</v>
      </c>
      <c r="W36" s="706">
        <f t="shared" si="12"/>
        <v>100</v>
      </c>
      <c r="X36" s="1355"/>
      <c r="Y36" s="3690"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90"/>
      <c r="Q37" s="1352">
        <f t="shared" si="8"/>
        <v>111</v>
      </c>
      <c r="R37" s="708" t="s">
        <v>14</v>
      </c>
      <c r="S37" s="709">
        <f t="shared" si="10"/>
        <v>100</v>
      </c>
      <c r="T37" s="708" t="s">
        <v>14</v>
      </c>
      <c r="U37" s="709">
        <f t="shared" si="11"/>
        <v>100</v>
      </c>
      <c r="V37" s="708" t="s">
        <v>14</v>
      </c>
      <c r="W37" s="709">
        <f t="shared" si="12"/>
        <v>100</v>
      </c>
      <c r="X37" s="710"/>
      <c r="Y37" s="3690"/>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90"/>
      <c r="Q38" s="1352" t="str">
        <f>B38</f>
        <v>宗地面积</v>
      </c>
      <c r="R38" s="705" t="s">
        <v>14</v>
      </c>
      <c r="S38" s="706" t="e">
        <f t="shared" si="10"/>
        <v>#N/A</v>
      </c>
      <c r="T38" s="705" t="s">
        <v>14</v>
      </c>
      <c r="U38" s="706" t="e">
        <f t="shared" si="11"/>
        <v>#N/A</v>
      </c>
      <c r="V38" s="705" t="s">
        <v>14</v>
      </c>
      <c r="W38" s="706" t="e">
        <f t="shared" si="12"/>
        <v>#N/A</v>
      </c>
      <c r="X38" s="1355"/>
      <c r="Y38" s="3690"/>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690"/>
      <c r="Q39" s="1352" t="str">
        <f t="shared" ref="Q39:Q45" si="14">B39</f>
        <v>宗地形状</v>
      </c>
      <c r="R39" s="705" t="s">
        <v>14</v>
      </c>
      <c r="S39" s="706">
        <f t="shared" si="10"/>
        <v>100</v>
      </c>
      <c r="T39" s="705" t="s">
        <v>14</v>
      </c>
      <c r="U39" s="706">
        <f t="shared" si="11"/>
        <v>100</v>
      </c>
      <c r="V39" s="705" t="s">
        <v>14</v>
      </c>
      <c r="W39" s="706">
        <f t="shared" si="12"/>
        <v>100</v>
      </c>
      <c r="X39" s="1355"/>
      <c r="Y39" s="3690"/>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690"/>
      <c r="Q40" s="1352" t="str">
        <f t="shared" si="14"/>
        <v>临街宽度及深度</v>
      </c>
      <c r="R40" s="705" t="s">
        <v>14</v>
      </c>
      <c r="S40" s="706">
        <f t="shared" si="10"/>
        <v>100</v>
      </c>
      <c r="T40" s="705" t="s">
        <v>14</v>
      </c>
      <c r="U40" s="706">
        <f t="shared" si="11"/>
        <v>100</v>
      </c>
      <c r="V40" s="705" t="s">
        <v>14</v>
      </c>
      <c r="W40" s="706">
        <f t="shared" si="12"/>
        <v>100</v>
      </c>
      <c r="X40" s="1355"/>
      <c r="Y40" s="3690"/>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690"/>
      <c r="Q41" s="1352" t="str">
        <f t="shared" si="14"/>
        <v>宗地开发程度</v>
      </c>
      <c r="R41" s="701" t="s">
        <v>14</v>
      </c>
      <c r="S41" s="702">
        <f t="shared" si="10"/>
        <v>100</v>
      </c>
      <c r="T41" s="701" t="s">
        <v>14</v>
      </c>
      <c r="U41" s="702">
        <f t="shared" si="11"/>
        <v>100</v>
      </c>
      <c r="V41" s="701" t="s">
        <v>14</v>
      </c>
      <c r="W41" s="702">
        <f t="shared" si="12"/>
        <v>100</v>
      </c>
      <c r="X41" s="703"/>
      <c r="Y41" s="3690"/>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690" t="s">
        <v>1696</v>
      </c>
      <c r="Q42" s="1352" t="str">
        <f t="shared" si="14"/>
        <v>工程地质条件</v>
      </c>
      <c r="R42" s="705" t="s">
        <v>14</v>
      </c>
      <c r="S42" s="706">
        <f t="shared" si="10"/>
        <v>100</v>
      </c>
      <c r="T42" s="705" t="s">
        <v>14</v>
      </c>
      <c r="U42" s="706">
        <f t="shared" si="11"/>
        <v>100</v>
      </c>
      <c r="V42" s="705" t="s">
        <v>14</v>
      </c>
      <c r="W42" s="706">
        <f t="shared" si="12"/>
        <v>100</v>
      </c>
      <c r="X42" s="1355"/>
      <c r="Y42" s="3690"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90"/>
      <c r="Q43" s="1352">
        <f t="shared" si="14"/>
        <v>111</v>
      </c>
      <c r="R43" s="705" t="s">
        <v>14</v>
      </c>
      <c r="S43" s="706">
        <f t="shared" si="10"/>
        <v>100</v>
      </c>
      <c r="T43" s="705" t="s">
        <v>14</v>
      </c>
      <c r="U43" s="706">
        <f t="shared" si="11"/>
        <v>100</v>
      </c>
      <c r="V43" s="705" t="s">
        <v>14</v>
      </c>
      <c r="W43" s="706">
        <f t="shared" si="12"/>
        <v>100</v>
      </c>
      <c r="X43" s="1355"/>
      <c r="Y43" s="369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90"/>
      <c r="Q44" s="1352">
        <f t="shared" si="14"/>
        <v>111</v>
      </c>
      <c r="R44" s="705" t="s">
        <v>14</v>
      </c>
      <c r="S44" s="706">
        <f t="shared" si="10"/>
        <v>100</v>
      </c>
      <c r="T44" s="705" t="s">
        <v>14</v>
      </c>
      <c r="U44" s="706">
        <f t="shared" si="11"/>
        <v>100</v>
      </c>
      <c r="V44" s="705" t="s">
        <v>14</v>
      </c>
      <c r="W44" s="706">
        <f t="shared" si="12"/>
        <v>100</v>
      </c>
      <c r="X44" s="1355"/>
      <c r="Y44" s="369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90"/>
      <c r="Q45" s="1352">
        <f t="shared" si="14"/>
        <v>111</v>
      </c>
      <c r="R45" s="708" t="s">
        <v>14</v>
      </c>
      <c r="S45" s="709">
        <f t="shared" si="10"/>
        <v>100</v>
      </c>
      <c r="T45" s="708" t="s">
        <v>14</v>
      </c>
      <c r="U45" s="709">
        <f t="shared" si="11"/>
        <v>100</v>
      </c>
      <c r="V45" s="708" t="s">
        <v>14</v>
      </c>
      <c r="W45" s="709">
        <f t="shared" si="12"/>
        <v>100</v>
      </c>
      <c r="X45" s="710"/>
      <c r="Y45" s="3690"/>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3"/>
      <c r="M46" s="2724"/>
      <c r="N46" s="2715"/>
      <c r="O46" s="2724"/>
      <c r="P46" s="3678" t="str">
        <f>A46</f>
        <v>成交单价</v>
      </c>
      <c r="Q46" s="3678"/>
      <c r="R46" s="3692">
        <f>E46</f>
        <v>0</v>
      </c>
      <c r="S46" s="3692"/>
      <c r="T46" s="3692">
        <f>G46</f>
        <v>0</v>
      </c>
      <c r="U46" s="3692"/>
      <c r="V46" s="3692">
        <f>I46</f>
        <v>0</v>
      </c>
      <c r="W46" s="3692"/>
      <c r="X46" s="690"/>
      <c r="Y46" s="712"/>
      <c r="Z46" s="690"/>
      <c r="AA46" s="690"/>
      <c r="AB46" s="690"/>
      <c r="AC46" s="690"/>
    </row>
    <row r="47" spans="1:29" ht="15.75" thickBot="1">
      <c r="A47" s="437" t="s">
        <v>1793</v>
      </c>
      <c r="B47" s="631"/>
      <c r="C47" s="440" t="e">
        <f>R48</f>
        <v>#DIV/0!</v>
      </c>
      <c r="D47" s="2317" t="s">
        <v>2137</v>
      </c>
      <c r="E47" s="440" t="e">
        <f>R47</f>
        <v>#DIV/0!</v>
      </c>
      <c r="F47" s="2318"/>
      <c r="G47" s="439" t="e">
        <f>T47</f>
        <v>#DIV/0!</v>
      </c>
      <c r="H47" s="2318"/>
      <c r="I47" s="440" t="e">
        <f>V47</f>
        <v>#DIV/0!</v>
      </c>
      <c r="J47" s="2318"/>
      <c r="K47" s="2320">
        <f>F47+H47+J47</f>
        <v>0</v>
      </c>
      <c r="L47" s="2723"/>
      <c r="M47" s="2724"/>
      <c r="N47" s="2724"/>
      <c r="O47" s="2724"/>
      <c r="P47" s="3678" t="str">
        <f>A47</f>
        <v>比较价值（元/平方米）</v>
      </c>
      <c r="Q47" s="3678"/>
      <c r="R47" s="3769" t="e">
        <f>ROUND(PRODUCT(R46,AA7:AA45),0)</f>
        <v>#DIV/0!</v>
      </c>
      <c r="S47" s="3769"/>
      <c r="T47" s="3769" t="e">
        <f>ROUND(PRODUCT(T46,AB7:AB45),0)</f>
        <v>#DIV/0!</v>
      </c>
      <c r="U47" s="3769"/>
      <c r="V47" s="3769" t="e">
        <f>ROUND(PRODUCT(V46,AC7:AC45),0)</f>
        <v>#DIV/0!</v>
      </c>
      <c r="W47" s="3769"/>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680" t="str">
        <f>A48</f>
        <v>估价对象XX用房的比较价值（楼面单价，元/平方米）</v>
      </c>
      <c r="Q48" s="3681"/>
      <c r="R48" s="3770" t="e">
        <f>ROUND(IF(D47="简单平均",AVERAGE(R47:W47),R47*F47+T47*H47+V47*J47),0)</f>
        <v>#DIV/0!</v>
      </c>
      <c r="S48" s="3770"/>
      <c r="T48" s="3770"/>
      <c r="U48" s="3770"/>
      <c r="V48" s="3770"/>
      <c r="W48" s="3770"/>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697" t="s">
        <v>1887</v>
      </c>
      <c r="H55" s="3771"/>
      <c r="I55" s="135" t="s">
        <v>1888</v>
      </c>
      <c r="J55" s="1985">
        <f>项目基本情况!F35</f>
        <v>0</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1562.24</v>
      </c>
      <c r="F56" s="886" t="e">
        <f t="shared" ref="F56:F64" si="15">ROUND(B56*E56/10000,0)</f>
        <v>#DIV/0!</v>
      </c>
      <c r="G56" s="3693"/>
      <c r="H56" s="3678"/>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0.5</v>
      </c>
      <c r="D57" s="945">
        <v>0.25</v>
      </c>
      <c r="E57" s="642"/>
      <c r="F57" s="886" t="e">
        <f t="shared" si="15"/>
        <v>#DIV/0!</v>
      </c>
      <c r="G57" s="3005" t="s">
        <v>1892</v>
      </c>
      <c r="H57" s="887" t="str">
        <f>项目基本情况!B37</f>
        <v>九级</v>
      </c>
      <c r="I57" s="891">
        <f>SUMIF(修正!A57:A68,H57,修正!B57:B68)</f>
        <v>0.5</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0.2</v>
      </c>
      <c r="D58" s="945">
        <v>0.25</v>
      </c>
      <c r="E58" s="642"/>
      <c r="F58" s="886" t="e">
        <f t="shared" si="15"/>
        <v>#DIV/0!</v>
      </c>
      <c r="G58" s="3006"/>
      <c r="H58" s="887" t="str">
        <f>项目基本情况!B37</f>
        <v>九级</v>
      </c>
      <c r="I58" s="891">
        <f>SUMIF(修正!A57:A68,H58,修正!C57:C68)</f>
        <v>0.2</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0.2</v>
      </c>
      <c r="D59" s="945">
        <v>0.25</v>
      </c>
      <c r="E59" s="642"/>
      <c r="F59" s="886" t="e">
        <f t="shared" si="15"/>
        <v>#DIV/0!</v>
      </c>
      <c r="G59" s="3006"/>
      <c r="H59" s="887" t="str">
        <f>项目基本情况!B37</f>
        <v>九级</v>
      </c>
      <c r="I59" s="891">
        <f>SUMIF(修正!A57:A68,H59,修正!D57:D68)</f>
        <v>0.2</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0.1</v>
      </c>
      <c r="D63" s="945">
        <v>0.25</v>
      </c>
      <c r="E63" s="217">
        <f>'数据-汇总表'!E14</f>
        <v>0</v>
      </c>
      <c r="F63" s="886" t="e">
        <f t="shared" si="15"/>
        <v>#DIV/0!</v>
      </c>
      <c r="G63" s="1987" t="s">
        <v>1892</v>
      </c>
      <c r="H63" s="887" t="str">
        <f>项目基本情况!B37</f>
        <v>九级</v>
      </c>
      <c r="I63" s="891">
        <f>SUMIF(修正!A57:A68,H63,修正!G57:G68)</f>
        <v>0.1</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1562.24</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2023-12-1</v>
      </c>
      <c r="D67" s="692">
        <f>EDATE(C67,-3)</f>
        <v>45170</v>
      </c>
      <c r="E67" s="692">
        <f>EDATE(D67,-3)</f>
        <v>45078</v>
      </c>
      <c r="F67" s="692">
        <f t="shared" ref="F67:O67" si="18">EDATE(E67,-3)</f>
        <v>44986</v>
      </c>
      <c r="G67" s="692">
        <f t="shared" si="18"/>
        <v>44896</v>
      </c>
      <c r="H67" s="692">
        <f t="shared" si="18"/>
        <v>44805</v>
      </c>
      <c r="I67" s="692">
        <f t="shared" si="18"/>
        <v>44713</v>
      </c>
      <c r="J67" s="692">
        <f t="shared" si="18"/>
        <v>44621</v>
      </c>
      <c r="K67" s="692">
        <f t="shared" si="18"/>
        <v>44531</v>
      </c>
      <c r="L67" s="692">
        <f t="shared" si="18"/>
        <v>44440</v>
      </c>
      <c r="M67" s="692">
        <f t="shared" si="18"/>
        <v>44348</v>
      </c>
      <c r="N67" s="692">
        <f t="shared" si="18"/>
        <v>44256</v>
      </c>
      <c r="O67" s="692">
        <f t="shared" si="18"/>
        <v>44166</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1904</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97" t="s">
        <v>1770</v>
      </c>
      <c r="D4" s="3698"/>
      <c r="E4" s="3699" t="s">
        <v>1771</v>
      </c>
      <c r="F4" s="3700"/>
      <c r="G4" s="3697" t="s">
        <v>1772</v>
      </c>
      <c r="H4" s="3698"/>
      <c r="I4" s="3697" t="s">
        <v>1773</v>
      </c>
      <c r="J4" s="3698"/>
      <c r="K4" s="559" t="s">
        <v>1774</v>
      </c>
      <c r="L4" s="2714"/>
      <c r="M4" s="2715"/>
      <c r="N4" s="2715"/>
      <c r="O4" s="2715"/>
      <c r="P4" s="3701" t="s">
        <v>1775</v>
      </c>
      <c r="Q4" s="3702"/>
      <c r="R4" s="3707" t="s">
        <v>1771</v>
      </c>
      <c r="S4" s="3708"/>
      <c r="T4" s="3707" t="s">
        <v>1772</v>
      </c>
      <c r="U4" s="3708"/>
      <c r="V4" s="3692" t="s">
        <v>1773</v>
      </c>
      <c r="W4" s="3692"/>
      <c r="X4" s="1355"/>
      <c r="Y4" s="3707" t="s">
        <v>1775</v>
      </c>
      <c r="Z4" s="3708"/>
      <c r="AA4" s="3694" t="s">
        <v>1771</v>
      </c>
      <c r="AB4" s="3695" t="s">
        <v>1772</v>
      </c>
      <c r="AC4" s="3694" t="s">
        <v>1773</v>
      </c>
    </row>
    <row r="5" spans="1:29" ht="15">
      <c r="A5" s="358"/>
      <c r="B5" s="359"/>
      <c r="C5" s="3720" t="s">
        <v>1673</v>
      </c>
      <c r="D5" s="3716"/>
      <c r="E5" s="3751" t="s">
        <v>1674</v>
      </c>
      <c r="F5" s="3724"/>
      <c r="G5" s="3720" t="s">
        <v>1675</v>
      </c>
      <c r="H5" s="3716"/>
      <c r="I5" s="3720" t="s">
        <v>1676</v>
      </c>
      <c r="J5" s="3716"/>
      <c r="K5" s="559"/>
      <c r="L5" s="2714"/>
      <c r="M5" s="2715"/>
      <c r="N5" s="2715"/>
      <c r="O5" s="2715"/>
      <c r="P5" s="3703"/>
      <c r="Q5" s="3704"/>
      <c r="R5" s="3709"/>
      <c r="S5" s="3710"/>
      <c r="T5" s="3709"/>
      <c r="U5" s="3710"/>
      <c r="V5" s="3692"/>
      <c r="W5" s="3692"/>
      <c r="X5" s="1355"/>
      <c r="Y5" s="3709"/>
      <c r="Z5" s="3710"/>
      <c r="AA5" s="3695"/>
      <c r="AB5" s="3695"/>
      <c r="AC5" s="3695"/>
    </row>
    <row r="6" spans="1:29" ht="15.75" thickBot="1">
      <c r="A6" s="360"/>
      <c r="B6" s="361"/>
      <c r="C6" s="3772" t="s">
        <v>1919</v>
      </c>
      <c r="D6" s="3773"/>
      <c r="E6" s="3774" t="s">
        <v>1919</v>
      </c>
      <c r="F6" s="3775"/>
      <c r="G6" s="3772" t="s">
        <v>1919</v>
      </c>
      <c r="H6" s="3773"/>
      <c r="I6" s="3772" t="s">
        <v>1919</v>
      </c>
      <c r="J6" s="3773"/>
      <c r="K6" s="559" t="s">
        <v>1678</v>
      </c>
      <c r="L6" s="2714"/>
      <c r="M6" s="2715"/>
      <c r="N6" s="2715"/>
      <c r="O6" s="2715"/>
      <c r="P6" s="3705"/>
      <c r="Q6" s="3706"/>
      <c r="R6" s="3709"/>
      <c r="S6" s="3710"/>
      <c r="T6" s="3711"/>
      <c r="U6" s="3712"/>
      <c r="V6" s="3692"/>
      <c r="W6" s="3692"/>
      <c r="X6" s="1355"/>
      <c r="Y6" s="3711"/>
      <c r="Z6" s="3712"/>
      <c r="AA6" s="3696"/>
      <c r="AB6" s="3696"/>
      <c r="AC6" s="3696"/>
    </row>
    <row r="7" spans="1:29" s="108" customFormat="1" ht="15.75" thickBot="1">
      <c r="A7" s="362" t="s">
        <v>1679</v>
      </c>
      <c r="B7" s="363"/>
      <c r="C7" s="364">
        <f>'数据-取费表'!B2</f>
        <v>45279</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717" t="s">
        <v>1680</v>
      </c>
      <c r="Q7" s="3719"/>
      <c r="R7" s="701" t="s">
        <v>14</v>
      </c>
      <c r="S7" s="702">
        <f t="shared" ref="S7:S15" si="0">F7</f>
        <v>0</v>
      </c>
      <c r="T7" s="701" t="s">
        <v>14</v>
      </c>
      <c r="U7" s="702">
        <f t="shared" ref="U7:U15" si="1">H7</f>
        <v>0</v>
      </c>
      <c r="V7" s="701" t="s">
        <v>14</v>
      </c>
      <c r="W7" s="702">
        <f t="shared" ref="W7:W15" si="2">J7</f>
        <v>0</v>
      </c>
      <c r="X7" s="703"/>
      <c r="Y7" s="3717" t="s">
        <v>1680</v>
      </c>
      <c r="Z7" s="3718"/>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17" t="s">
        <v>1683</v>
      </c>
      <c r="Q8" s="3718"/>
      <c r="R8" s="701" t="s">
        <v>14</v>
      </c>
      <c r="S8" s="702">
        <f t="shared" si="0"/>
        <v>0</v>
      </c>
      <c r="T8" s="701" t="s">
        <v>14</v>
      </c>
      <c r="U8" s="702">
        <f t="shared" si="1"/>
        <v>0</v>
      </c>
      <c r="V8" s="701" t="s">
        <v>14</v>
      </c>
      <c r="W8" s="702">
        <f t="shared" si="2"/>
        <v>0</v>
      </c>
      <c r="X8" s="703"/>
      <c r="Y8" s="3717" t="s">
        <v>1683</v>
      </c>
      <c r="Z8" s="3718"/>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678" t="s">
        <v>1686</v>
      </c>
      <c r="Q9" s="1343" t="str">
        <f t="shared" ref="Q9:Q15" si="6">B9</f>
        <v>用途</v>
      </c>
      <c r="R9" s="701" t="s">
        <v>14</v>
      </c>
      <c r="S9" s="702">
        <f t="shared" si="0"/>
        <v>100</v>
      </c>
      <c r="T9" s="701" t="s">
        <v>14</v>
      </c>
      <c r="U9" s="702">
        <f t="shared" si="1"/>
        <v>100</v>
      </c>
      <c r="V9" s="701" t="s">
        <v>14</v>
      </c>
      <c r="W9" s="702">
        <f t="shared" si="2"/>
        <v>100</v>
      </c>
      <c r="X9" s="703"/>
      <c r="Y9" s="3563"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143</v>
      </c>
      <c r="G10" s="383"/>
      <c r="H10" s="127">
        <f>ROUND(100/'数据-取费表'!G16,0)</f>
        <v>143</v>
      </c>
      <c r="I10" s="383"/>
      <c r="J10" s="127">
        <f>ROUND(100/'数据-取费表'!G16,0)</f>
        <v>143</v>
      </c>
      <c r="K10" s="620"/>
      <c r="L10" s="2718"/>
      <c r="M10" s="2719"/>
      <c r="N10" s="2719"/>
      <c r="O10" s="2772"/>
      <c r="P10" s="3678"/>
      <c r="Q10" s="1343" t="str">
        <f t="shared" si="6"/>
        <v>土地使用年限（年）</v>
      </c>
      <c r="R10" s="701" t="s">
        <v>14</v>
      </c>
      <c r="S10" s="702">
        <f t="shared" si="0"/>
        <v>143</v>
      </c>
      <c r="T10" s="701" t="s">
        <v>14</v>
      </c>
      <c r="U10" s="702">
        <f t="shared" si="1"/>
        <v>143</v>
      </c>
      <c r="V10" s="701" t="s">
        <v>14</v>
      </c>
      <c r="W10" s="702">
        <f t="shared" si="2"/>
        <v>143</v>
      </c>
      <c r="X10" s="703"/>
      <c r="Y10" s="3563"/>
      <c r="Z10" s="52" t="str">
        <f t="shared" si="7"/>
        <v>土地使用年限（年）</v>
      </c>
      <c r="AA10" s="704">
        <f t="shared" si="3"/>
        <v>0.69930069930069927</v>
      </c>
      <c r="AB10" s="704">
        <f t="shared" si="4"/>
        <v>0.69930069930069927</v>
      </c>
      <c r="AC10" s="704">
        <f t="shared" si="5"/>
        <v>0.69930069930069927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78"/>
      <c r="Q11" s="1343" t="str">
        <f t="shared" si="6"/>
        <v>容积率</v>
      </c>
      <c r="R11" s="701" t="s">
        <v>14</v>
      </c>
      <c r="S11" s="702" t="e">
        <f t="shared" si="0"/>
        <v>#N/A</v>
      </c>
      <c r="T11" s="701" t="s">
        <v>14</v>
      </c>
      <c r="U11" s="702" t="e">
        <f t="shared" si="1"/>
        <v>#N/A</v>
      </c>
      <c r="V11" s="701" t="s">
        <v>14</v>
      </c>
      <c r="W11" s="702" t="e">
        <f t="shared" si="2"/>
        <v>#N/A</v>
      </c>
      <c r="X11" s="703"/>
      <c r="Y11" s="356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78"/>
      <c r="Q12" s="1343">
        <f t="shared" si="6"/>
        <v>111</v>
      </c>
      <c r="R12" s="701" t="s">
        <v>14</v>
      </c>
      <c r="S12" s="702">
        <f t="shared" si="0"/>
        <v>100</v>
      </c>
      <c r="T12" s="701" t="s">
        <v>14</v>
      </c>
      <c r="U12" s="702">
        <f t="shared" si="1"/>
        <v>100</v>
      </c>
      <c r="V12" s="701" t="s">
        <v>14</v>
      </c>
      <c r="W12" s="702">
        <f t="shared" si="2"/>
        <v>100</v>
      </c>
      <c r="X12" s="703"/>
      <c r="Y12" s="356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78"/>
      <c r="Q13" s="1343">
        <f t="shared" si="6"/>
        <v>111</v>
      </c>
      <c r="R13" s="701" t="s">
        <v>14</v>
      </c>
      <c r="S13" s="702">
        <f t="shared" si="0"/>
        <v>100</v>
      </c>
      <c r="T13" s="701" t="s">
        <v>14</v>
      </c>
      <c r="U13" s="702">
        <f t="shared" si="1"/>
        <v>100</v>
      </c>
      <c r="V13" s="701" t="s">
        <v>14</v>
      </c>
      <c r="W13" s="702">
        <f t="shared" si="2"/>
        <v>100</v>
      </c>
      <c r="X13" s="703"/>
      <c r="Y13" s="356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78"/>
      <c r="Q14" s="1343">
        <f t="shared" si="6"/>
        <v>111</v>
      </c>
      <c r="R14" s="701" t="s">
        <v>14</v>
      </c>
      <c r="S14" s="702">
        <f t="shared" si="0"/>
        <v>100</v>
      </c>
      <c r="T14" s="701" t="s">
        <v>14</v>
      </c>
      <c r="U14" s="702">
        <f t="shared" si="1"/>
        <v>100</v>
      </c>
      <c r="V14" s="701" t="s">
        <v>14</v>
      </c>
      <c r="W14" s="702">
        <f t="shared" si="2"/>
        <v>100</v>
      </c>
      <c r="X14" s="703"/>
      <c r="Y14" s="3563"/>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85" t="s">
        <v>1691</v>
      </c>
      <c r="Q15" s="1352" t="str">
        <f t="shared" si="6"/>
        <v>产业集聚程度</v>
      </c>
      <c r="R15" s="705" t="s">
        <v>14</v>
      </c>
      <c r="S15" s="706">
        <f t="shared" si="0"/>
        <v>100</v>
      </c>
      <c r="T15" s="705" t="s">
        <v>14</v>
      </c>
      <c r="U15" s="706">
        <f t="shared" si="1"/>
        <v>100</v>
      </c>
      <c r="V15" s="705" t="s">
        <v>14</v>
      </c>
      <c r="W15" s="706">
        <f t="shared" si="2"/>
        <v>100</v>
      </c>
      <c r="X15" s="1355"/>
      <c r="Y15" s="3685"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686"/>
      <c r="Q16" s="1352"/>
      <c r="R16" s="705"/>
      <c r="S16" s="706"/>
      <c r="T16" s="705"/>
      <c r="U16" s="706"/>
      <c r="V16" s="705"/>
      <c r="W16" s="706"/>
      <c r="X16" s="1355"/>
      <c r="Y16" s="3686"/>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86"/>
      <c r="Q17" s="1352" t="str">
        <f>B17</f>
        <v>交通便捷度</v>
      </c>
      <c r="R17" s="705" t="s">
        <v>14</v>
      </c>
      <c r="S17" s="706">
        <f>F17</f>
        <v>100</v>
      </c>
      <c r="T17" s="705" t="s">
        <v>14</v>
      </c>
      <c r="U17" s="706">
        <f>H17</f>
        <v>100</v>
      </c>
      <c r="V17" s="705" t="s">
        <v>14</v>
      </c>
      <c r="W17" s="706">
        <f>J17</f>
        <v>100</v>
      </c>
      <c r="X17" s="1355"/>
      <c r="Y17" s="368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686"/>
      <c r="Q18" s="1352"/>
      <c r="R18" s="705"/>
      <c r="S18" s="706"/>
      <c r="T18" s="705"/>
      <c r="U18" s="706"/>
      <c r="V18" s="705"/>
      <c r="W18" s="706"/>
      <c r="X18" s="1355"/>
      <c r="Y18" s="3686"/>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86"/>
      <c r="Q19" s="1352" t="str">
        <f t="shared" ref="Q19:Q33" si="8">B19</f>
        <v>区域土地利用方向</v>
      </c>
      <c r="R19" s="705" t="s">
        <v>14</v>
      </c>
      <c r="S19" s="706">
        <f>F19</f>
        <v>100</v>
      </c>
      <c r="T19" s="705" t="s">
        <v>14</v>
      </c>
      <c r="U19" s="706">
        <f>H19</f>
        <v>100</v>
      </c>
      <c r="V19" s="705" t="s">
        <v>14</v>
      </c>
      <c r="W19" s="706">
        <f>J19</f>
        <v>100</v>
      </c>
      <c r="X19" s="1355"/>
      <c r="Y19" s="368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686"/>
      <c r="Q20" s="1352"/>
      <c r="R20" s="705"/>
      <c r="S20" s="706"/>
      <c r="T20" s="705"/>
      <c r="U20" s="706"/>
      <c r="V20" s="705"/>
      <c r="W20" s="706"/>
      <c r="X20" s="1355"/>
      <c r="Y20" s="3686"/>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86"/>
      <c r="Q21" s="1352" t="str">
        <f t="shared" si="8"/>
        <v>环境状况</v>
      </c>
      <c r="R21" s="705" t="s">
        <v>14</v>
      </c>
      <c r="S21" s="706">
        <f>F21</f>
        <v>100</v>
      </c>
      <c r="T21" s="705" t="s">
        <v>14</v>
      </c>
      <c r="U21" s="706">
        <f>H21</f>
        <v>100</v>
      </c>
      <c r="V21" s="705" t="s">
        <v>14</v>
      </c>
      <c r="W21" s="706">
        <f>J21</f>
        <v>100</v>
      </c>
      <c r="X21" s="1355"/>
      <c r="Y21" s="368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686"/>
      <c r="Q22" s="1352"/>
      <c r="R22" s="705"/>
      <c r="S22" s="706"/>
      <c r="T22" s="705"/>
      <c r="U22" s="706"/>
      <c r="V22" s="705"/>
      <c r="W22" s="706"/>
      <c r="X22" s="1355"/>
      <c r="Y22" s="3686"/>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86"/>
      <c r="Q23" s="1343" t="str">
        <f t="shared" si="8"/>
        <v>公共配套设施</v>
      </c>
      <c r="R23" s="701" t="s">
        <v>14</v>
      </c>
      <c r="S23" s="702">
        <f>F23</f>
        <v>100</v>
      </c>
      <c r="T23" s="701" t="s">
        <v>14</v>
      </c>
      <c r="U23" s="702">
        <f>H23</f>
        <v>100</v>
      </c>
      <c r="V23" s="701" t="s">
        <v>14</v>
      </c>
      <c r="W23" s="702">
        <f>J23</f>
        <v>100</v>
      </c>
      <c r="X23" s="703"/>
      <c r="Y23" s="368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686"/>
      <c r="Q24" s="1343"/>
      <c r="R24" s="701"/>
      <c r="S24" s="702"/>
      <c r="T24" s="701"/>
      <c r="U24" s="702"/>
      <c r="V24" s="701"/>
      <c r="W24" s="702"/>
      <c r="X24" s="703"/>
      <c r="Y24" s="3686"/>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86"/>
      <c r="Q25" s="1343" t="str">
        <f t="shared" ref="Q25" si="9">B25</f>
        <v>基础设施水平</v>
      </c>
      <c r="R25" s="701" t="s">
        <v>14</v>
      </c>
      <c r="S25" s="702">
        <f>F25</f>
        <v>100</v>
      </c>
      <c r="T25" s="701" t="s">
        <v>14</v>
      </c>
      <c r="U25" s="702">
        <f>H25</f>
        <v>100</v>
      </c>
      <c r="V25" s="701" t="s">
        <v>14</v>
      </c>
      <c r="W25" s="702">
        <f>J25</f>
        <v>100</v>
      </c>
      <c r="X25" s="703"/>
      <c r="Y25" s="368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686"/>
      <c r="Q26" s="1343"/>
      <c r="R26" s="701"/>
      <c r="S26" s="702"/>
      <c r="T26" s="701"/>
      <c r="U26" s="702"/>
      <c r="V26" s="701"/>
      <c r="W26" s="702"/>
      <c r="X26" s="703"/>
      <c r="Y26" s="368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8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6"/>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86"/>
      <c r="Q28" s="1352" t="str">
        <f t="shared" si="8"/>
        <v>毗邻道路的类型与等级</v>
      </c>
      <c r="R28" s="705" t="s">
        <v>14</v>
      </c>
      <c r="S28" s="706">
        <f t="shared" si="10"/>
        <v>100</v>
      </c>
      <c r="T28" s="705" t="s">
        <v>14</v>
      </c>
      <c r="U28" s="706">
        <f t="shared" si="11"/>
        <v>100</v>
      </c>
      <c r="V28" s="705" t="s">
        <v>14</v>
      </c>
      <c r="W28" s="706">
        <f t="shared" si="12"/>
        <v>100</v>
      </c>
      <c r="X28" s="1355"/>
      <c r="Y28" s="368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686"/>
      <c r="Q29" s="1352"/>
      <c r="R29" s="705"/>
      <c r="S29" s="706"/>
      <c r="T29" s="705"/>
      <c r="U29" s="706"/>
      <c r="V29" s="705"/>
      <c r="W29" s="706"/>
      <c r="X29" s="1355"/>
      <c r="Y29" s="3686"/>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86"/>
      <c r="Q30" s="1352" t="str">
        <f t="shared" si="8"/>
        <v>土地级别</v>
      </c>
      <c r="R30" s="705" t="s">
        <v>14</v>
      </c>
      <c r="S30" s="706">
        <f t="shared" si="10"/>
        <v>100</v>
      </c>
      <c r="T30" s="705" t="s">
        <v>14</v>
      </c>
      <c r="U30" s="706">
        <f t="shared" si="11"/>
        <v>100</v>
      </c>
      <c r="V30" s="705" t="s">
        <v>14</v>
      </c>
      <c r="W30" s="706">
        <f t="shared" si="12"/>
        <v>100</v>
      </c>
      <c r="X30" s="1355"/>
      <c r="Y30" s="368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86"/>
      <c r="Q31" s="1352">
        <f t="shared" si="8"/>
        <v>111</v>
      </c>
      <c r="R31" s="705" t="s">
        <v>14</v>
      </c>
      <c r="S31" s="706">
        <f t="shared" si="10"/>
        <v>100</v>
      </c>
      <c r="T31" s="705" t="s">
        <v>14</v>
      </c>
      <c r="U31" s="706">
        <f t="shared" si="11"/>
        <v>100</v>
      </c>
      <c r="V31" s="705" t="s">
        <v>14</v>
      </c>
      <c r="W31" s="706">
        <f t="shared" si="12"/>
        <v>100</v>
      </c>
      <c r="X31" s="1355"/>
      <c r="Y31" s="368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67" t="s">
        <v>1696</v>
      </c>
      <c r="Q32" s="1352">
        <f t="shared" si="8"/>
        <v>111</v>
      </c>
      <c r="R32" s="705" t="s">
        <v>14</v>
      </c>
      <c r="S32" s="706">
        <f t="shared" si="10"/>
        <v>100</v>
      </c>
      <c r="T32" s="705" t="s">
        <v>14</v>
      </c>
      <c r="U32" s="706">
        <f t="shared" si="11"/>
        <v>100</v>
      </c>
      <c r="V32" s="705" t="s">
        <v>14</v>
      </c>
      <c r="W32" s="706">
        <f t="shared" si="12"/>
        <v>100</v>
      </c>
      <c r="X32" s="1355"/>
      <c r="Y32" s="3690"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90"/>
      <c r="Q33" s="1352">
        <f t="shared" si="8"/>
        <v>111</v>
      </c>
      <c r="R33" s="708" t="s">
        <v>14</v>
      </c>
      <c r="S33" s="709">
        <f t="shared" si="10"/>
        <v>100</v>
      </c>
      <c r="T33" s="708" t="s">
        <v>14</v>
      </c>
      <c r="U33" s="709">
        <f t="shared" si="11"/>
        <v>100</v>
      </c>
      <c r="V33" s="708" t="s">
        <v>14</v>
      </c>
      <c r="W33" s="709">
        <f t="shared" si="12"/>
        <v>100</v>
      </c>
      <c r="X33" s="710"/>
      <c r="Y33" s="3690"/>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90"/>
      <c r="Q34" s="1352" t="str">
        <f>B34</f>
        <v>宗地面积</v>
      </c>
      <c r="R34" s="705" t="s">
        <v>14</v>
      </c>
      <c r="S34" s="706" t="e">
        <f t="shared" si="10"/>
        <v>#N/A</v>
      </c>
      <c r="T34" s="705" t="s">
        <v>14</v>
      </c>
      <c r="U34" s="706" t="e">
        <f t="shared" si="11"/>
        <v>#N/A</v>
      </c>
      <c r="V34" s="705" t="s">
        <v>14</v>
      </c>
      <c r="W34" s="706" t="e">
        <f t="shared" si="12"/>
        <v>#N/A</v>
      </c>
      <c r="X34" s="1355"/>
      <c r="Y34" s="3690"/>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690"/>
      <c r="Q35" s="1352" t="str">
        <f t="shared" ref="Q35:Q40" si="14">B35</f>
        <v>宗地形状</v>
      </c>
      <c r="R35" s="705" t="s">
        <v>14</v>
      </c>
      <c r="S35" s="706">
        <f t="shared" si="10"/>
        <v>100</v>
      </c>
      <c r="T35" s="705" t="s">
        <v>14</v>
      </c>
      <c r="U35" s="706">
        <f t="shared" si="11"/>
        <v>100</v>
      </c>
      <c r="V35" s="705" t="s">
        <v>14</v>
      </c>
      <c r="W35" s="706">
        <f t="shared" si="12"/>
        <v>100</v>
      </c>
      <c r="X35" s="1355"/>
      <c r="Y35" s="3690"/>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690"/>
      <c r="Q36" s="1352" t="str">
        <f t="shared" si="14"/>
        <v>宗地开发程度</v>
      </c>
      <c r="R36" s="701" t="s">
        <v>14</v>
      </c>
      <c r="S36" s="702">
        <f t="shared" si="10"/>
        <v>100</v>
      </c>
      <c r="T36" s="701" t="s">
        <v>14</v>
      </c>
      <c r="U36" s="702">
        <f t="shared" si="11"/>
        <v>100</v>
      </c>
      <c r="V36" s="701" t="s">
        <v>14</v>
      </c>
      <c r="W36" s="702">
        <f t="shared" si="12"/>
        <v>100</v>
      </c>
      <c r="X36" s="703"/>
      <c r="Y36" s="3690"/>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690" t="s">
        <v>1696</v>
      </c>
      <c r="Q37" s="1352" t="str">
        <f t="shared" si="14"/>
        <v>工程地质条件</v>
      </c>
      <c r="R37" s="705" t="s">
        <v>14</v>
      </c>
      <c r="S37" s="706">
        <f t="shared" si="10"/>
        <v>100</v>
      </c>
      <c r="T37" s="705" t="s">
        <v>14</v>
      </c>
      <c r="U37" s="706">
        <f t="shared" si="11"/>
        <v>100</v>
      </c>
      <c r="V37" s="705" t="s">
        <v>14</v>
      </c>
      <c r="W37" s="706">
        <f t="shared" si="12"/>
        <v>100</v>
      </c>
      <c r="X37" s="1355"/>
      <c r="Y37" s="3690"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90"/>
      <c r="Q38" s="1352">
        <f t="shared" si="14"/>
        <v>111</v>
      </c>
      <c r="R38" s="705" t="s">
        <v>14</v>
      </c>
      <c r="S38" s="706">
        <f t="shared" si="10"/>
        <v>100</v>
      </c>
      <c r="T38" s="705" t="s">
        <v>14</v>
      </c>
      <c r="U38" s="706">
        <f t="shared" si="11"/>
        <v>100</v>
      </c>
      <c r="V38" s="705" t="s">
        <v>14</v>
      </c>
      <c r="W38" s="706">
        <f t="shared" si="12"/>
        <v>100</v>
      </c>
      <c r="X38" s="1355"/>
      <c r="Y38" s="369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90"/>
      <c r="Q39" s="1352">
        <f t="shared" si="14"/>
        <v>111</v>
      </c>
      <c r="R39" s="705" t="s">
        <v>14</v>
      </c>
      <c r="S39" s="706">
        <f t="shared" si="10"/>
        <v>100</v>
      </c>
      <c r="T39" s="705" t="s">
        <v>14</v>
      </c>
      <c r="U39" s="706">
        <f t="shared" si="11"/>
        <v>100</v>
      </c>
      <c r="V39" s="705" t="s">
        <v>14</v>
      </c>
      <c r="W39" s="706">
        <f t="shared" si="12"/>
        <v>100</v>
      </c>
      <c r="X39" s="1355"/>
      <c r="Y39" s="369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90"/>
      <c r="Q40" s="1352">
        <f t="shared" si="14"/>
        <v>111</v>
      </c>
      <c r="R40" s="708" t="s">
        <v>14</v>
      </c>
      <c r="S40" s="709">
        <f t="shared" si="10"/>
        <v>100</v>
      </c>
      <c r="T40" s="708" t="s">
        <v>14</v>
      </c>
      <c r="U40" s="709">
        <f t="shared" si="11"/>
        <v>100</v>
      </c>
      <c r="V40" s="708" t="s">
        <v>14</v>
      </c>
      <c r="W40" s="709">
        <f t="shared" si="12"/>
        <v>100</v>
      </c>
      <c r="X40" s="710"/>
      <c r="Y40" s="3690"/>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3"/>
      <c r="M41" s="2715"/>
      <c r="N41" s="2715"/>
      <c r="O41" s="2724"/>
      <c r="P41" s="3678" t="str">
        <f>A41</f>
        <v>成交单价</v>
      </c>
      <c r="Q41" s="3678"/>
      <c r="R41" s="3692">
        <f>E41</f>
        <v>0</v>
      </c>
      <c r="S41" s="3692"/>
      <c r="T41" s="3692">
        <f>G41</f>
        <v>0</v>
      </c>
      <c r="U41" s="3692"/>
      <c r="V41" s="3692">
        <f>I41</f>
        <v>0</v>
      </c>
      <c r="W41" s="3692"/>
      <c r="X41" s="690"/>
      <c r="Y41" s="712"/>
      <c r="Z41" s="690"/>
      <c r="AA41" s="690"/>
      <c r="AB41" s="690"/>
      <c r="AC41" s="690"/>
    </row>
    <row r="42" spans="1:31" ht="15.75" thickBot="1">
      <c r="A42" s="437" t="s">
        <v>1793</v>
      </c>
      <c r="B42" s="631"/>
      <c r="C42" s="440" t="e">
        <f>R43</f>
        <v>#DIV/0!</v>
      </c>
      <c r="D42" s="2317" t="s">
        <v>2137</v>
      </c>
      <c r="E42" s="440" t="e">
        <f>R42</f>
        <v>#DIV/0!</v>
      </c>
      <c r="F42" s="2318"/>
      <c r="G42" s="439" t="e">
        <f>T42</f>
        <v>#DIV/0!</v>
      </c>
      <c r="H42" s="2318"/>
      <c r="I42" s="440" t="e">
        <f>V42</f>
        <v>#DIV/0!</v>
      </c>
      <c r="J42" s="2318"/>
      <c r="K42" s="2320">
        <f>F42+H42+J42</f>
        <v>0</v>
      </c>
      <c r="L42" s="2723"/>
      <c r="M42" s="2715"/>
      <c r="N42" s="2715"/>
      <c r="O42" s="2724"/>
      <c r="P42" s="3678" t="str">
        <f>A42</f>
        <v>比较价值（元/平方米）</v>
      </c>
      <c r="Q42" s="3678"/>
      <c r="R42" s="3769" t="e">
        <f>ROUND(PRODUCT(R41,AA7:AA40),0)</f>
        <v>#DIV/0!</v>
      </c>
      <c r="S42" s="3769"/>
      <c r="T42" s="3769" t="e">
        <f>ROUND(PRODUCT(T41,AB7:AB40),0)</f>
        <v>#DIV/0!</v>
      </c>
      <c r="U42" s="3769"/>
      <c r="V42" s="3769" t="e">
        <f>ROUND(PRODUCT(V41,AC7:AC40),0)</f>
        <v>#DIV/0!</v>
      </c>
      <c r="W42" s="3769"/>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680" t="str">
        <f>A43</f>
        <v>估价对象XX用房的比较价值（楼面单价，元/平方米）</v>
      </c>
      <c r="Q43" s="3681"/>
      <c r="R43" s="3770" t="e">
        <f>ROUND(IF(D42="简单平均",AVERAGE(R42:W42),R42*F42+T42*H42+V42*J42),0)</f>
        <v>#DIV/0!</v>
      </c>
      <c r="S43" s="3770"/>
      <c r="T43" s="3770"/>
      <c r="U43" s="3770"/>
      <c r="V43" s="3770"/>
      <c r="W43" s="3770"/>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3" t="s">
        <v>1883</v>
      </c>
      <c r="D50" s="1984" t="s">
        <v>1884</v>
      </c>
      <c r="E50" s="634" t="s">
        <v>1885</v>
      </c>
      <c r="F50" s="635" t="s">
        <v>1886</v>
      </c>
      <c r="G50" s="3697" t="s">
        <v>1887</v>
      </c>
      <c r="H50" s="3771"/>
      <c r="I50" s="1356" t="s">
        <v>1923</v>
      </c>
      <c r="J50" s="1356">
        <f>项目基本情况!F35</f>
        <v>0</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1562.24</v>
      </c>
      <c r="F51" s="639" t="e">
        <f t="shared" ref="F51:F60" si="15">ROUND(B51*E51/10000,0)</f>
        <v>#DIV/0!</v>
      </c>
      <c r="G51" s="3693"/>
      <c r="H51" s="3678"/>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0.5</v>
      </c>
      <c r="D52" s="945">
        <v>0.25</v>
      </c>
      <c r="E52" s="642"/>
      <c r="F52" s="639" t="e">
        <f t="shared" si="15"/>
        <v>#DIV/0!</v>
      </c>
      <c r="G52" s="3005" t="s">
        <v>1892</v>
      </c>
      <c r="H52" s="887" t="str">
        <f>项目基本情况!B37</f>
        <v>九级</v>
      </c>
      <c r="I52" s="773">
        <f>SUMIF(修正!A57:A68,H52,修正!B57:B68)</f>
        <v>0.5</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0.2</v>
      </c>
      <c r="D53" s="945">
        <v>0.25</v>
      </c>
      <c r="E53" s="642"/>
      <c r="F53" s="639" t="e">
        <f t="shared" si="15"/>
        <v>#DIV/0!</v>
      </c>
      <c r="G53" s="3006"/>
      <c r="H53" s="887" t="str">
        <f>项目基本情况!B37</f>
        <v>九级</v>
      </c>
      <c r="I53" s="773">
        <f>SUMIF(修正!A57:A68,H53,修正!C57:C68)</f>
        <v>0.2</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0.2</v>
      </c>
      <c r="D54" s="945">
        <v>0.25</v>
      </c>
      <c r="E54" s="642"/>
      <c r="F54" s="639" t="e">
        <f t="shared" si="15"/>
        <v>#DIV/0!</v>
      </c>
      <c r="G54" s="3006"/>
      <c r="H54" s="887" t="str">
        <f>项目基本情况!B37</f>
        <v>九级</v>
      </c>
      <c r="I54" s="773">
        <f>SUMIF(修正!A57:A68,H54,修正!D57:D68)</f>
        <v>0.2</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0.1</v>
      </c>
      <c r="D59" s="945">
        <v>0.25</v>
      </c>
      <c r="E59" s="217">
        <f>'数据-汇总表'!E14</f>
        <v>0</v>
      </c>
      <c r="F59" s="639" t="e">
        <f t="shared" si="15"/>
        <v>#DIV/0!</v>
      </c>
      <c r="G59" s="1987" t="s">
        <v>1892</v>
      </c>
      <c r="H59" s="887" t="str">
        <f>项目基本情况!B37</f>
        <v>九级</v>
      </c>
      <c r="I59" s="773">
        <f>SUMIF(修正!A57:A68,H59,修正!G57:G68)</f>
        <v>0.1</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2023-12-1</v>
      </c>
      <c r="D63" s="692">
        <f>EDATE(C63,-3)</f>
        <v>45170</v>
      </c>
      <c r="E63" s="692">
        <f>EDATE(D63,-3)</f>
        <v>45078</v>
      </c>
      <c r="F63" s="692">
        <f t="shared" ref="F63:O63" si="18">EDATE(E63,-3)</f>
        <v>44986</v>
      </c>
      <c r="G63" s="692">
        <f t="shared" si="18"/>
        <v>44896</v>
      </c>
      <c r="H63" s="692">
        <f t="shared" si="18"/>
        <v>44805</v>
      </c>
      <c r="I63" s="692">
        <f t="shared" si="18"/>
        <v>44713</v>
      </c>
      <c r="J63" s="692">
        <f t="shared" si="18"/>
        <v>44621</v>
      </c>
      <c r="K63" s="692">
        <f t="shared" si="18"/>
        <v>44531</v>
      </c>
      <c r="L63" s="692">
        <f t="shared" si="18"/>
        <v>44440</v>
      </c>
      <c r="M63" s="692">
        <f t="shared" si="18"/>
        <v>44348</v>
      </c>
      <c r="N63" s="692">
        <f t="shared" si="18"/>
        <v>44256</v>
      </c>
      <c r="O63" s="692">
        <f t="shared" si="18"/>
        <v>44166</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1904</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F6" sqref="F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3472</v>
      </c>
      <c r="D1" s="1362" t="s">
        <v>43</v>
      </c>
      <c r="E1" s="1363" t="s">
        <v>678</v>
      </c>
      <c r="F1" s="1062">
        <f ca="1">J53</f>
        <v>18.850000000000001</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f ca="1">ROUND(D2/10000,4)</f>
        <v>1283.9688000000001</v>
      </c>
      <c r="C2" s="1387" t="s">
        <v>879</v>
      </c>
      <c r="D2" s="1471">
        <f ca="1">C40+J29+L46</f>
        <v>12839688</v>
      </c>
      <c r="E2" s="1388" t="s">
        <v>880</v>
      </c>
      <c r="F2" s="1389"/>
      <c r="G2" s="2705"/>
      <c r="H2" s="2694"/>
      <c r="I2" s="2694"/>
      <c r="J2" s="2694"/>
      <c r="K2" s="2695"/>
      <c r="L2" s="2694"/>
      <c r="M2" s="2694"/>
    </row>
    <row r="3" spans="1:37" ht="18" customHeight="1" thickBot="1">
      <c r="A3" s="1390" t="s">
        <v>881</v>
      </c>
      <c r="B3" s="1391">
        <f ca="1">IF(ISERROR(D2/F43),0,ROUND(D2/F43,0))</f>
        <v>8219</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1181825</v>
      </c>
      <c r="D5" s="1364" t="s">
        <v>889</v>
      </c>
      <c r="E5" s="1071"/>
      <c r="F5" s="1072"/>
      <c r="G5" s="1384"/>
      <c r="H5" s="299">
        <v>1</v>
      </c>
      <c r="I5" s="300" t="s">
        <v>888</v>
      </c>
      <c r="J5" s="1070">
        <f ca="1">J6+J10+J12</f>
        <v>0</v>
      </c>
      <c r="K5" s="1364" t="s">
        <v>889</v>
      </c>
      <c r="L5" s="1071"/>
      <c r="M5" s="1072"/>
    </row>
    <row r="6" spans="1:37" ht="18" customHeight="1">
      <c r="A6" s="1069" t="s">
        <v>398</v>
      </c>
      <c r="B6" s="3727" t="s">
        <v>694</v>
      </c>
      <c r="C6" s="1074">
        <f ca="1">ROUND(F6*F8*F7*(1-F9),0)</f>
        <v>1180350</v>
      </c>
      <c r="D6" s="155" t="s">
        <v>2105</v>
      </c>
      <c r="E6" s="302" t="s">
        <v>696</v>
      </c>
      <c r="F6" s="303">
        <f ca="1">INDIRECT("'数据-取费表'!u"&amp;$G$1)</f>
        <v>2.2999999999999998</v>
      </c>
      <c r="G6" s="1384"/>
      <c r="H6" s="1069" t="s">
        <v>398</v>
      </c>
      <c r="I6" s="3727" t="s">
        <v>694</v>
      </c>
      <c r="J6" s="301">
        <f ca="1">ROUND(M6*M8*M7*(1-M9),0)</f>
        <v>0</v>
      </c>
      <c r="K6" s="1376" t="s">
        <v>2106</v>
      </c>
      <c r="L6" s="302" t="s">
        <v>696</v>
      </c>
      <c r="M6" s="303">
        <f ca="1">INDIRECT("'数据-取费表'!z"&amp;$G$1)</f>
        <v>0</v>
      </c>
    </row>
    <row r="7" spans="1:37" ht="18" customHeight="1">
      <c r="A7" s="1073"/>
      <c r="B7" s="3728"/>
      <c r="C7" s="1075"/>
      <c r="D7" s="307"/>
      <c r="E7" s="1076" t="s">
        <v>697</v>
      </c>
      <c r="F7" s="303">
        <f ca="1">IF(INDIRECT("'数据-取费表'!ah"&amp;$G$1)="",INDIRECT("'数据-取费表'!k"&amp;$G$1),INDIRECT("'数据-取费表'!ah"&amp;$G$1))</f>
        <v>1562.24</v>
      </c>
      <c r="G7" s="1384"/>
      <c r="H7" s="304"/>
      <c r="I7" s="3728"/>
      <c r="J7" s="306"/>
      <c r="K7" s="307"/>
      <c r="L7" s="302" t="s">
        <v>697</v>
      </c>
      <c r="M7" s="303">
        <f ca="1">F7</f>
        <v>1562.24</v>
      </c>
    </row>
    <row r="8" spans="1:37" ht="18" customHeight="1">
      <c r="A8" s="304"/>
      <c r="B8" s="3728"/>
      <c r="C8" s="306"/>
      <c r="D8" s="307"/>
      <c r="E8" s="302" t="s">
        <v>698</v>
      </c>
      <c r="F8" s="303">
        <f ca="1">INDIRECT("'数据-取费表'!ai"&amp;$G$1)</f>
        <v>365</v>
      </c>
      <c r="G8" s="1384"/>
      <c r="H8" s="304"/>
      <c r="I8" s="3728"/>
      <c r="J8" s="306"/>
      <c r="K8" s="307"/>
      <c r="L8" s="302" t="s">
        <v>698</v>
      </c>
      <c r="M8" s="303">
        <f ca="1">INDIRECT("'数据-取费表'!ai"&amp;$G$1)</f>
        <v>365</v>
      </c>
    </row>
    <row r="9" spans="1:37" ht="18" customHeight="1">
      <c r="A9" s="304"/>
      <c r="B9" s="3729"/>
      <c r="C9" s="306"/>
      <c r="D9" s="307"/>
      <c r="E9" s="302" t="s">
        <v>699</v>
      </c>
      <c r="F9" s="312">
        <f ca="1">INDIRECT("'数据-取费表'!w"&amp;$G$1)</f>
        <v>0.1</v>
      </c>
      <c r="G9" s="1384"/>
      <c r="H9" s="304"/>
      <c r="I9" s="3729"/>
      <c r="J9" s="306"/>
      <c r="K9" s="307"/>
      <c r="L9" s="313" t="s">
        <v>699</v>
      </c>
      <c r="M9" s="314">
        <f ca="1">INDIRECT("'数据-取费表'!ab"&amp;$G$1)</f>
        <v>0</v>
      </c>
    </row>
    <row r="10" spans="1:37" ht="18" customHeight="1">
      <c r="A10" s="1069" t="s">
        <v>402</v>
      </c>
      <c r="B10" s="1365" t="s">
        <v>700</v>
      </c>
      <c r="C10" s="316">
        <f ca="1">ROUND(IF(F10="押一",C6/12*F11,IF(F10="押二",C6/12*2*F11,IF(F10="押三",C6/12*3*F11,C11*F11))),0)</f>
        <v>1475</v>
      </c>
      <c r="D10" s="1366" t="s">
        <v>2115</v>
      </c>
      <c r="E10" s="313" t="s">
        <v>701</v>
      </c>
      <c r="F10" s="1116" t="s">
        <v>3402</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4697781</v>
      </c>
      <c r="D13" s="1081" t="s">
        <v>705</v>
      </c>
      <c r="E13" s="1081" t="s">
        <v>706</v>
      </c>
      <c r="F13" s="1082">
        <f ca="1">INDIRECT("'数据-取费表'!y"&amp;$G$1)</f>
        <v>0.7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4686720</v>
      </c>
      <c r="D14" s="1345" t="s">
        <v>708</v>
      </c>
      <c r="E14" s="1342"/>
      <c r="F14" s="319"/>
      <c r="G14" s="1384"/>
      <c r="H14" s="982" t="s">
        <v>398</v>
      </c>
      <c r="I14" s="302" t="s">
        <v>709</v>
      </c>
      <c r="J14" s="21">
        <f ca="1">C29</f>
        <v>6711115</v>
      </c>
      <c r="K14" s="12"/>
      <c r="L14" s="807"/>
      <c r="M14" s="808"/>
    </row>
    <row r="15" spans="1:37" s="1397" customFormat="1" ht="18" customHeight="1" thickBot="1">
      <c r="A15" s="982" t="s">
        <v>399</v>
      </c>
      <c r="B15" s="302" t="s">
        <v>710</v>
      </c>
      <c r="C15" s="21">
        <f ca="1">ROUND(C14*F15,0)</f>
        <v>140602</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67111</v>
      </c>
      <c r="K16" s="1087" t="s">
        <v>715</v>
      </c>
      <c r="L16" s="1088"/>
      <c r="M16" s="1072"/>
    </row>
    <row r="17" spans="1:37" s="1397" customFormat="1" ht="18" customHeight="1">
      <c r="A17" s="982" t="s">
        <v>681</v>
      </c>
      <c r="B17" s="302" t="s">
        <v>716</v>
      </c>
      <c r="C17" s="21">
        <f ca="1">ROUND(F17*(F43+INDIRECT("'数据-取费表'!S"&amp;$G$1)),0)</f>
        <v>312448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70301</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5210071</v>
      </c>
      <c r="D19" s="131" t="s">
        <v>726</v>
      </c>
      <c r="E19" s="1360"/>
      <c r="F19" s="23"/>
      <c r="G19" s="1384"/>
      <c r="H19" s="982" t="s">
        <v>399</v>
      </c>
      <c r="I19" s="302" t="s">
        <v>727</v>
      </c>
      <c r="J19" s="21">
        <f ca="1">IF(K19="按租金收入计税",ROUND(J6*M19/(1+'数据-取费表'!C42),0),ROUND(C29*M19*0.7,0))</f>
        <v>0</v>
      </c>
      <c r="K19" s="1370" t="s">
        <v>3337</v>
      </c>
      <c r="L19" s="302" t="s">
        <v>712</v>
      </c>
      <c r="M19" s="322">
        <f>IF(K19="按租金收入计税",'数据-取费表'!B51,'数据-取费表'!B50)</f>
        <v>0.12</v>
      </c>
    </row>
    <row r="20" spans="1:37" s="1397" customFormat="1" ht="18" customHeight="1">
      <c r="A20" s="982" t="s">
        <v>402</v>
      </c>
      <c r="B20" s="302" t="s">
        <v>728</v>
      </c>
      <c r="C20" s="21">
        <f ca="1">ROUND(C19*F20,0)</f>
        <v>104201</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67111</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91671</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-67111</v>
      </c>
      <c r="K25" s="1095" t="s">
        <v>753</v>
      </c>
      <c r="L25" s="1096"/>
      <c r="M25" s="1097"/>
    </row>
    <row r="26" spans="1:37" ht="18" customHeight="1">
      <c r="A26" s="982" t="s">
        <v>397</v>
      </c>
      <c r="B26" s="302" t="s">
        <v>754</v>
      </c>
      <c r="C26" s="21">
        <f ca="1">ROUND((C19+C20)*F26,0)</f>
        <v>797141</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6711115</v>
      </c>
      <c r="D29" s="1092"/>
      <c r="E29" s="1090"/>
      <c r="F29" s="1093"/>
      <c r="G29" s="1396"/>
      <c r="H29" s="334" t="s">
        <v>396</v>
      </c>
      <c r="I29" s="335" t="s">
        <v>768</v>
      </c>
      <c r="J29" s="336">
        <f ca="1">ROUND(J26/(1+F40)^F41,0)</f>
        <v>0</v>
      </c>
      <c r="K29" s="337" t="s">
        <v>769</v>
      </c>
      <c r="L29" s="338"/>
      <c r="M29" s="339">
        <f ca="1">INDIRECT("'数据-取费表'!k"&amp;$G$1)</f>
        <v>1562.24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280352</v>
      </c>
      <c r="D30" s="1087" t="s">
        <v>715</v>
      </c>
      <c r="E30" s="1088"/>
      <c r="F30" s="1072"/>
      <c r="G30" s="1384"/>
      <c r="H30" s="2696"/>
      <c r="I30" s="1398"/>
      <c r="J30" s="1399"/>
      <c r="K30" s="2475"/>
      <c r="L30" s="2697"/>
      <c r="M30" s="2698"/>
    </row>
    <row r="31" spans="1:37" ht="18" customHeight="1">
      <c r="A31" s="982" t="s">
        <v>398</v>
      </c>
      <c r="B31" s="302" t="s">
        <v>719</v>
      </c>
      <c r="C31" s="2316">
        <f ca="1">ROUND(IF(AND(项目基本情况!B11="自然人",项目基本情况!B10="北京市"),C6*F31/(1+'数据-取费表'!C42),C32+C33+C34),0)</f>
        <v>196725</v>
      </c>
      <c r="D31" s="1345" t="s">
        <v>720</v>
      </c>
      <c r="E31" s="1344" t="s">
        <v>770</v>
      </c>
      <c r="F31" s="2315" t="str">
        <f>IF(项目基本情况!B11="企业","——",IF(M47="住宅",IF(F6*F7*F8/12/(1+'数据-取费表'!F30)&gt;100000,4%,2.5%),IF(F6*F7*F8/12/(1+'数据-取费表'!F30)&gt;100000,12%,7%)))</f>
        <v>——</v>
      </c>
      <c r="G31" s="1384"/>
      <c r="H31" s="2807" t="s">
        <v>2309</v>
      </c>
      <c r="I31" s="1398"/>
      <c r="J31" s="1399"/>
      <c r="K31" s="2475"/>
      <c r="L31" s="2697"/>
      <c r="M31" s="2698"/>
    </row>
    <row r="32" spans="1:37" ht="18" customHeight="1">
      <c r="A32" s="982" t="s">
        <v>397</v>
      </c>
      <c r="B32" s="302" t="s">
        <v>723</v>
      </c>
      <c r="C32" s="21">
        <f ca="1">IF(项目基本情况!B11="自然人","——",ROUND(C6*F32/(1+'数据-取费表'!C42),0))</f>
        <v>61828</v>
      </c>
      <c r="D32" s="1344" t="s">
        <v>724</v>
      </c>
      <c r="E32" s="302" t="s">
        <v>712</v>
      </c>
      <c r="F32" s="331">
        <f>'数据-取费表'!B41</f>
        <v>5.5000000000000007E-2</v>
      </c>
      <c r="G32" s="1384"/>
      <c r="H32" s="2696"/>
      <c r="I32" s="1398"/>
      <c r="J32" s="1399"/>
      <c r="K32" s="2475"/>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134897</v>
      </c>
      <c r="D33" s="1370" t="s">
        <v>3337</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IF(项目基本情况!B11="自然人","——",ROUND(F34*F35,0))</f>
        <v>0</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67111</v>
      </c>
      <c r="D36" s="1344" t="s">
        <v>771</v>
      </c>
      <c r="E36" s="302" t="s">
        <v>712</v>
      </c>
      <c r="F36" s="328">
        <f ca="1">INDIRECT("'数据-取费表'!Ak"&amp;$G$1)</f>
        <v>0.01</v>
      </c>
      <c r="G36" s="1384"/>
      <c r="H36" s="2699"/>
      <c r="I36" s="1398"/>
      <c r="J36" s="1399"/>
      <c r="K36" s="2544"/>
      <c r="L36" s="2699"/>
      <c r="M36" s="2699"/>
    </row>
    <row r="37" spans="1:18" ht="18" customHeight="1">
      <c r="A37" s="982" t="s">
        <v>437</v>
      </c>
      <c r="B37" s="302" t="s">
        <v>742</v>
      </c>
      <c r="C37" s="21">
        <f ca="1">ROUND(C13*F37,0)</f>
        <v>4698</v>
      </c>
      <c r="D37" s="1344" t="s">
        <v>743</v>
      </c>
      <c r="E37" s="302" t="s">
        <v>744</v>
      </c>
      <c r="F37" s="330">
        <f ca="1">INDIRECT("'数据-取费表'!Al"&amp;$G$1)</f>
        <v>1E-3</v>
      </c>
      <c r="G37" s="1384"/>
      <c r="H37" s="2699"/>
      <c r="I37" s="1398"/>
      <c r="J37" s="1399"/>
      <c r="K37" s="2544"/>
      <c r="L37" s="2699"/>
      <c r="M37" s="2699"/>
    </row>
    <row r="38" spans="1:18" ht="18" customHeight="1" thickBot="1">
      <c r="A38" s="1089" t="s">
        <v>684</v>
      </c>
      <c r="B38" s="1090" t="s">
        <v>728</v>
      </c>
      <c r="C38" s="1091">
        <f ca="1">ROUND(C5*F38,0)</f>
        <v>11818</v>
      </c>
      <c r="D38" s="1092" t="s">
        <v>748</v>
      </c>
      <c r="E38" s="1090" t="s">
        <v>744</v>
      </c>
      <c r="F38" s="1086">
        <f ca="1">INDIRECT("'数据-取费表'!Am"&amp;$G$1)</f>
        <v>0.01</v>
      </c>
      <c r="G38" s="1384"/>
      <c r="H38" s="2699"/>
      <c r="I38" s="1398"/>
      <c r="J38" s="1399"/>
      <c r="K38" s="2703"/>
      <c r="L38" s="2699"/>
      <c r="M38" s="2699"/>
    </row>
    <row r="39" spans="1:18" ht="24.6" customHeight="1" thickTop="1">
      <c r="A39" s="1079" t="s">
        <v>394</v>
      </c>
      <c r="B39" s="1094" t="s">
        <v>772</v>
      </c>
      <c r="C39" s="310">
        <f ca="1">C5-C30</f>
        <v>901473</v>
      </c>
      <c r="D39" s="1095" t="s">
        <v>773</v>
      </c>
      <c r="E39" s="1096"/>
      <c r="F39" s="1097"/>
      <c r="G39" s="1384"/>
      <c r="H39" s="2699"/>
      <c r="I39" s="1398"/>
      <c r="J39" s="1399"/>
      <c r="K39" s="2703"/>
      <c r="L39" s="2699"/>
      <c r="M39" s="2699"/>
    </row>
    <row r="40" spans="1:18" ht="18" customHeight="1">
      <c r="A40" s="299" t="s">
        <v>395</v>
      </c>
      <c r="B40" s="300" t="s">
        <v>774</v>
      </c>
      <c r="C40" s="301">
        <f ca="1">ROUND(C39*(1-((1+F42)/(1+F40))^F41)/(F40-F42),0)</f>
        <v>12120307</v>
      </c>
      <c r="D40" s="324" t="s">
        <v>758</v>
      </c>
      <c r="E40" s="302" t="s">
        <v>759</v>
      </c>
      <c r="F40" s="312">
        <f ca="1">INDIRECT("'数据-取费表'!I"&amp;$G$1)</f>
        <v>5.5E-2</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18.850000000000001</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ROUND(C40/F43,0)</f>
        <v>7758</v>
      </c>
      <c r="D43" s="337" t="s">
        <v>777</v>
      </c>
      <c r="E43" s="338" t="s">
        <v>778</v>
      </c>
      <c r="F43" s="339">
        <f ca="1">INDIRECT("'数据-取费表'!k"&amp;$G$1)</f>
        <v>1562.24</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0" t="s">
        <v>3353</v>
      </c>
      <c r="B45" s="1400"/>
      <c r="C45" s="1472">
        <f ca="1">ROUND((C68-C40)/10000,4)</f>
        <v>-1295.0034000000001</v>
      </c>
      <c r="D45" s="3431" t="s">
        <v>3354</v>
      </c>
      <c r="E45" s="1400"/>
      <c r="F45" s="1400"/>
      <c r="O45" s="1403" t="s">
        <v>808</v>
      </c>
      <c r="P45" s="1461"/>
      <c r="Q45" s="1461"/>
      <c r="R45" s="1461"/>
    </row>
    <row r="46" spans="1:18" s="1384" customFormat="1" ht="13.5" thickBot="1">
      <c r="A46" s="1404" t="s">
        <v>809</v>
      </c>
      <c r="C46" s="1405">
        <f ca="1">ROUND(C45,0)</f>
        <v>-1295</v>
      </c>
      <c r="D46" s="1406" t="str">
        <f>C2</f>
        <v>万元</v>
      </c>
      <c r="I46" s="1407" t="s">
        <v>810</v>
      </c>
      <c r="J46" s="1408"/>
      <c r="K46" s="1409"/>
      <c r="L46" s="1410">
        <f ca="1">IF(M47="住宅",0,IF(L48&gt;J51,L60,J60))</f>
        <v>719381</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3403</v>
      </c>
      <c r="K47" s="1416" t="s">
        <v>816</v>
      </c>
      <c r="L47" s="1417">
        <f ca="1">INDIRECT("'数据-取费表'!d"&amp;$G$1)</f>
        <v>40</v>
      </c>
      <c r="M47" s="1380" t="str">
        <f>IF(ISNUMBER(FIND("住宅",C1)),"住宅","非住宅")</f>
        <v>非住宅</v>
      </c>
      <c r="O47" s="1418" t="s">
        <v>403</v>
      </c>
      <c r="P47" s="1419" t="s">
        <v>817</v>
      </c>
      <c r="Q47" s="1420">
        <f ca="1">C40+J29</f>
        <v>12120307</v>
      </c>
      <c r="R47" s="1420" t="s">
        <v>818</v>
      </c>
    </row>
    <row r="48" spans="1:18" s="1384" customFormat="1" ht="28.5" thickBot="1">
      <c r="A48" s="1110" t="s">
        <v>438</v>
      </c>
      <c r="B48" s="300" t="s">
        <v>692</v>
      </c>
      <c r="C48" s="1359">
        <f ca="1">C49+C53+C55</f>
        <v>0</v>
      </c>
      <c r="D48" s="1112"/>
      <c r="E48" s="1113"/>
      <c r="F48" s="962"/>
      <c r="G48" s="722"/>
      <c r="H48" s="723"/>
      <c r="I48" s="1421" t="s">
        <v>819</v>
      </c>
      <c r="J48" s="1422" t="s">
        <v>3404</v>
      </c>
      <c r="K48" s="1423" t="s">
        <v>820</v>
      </c>
      <c r="L48" s="1424">
        <f ca="1">INDIRECT("'数据-取费表'!f"&amp;$G$1)</f>
        <v>18.850000000000001</v>
      </c>
      <c r="O48" s="1418" t="s">
        <v>404</v>
      </c>
      <c r="P48" s="1419" t="s">
        <v>821</v>
      </c>
      <c r="Q48" s="1420">
        <f ca="1">J60</f>
        <v>719381</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3470">
        <v>2007</v>
      </c>
      <c r="K49" s="1423" t="s">
        <v>824</v>
      </c>
      <c r="L49" s="1427"/>
      <c r="O49" s="1428" t="s">
        <v>405</v>
      </c>
      <c r="P49" s="1419" t="s">
        <v>825</v>
      </c>
      <c r="Q49" s="1420">
        <f ca="1">C29</f>
        <v>6711115</v>
      </c>
      <c r="R49" s="1420" t="s">
        <v>818</v>
      </c>
    </row>
    <row r="50" spans="1:18" s="1384" customFormat="1" ht="13.5" thickBot="1">
      <c r="A50" s="976"/>
      <c r="B50" s="979"/>
      <c r="C50" s="980"/>
      <c r="D50" s="953"/>
      <c r="E50" s="1056" t="s">
        <v>697</v>
      </c>
      <c r="F50" s="1057">
        <f ca="1">F7</f>
        <v>1562.24</v>
      </c>
      <c r="H50" s="723"/>
      <c r="I50" s="1421" t="s">
        <v>826</v>
      </c>
      <c r="J50" s="1429">
        <f>SUMPRODUCT((I63:I65=J47)*(J62:L62=J48)*(J63:L65))</f>
        <v>60</v>
      </c>
      <c r="K50" s="1423" t="s">
        <v>827</v>
      </c>
      <c r="L50" s="1427"/>
      <c r="M50" s="1430"/>
      <c r="O50" s="1428" t="s">
        <v>406</v>
      </c>
      <c r="P50" s="1419" t="s">
        <v>828</v>
      </c>
      <c r="Q50" s="1431">
        <f ca="1">J58</f>
        <v>0.41899999999999998</v>
      </c>
      <c r="R50" s="1420"/>
    </row>
    <row r="51" spans="1:18" s="1384" customFormat="1" ht="13.5" thickBot="1">
      <c r="A51" s="977"/>
      <c r="B51" s="979"/>
      <c r="C51" s="980"/>
      <c r="D51" s="953"/>
      <c r="E51" s="981" t="s">
        <v>698</v>
      </c>
      <c r="F51" s="303">
        <f ca="1">F8</f>
        <v>365</v>
      </c>
      <c r="I51" s="1432" t="s">
        <v>829</v>
      </c>
      <c r="J51" s="1433">
        <f>IF(J49="",J50,J49+J50-YEAR('数据-取费表'!B2))</f>
        <v>44</v>
      </c>
      <c r="K51" s="1434" t="s">
        <v>830</v>
      </c>
      <c r="L51" s="1435">
        <f ca="1">ROUND(-PV(INDIRECT("'数据-取费表'!h"&amp;$G$1),J51,(C39-C13*C76),0),0)</f>
        <v>10114204</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18.850000000000001</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18.850000000000001</v>
      </c>
      <c r="K53" s="3725" t="s">
        <v>837</v>
      </c>
      <c r="L53" s="3726"/>
      <c r="O53" s="1418" t="s">
        <v>409</v>
      </c>
      <c r="P53" s="1419" t="s">
        <v>838</v>
      </c>
      <c r="Q53" s="1420">
        <f ca="1">Q47+Q48</f>
        <v>12839688</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0.41899999999999998</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4697781</v>
      </c>
      <c r="D56" s="1447"/>
      <c r="E56" s="1448"/>
      <c r="F56" s="1440"/>
      <c r="I56" s="1449" t="s">
        <v>842</v>
      </c>
      <c r="J56" s="1450" t="s">
        <v>3405</v>
      </c>
      <c r="K56" s="1421" t="s">
        <v>843</v>
      </c>
      <c r="L56" s="1424" t="str">
        <f ca="1">IF(L48&lt;J51,"——",L48-J51)</f>
        <v>——</v>
      </c>
      <c r="O56" s="1418" t="s">
        <v>403</v>
      </c>
      <c r="P56" s="1419" t="s">
        <v>817</v>
      </c>
      <c r="Q56" s="1420">
        <f ca="1">C40+J29</f>
        <v>12120307</v>
      </c>
      <c r="R56" s="1420" t="s">
        <v>818</v>
      </c>
    </row>
    <row r="57" spans="1:18" s="1384" customFormat="1" ht="24.75" thickBot="1">
      <c r="A57" s="1451"/>
      <c r="B57" s="950" t="s">
        <v>767</v>
      </c>
      <c r="C57" s="238">
        <f ca="1">C29</f>
        <v>6711115</v>
      </c>
      <c r="D57" s="1452"/>
      <c r="E57" s="1453"/>
      <c r="F57" s="1454"/>
      <c r="I57" s="1455" t="s">
        <v>844</v>
      </c>
      <c r="J57" s="1456">
        <f ca="1">IF(OR(M47="住宅",J51&lt;L48,J56="是"),"——",J51-L48)</f>
        <v>25.15</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71809</v>
      </c>
      <c r="D58" s="960" t="s">
        <v>715</v>
      </c>
      <c r="E58" s="961"/>
      <c r="F58" s="962"/>
      <c r="I58" s="1455" t="s">
        <v>848</v>
      </c>
      <c r="J58" s="1457">
        <f ca="1">IF(J55&lt;0.4,0.4,J55)</f>
        <v>0.41899999999999998</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2811957</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719381</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12120307</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67111</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4698</v>
      </c>
      <c r="D65" s="964" t="s">
        <v>743</v>
      </c>
      <c r="E65" s="950" t="s">
        <v>744</v>
      </c>
      <c r="F65" s="330">
        <f t="shared" ca="1" si="0"/>
        <v>1E-3</v>
      </c>
      <c r="I65" s="1462" t="s">
        <v>867</v>
      </c>
      <c r="J65" s="1463">
        <v>40</v>
      </c>
      <c r="K65" s="1463">
        <v>30</v>
      </c>
      <c r="L65" s="1463">
        <v>50</v>
      </c>
      <c r="M65" s="1465">
        <v>0.02</v>
      </c>
      <c r="O65" s="1418" t="s">
        <v>403</v>
      </c>
      <c r="P65" s="1419" t="s">
        <v>868</v>
      </c>
      <c r="Q65" s="1420">
        <f ca="1">C40+J29</f>
        <v>12120307</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-71809</v>
      </c>
      <c r="D67" s="963" t="s">
        <v>753</v>
      </c>
      <c r="E67" s="968"/>
      <c r="F67" s="969"/>
      <c r="O67" s="1428" t="s">
        <v>405</v>
      </c>
      <c r="P67" s="1419" t="s">
        <v>850</v>
      </c>
      <c r="Q67" s="1466">
        <f ca="1">L51</f>
        <v>10114204</v>
      </c>
      <c r="R67" s="1420" t="s">
        <v>870</v>
      </c>
    </row>
    <row r="68" spans="1:18" s="1384" customFormat="1" ht="16.5" thickBot="1">
      <c r="A68" s="947" t="s">
        <v>395</v>
      </c>
      <c r="B68" s="948" t="s">
        <v>774</v>
      </c>
      <c r="C68" s="301">
        <f ca="1">ROUND(C67*(1-((1+F70)/(1+F68))^F69)/(F68-F70),0)</f>
        <v>-829727</v>
      </c>
      <c r="D68" s="965" t="s">
        <v>758</v>
      </c>
      <c r="E68" s="950" t="s">
        <v>759</v>
      </c>
      <c r="F68" s="312">
        <f ca="1">F40</f>
        <v>5.5E-2</v>
      </c>
      <c r="O68" s="1428" t="s">
        <v>406</v>
      </c>
      <c r="P68" s="1467" t="s">
        <v>871</v>
      </c>
      <c r="Q68" s="1420">
        <f ca="1">ROUND(Q69-Q70*Q71,0)</f>
        <v>572628</v>
      </c>
      <c r="R68" s="1420" t="s">
        <v>414</v>
      </c>
    </row>
    <row r="69" spans="1:18" s="1384" customFormat="1" ht="13.5" thickBot="1">
      <c r="A69" s="951"/>
      <c r="B69" s="952"/>
      <c r="C69" s="306"/>
      <c r="D69" s="970" t="s">
        <v>762</v>
      </c>
      <c r="E69" s="950" t="s">
        <v>763</v>
      </c>
      <c r="F69" s="333">
        <f ca="1">F41</f>
        <v>18.850000000000001</v>
      </c>
      <c r="O69" s="1428" t="s">
        <v>411</v>
      </c>
      <c r="P69" s="1467" t="s">
        <v>872</v>
      </c>
      <c r="Q69" s="1420">
        <f ca="1">C39</f>
        <v>901473</v>
      </c>
      <c r="R69" s="1420" t="s">
        <v>818</v>
      </c>
    </row>
    <row r="70" spans="1:18" s="1384" customFormat="1" ht="13.5" thickBot="1">
      <c r="A70" s="954"/>
      <c r="B70" s="955"/>
      <c r="C70" s="310"/>
      <c r="D70" s="966"/>
      <c r="E70" s="950" t="s">
        <v>766</v>
      </c>
      <c r="F70" s="1054"/>
      <c r="O70" s="1428" t="s">
        <v>412</v>
      </c>
      <c r="P70" s="1467" t="s">
        <v>873</v>
      </c>
      <c r="Q70" s="1420">
        <f ca="1">C13</f>
        <v>4697781</v>
      </c>
      <c r="R70" s="1420" t="s">
        <v>818</v>
      </c>
    </row>
    <row r="71" spans="1:18" s="1384" customFormat="1" ht="13.5" thickBot="1">
      <c r="A71" s="971" t="s">
        <v>396</v>
      </c>
      <c r="B71" s="972" t="s">
        <v>776</v>
      </c>
      <c r="C71" s="336">
        <f ca="1">ROUND(C68/F71,0)</f>
        <v>-531</v>
      </c>
      <c r="D71" s="973" t="s">
        <v>777</v>
      </c>
      <c r="E71" s="974" t="s">
        <v>778</v>
      </c>
      <c r="F71" s="339">
        <f ca="1">F43</f>
        <v>1562.24</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328845</v>
      </c>
      <c r="D75" s="1384"/>
      <c r="E75" s="1384"/>
      <c r="F75" s="1384"/>
      <c r="K75" s="1402"/>
      <c r="L75" s="1384"/>
      <c r="O75" s="1418" t="s">
        <v>409</v>
      </c>
      <c r="P75" s="1419" t="s">
        <v>838</v>
      </c>
      <c r="Q75" s="1420">
        <f ca="1">Q65+Q66</f>
        <v>12120307</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0.63500000000000001</v>
      </c>
    </row>
    <row r="80" spans="1:18">
      <c r="B80" s="340" t="s">
        <v>800</v>
      </c>
      <c r="C80" s="274">
        <f ca="1">ROUND(C75/C39,3)</f>
        <v>0.36499999999999999</v>
      </c>
    </row>
    <row r="81" spans="2:3">
      <c r="B81" s="270" t="s">
        <v>801</v>
      </c>
      <c r="C81" s="238"/>
    </row>
    <row r="82" spans="2:3">
      <c r="B82" s="273" t="s">
        <v>802</v>
      </c>
      <c r="C82" s="275">
        <f ca="1">1-C83</f>
        <v>0.61199999999999999</v>
      </c>
    </row>
    <row r="83" spans="2:3">
      <c r="B83" s="273" t="s">
        <v>803</v>
      </c>
      <c r="C83" s="274">
        <f ca="1">ROUND(C13/C40,3)</f>
        <v>0.38800000000000001</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Q80" sqref="Q80"/>
      <selection pane="bottomLeft" activeCell="B22" sqref="B2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79" t="s">
        <v>2084</v>
      </c>
      <c r="D1" s="3780"/>
      <c r="E1" s="3780"/>
      <c r="F1" s="3780"/>
      <c r="G1" s="3780"/>
      <c r="H1" s="3780"/>
      <c r="I1" s="3780"/>
      <c r="J1" s="3780"/>
      <c r="K1" s="3780"/>
      <c r="L1" s="3780"/>
      <c r="M1" s="3780"/>
      <c r="N1" s="3780"/>
      <c r="O1" s="3780"/>
      <c r="P1" s="3780"/>
      <c r="Q1" s="3780"/>
      <c r="R1" s="3780"/>
      <c r="S1" s="3781"/>
      <c r="T1" s="983" t="s">
        <v>2085</v>
      </c>
    </row>
    <row r="2" spans="1:45" s="655" customFormat="1" ht="38.25">
      <c r="A2" s="984"/>
      <c r="B2" s="651" t="s">
        <v>2086</v>
      </c>
      <c r="C2" s="652" t="str">
        <f t="shared" ref="C2:L2" si="0">C3&amp;"(含)"&amp;"-"&amp;D3</f>
        <v>0(含)-100</v>
      </c>
      <c r="D2" s="653" t="str">
        <f t="shared" si="0"/>
        <v>100(含)-200</v>
      </c>
      <c r="E2" s="653" t="str">
        <f t="shared" si="0"/>
        <v>200(含)-400</v>
      </c>
      <c r="F2" s="653" t="str">
        <f t="shared" si="0"/>
        <v>400(含)-800</v>
      </c>
      <c r="G2" s="653" t="str">
        <f t="shared" si="0"/>
        <v>800(含)-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100</v>
      </c>
      <c r="E3" s="658">
        <v>200</v>
      </c>
      <c r="F3" s="1305">
        <v>400</v>
      </c>
      <c r="G3" s="1305">
        <v>800</v>
      </c>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90">
        <v>98</v>
      </c>
      <c r="E4" s="990">
        <v>96</v>
      </c>
      <c r="F4" s="1309">
        <v>94</v>
      </c>
      <c r="G4" s="1309">
        <v>92</v>
      </c>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f ca="1">IF(D20="——",S22,S22-F20)</f>
        <v>1316</v>
      </c>
      <c r="C20" s="159"/>
      <c r="D20" s="2151" t="s">
        <v>43</v>
      </c>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f ca="1">ROUND(B20*10000/B22,0)</f>
        <v>8424</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1562.24</v>
      </c>
      <c r="C22" s="3776" t="s">
        <v>27</v>
      </c>
      <c r="D22" s="3777"/>
      <c r="E22" s="3777"/>
      <c r="F22" s="3777"/>
      <c r="G22" s="3777"/>
      <c r="H22" s="3777"/>
      <c r="I22" s="3777"/>
      <c r="J22" s="3777"/>
      <c r="K22" s="3777"/>
      <c r="L22" s="3777"/>
      <c r="M22" s="3777"/>
      <c r="N22" s="3777"/>
      <c r="O22" s="3777"/>
      <c r="P22" s="3777"/>
      <c r="Q22" s="3778"/>
      <c r="R22" s="663">
        <f ca="1">ROUND(S22*10000/B22,0)</f>
        <v>8424</v>
      </c>
      <c r="S22" s="21">
        <f ca="1">SUM(S24:S10000)</f>
        <v>1316</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tr">
        <f>'数据-基础表'!C13</f>
        <v>1-2层商业</v>
      </c>
      <c r="B24" s="665">
        <f>'数据-基础表'!I13</f>
        <v>1562.24</v>
      </c>
      <c r="C24" s="2809">
        <v>1</v>
      </c>
      <c r="D24" s="2810"/>
      <c r="E24" s="2809">
        <v>1</v>
      </c>
      <c r="F24" s="2810"/>
      <c r="G24" s="2809">
        <v>1</v>
      </c>
      <c r="H24" s="2810"/>
      <c r="I24" s="2809">
        <v>1</v>
      </c>
      <c r="J24" s="2810"/>
      <c r="K24" s="2809">
        <v>1</v>
      </c>
      <c r="L24" s="2810"/>
      <c r="M24" s="2809">
        <v>1</v>
      </c>
      <c r="N24" s="2810"/>
      <c r="O24" s="2809">
        <v>1</v>
      </c>
      <c r="P24" s="2810"/>
      <c r="Q24" s="2809">
        <v>1</v>
      </c>
      <c r="R24" s="668">
        <f ca="1">结果表!G20</f>
        <v>8425</v>
      </c>
      <c r="S24" s="666">
        <f t="shared" ref="S24:S54" ca="1" si="11">ROUND(R24*B24/10000,0)</f>
        <v>1316</v>
      </c>
      <c r="T24" s="730">
        <f ca="1">ROUND(R24*B24,0)</f>
        <v>13161872</v>
      </c>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f>'数据-基础表'!C14</f>
        <v>0</v>
      </c>
      <c r="B25" s="54">
        <f>'数据-基础表'!I14</f>
        <v>0</v>
      </c>
      <c r="C25" s="21">
        <f>IF(B25="",1,(LOOKUP(B25,$3:$3,$4:$4)-LOOKUP($B$24,$3:$3,$4:$4)+100)/100)</f>
        <v>1.08</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 ca="1">IF(B25="",0,ROUND($R$24*C25*E25*G25*I25*K25*M25*O25*Q25,0))</f>
        <v>9099</v>
      </c>
      <c r="S25" s="316">
        <f t="shared" ca="1" si="11"/>
        <v>0</v>
      </c>
      <c r="T25" s="730">
        <f t="shared" ref="T25:T28" ca="1" si="12">ROUND(R25*B25,0)</f>
        <v>0</v>
      </c>
    </row>
    <row r="26" spans="1:45">
      <c r="A26" s="150">
        <f>'数据-基础表'!C15</f>
        <v>0</v>
      </c>
      <c r="B26" s="54">
        <f>'数据-基础表'!I15</f>
        <v>0</v>
      </c>
      <c r="C26" s="21">
        <f t="shared" ref="C26:C89" si="13">IF(B26="",1,(LOOKUP(B26,$3:$3,$4:$4)-LOOKUP($B$24,$3:$3,$4:$4)+100)/100)</f>
        <v>1.08</v>
      </c>
      <c r="D26" s="667"/>
      <c r="E26" s="21">
        <f t="shared" ref="E26:E89" si="14">(SUMIF($5:$5,D26,$6:$6)-SUMIF($5:$5,$D$24,$6:$6)+100)/100</f>
        <v>1</v>
      </c>
      <c r="F26" s="667"/>
      <c r="G26" s="21">
        <f t="shared" ref="G26:G89" si="15">(SUMIF($7:$7,F26,$8:$8)-SUMIF($7:$7,$F$24,$8:$8)+100)/100</f>
        <v>1</v>
      </c>
      <c r="H26" s="667"/>
      <c r="I26" s="21">
        <f t="shared" ref="I26:I89" si="16">(SUMIF($9:$9,H26,$10:$10)-SUMIF($9:$9,$H$24,$10:$10)+100)/100</f>
        <v>1</v>
      </c>
      <c r="J26" s="667"/>
      <c r="K26" s="21">
        <f t="shared" ref="K26:K89" si="17">(SUMIF($11:$11,J26,$12:$12)-SUMIF($11:$11,$J$24,$12:$12)+100)/100</f>
        <v>1</v>
      </c>
      <c r="L26" s="667"/>
      <c r="M26" s="21">
        <f t="shared" ref="M26:M89" si="18">(SUMIF($13:$13,L26,$14:$14)-SUMIF($13:$13,$L$24,$14:$14)+100)/100</f>
        <v>1</v>
      </c>
      <c r="N26" s="667"/>
      <c r="O26" s="21">
        <f t="shared" ref="O26:O89" si="19">(SUMIF($15:$15,N26,$16:$16)-SUMIF($15:$15,$N$24,$16:$16)+100)/100</f>
        <v>1</v>
      </c>
      <c r="P26" s="667"/>
      <c r="Q26" s="21">
        <f t="shared" ref="Q26:Q89" si="20">(SUMIF($17:$17,P26,$18:$18)-SUMIF($17:$17,$P$24,$18:$18)+100)/100</f>
        <v>1</v>
      </c>
      <c r="R26" s="663">
        <f t="shared" ref="R26:R89" ca="1" si="21">IF(B26="",0,ROUND($R$24*C26*E26*G26*I26*K26*M26*O26*Q26,0))</f>
        <v>9099</v>
      </c>
      <c r="S26" s="316">
        <f t="shared" ca="1" si="11"/>
        <v>0</v>
      </c>
      <c r="T26" s="730">
        <f t="shared" ca="1" si="12"/>
        <v>0</v>
      </c>
    </row>
    <row r="27" spans="1:45">
      <c r="A27" s="150">
        <f>'数据-基础表'!C16</f>
        <v>0</v>
      </c>
      <c r="B27" s="54">
        <f>'数据-基础表'!I16</f>
        <v>0</v>
      </c>
      <c r="C27" s="21">
        <f t="shared" si="13"/>
        <v>1.08</v>
      </c>
      <c r="D27" s="667"/>
      <c r="E27" s="21">
        <f t="shared" si="14"/>
        <v>1</v>
      </c>
      <c r="F27" s="667"/>
      <c r="G27" s="21">
        <f t="shared" si="15"/>
        <v>1</v>
      </c>
      <c r="H27" s="667"/>
      <c r="I27" s="21">
        <f t="shared" si="16"/>
        <v>1</v>
      </c>
      <c r="J27" s="667"/>
      <c r="K27" s="21">
        <f t="shared" si="17"/>
        <v>1</v>
      </c>
      <c r="L27" s="667"/>
      <c r="M27" s="21">
        <f t="shared" si="18"/>
        <v>1</v>
      </c>
      <c r="N27" s="667"/>
      <c r="O27" s="21">
        <f t="shared" si="19"/>
        <v>1</v>
      </c>
      <c r="P27" s="667"/>
      <c r="Q27" s="21">
        <f t="shared" si="20"/>
        <v>1</v>
      </c>
      <c r="R27" s="663">
        <f t="shared" ca="1" si="21"/>
        <v>9099</v>
      </c>
      <c r="S27" s="316">
        <f t="shared" ca="1" si="11"/>
        <v>0</v>
      </c>
      <c r="T27" s="730">
        <f t="shared" ca="1" si="12"/>
        <v>0</v>
      </c>
    </row>
    <row r="28" spans="1:45">
      <c r="A28" s="150">
        <f>'数据-基础表'!C17</f>
        <v>0</v>
      </c>
      <c r="B28" s="54">
        <f>'数据-基础表'!I17</f>
        <v>0</v>
      </c>
      <c r="C28" s="21">
        <f t="shared" si="13"/>
        <v>1.08</v>
      </c>
      <c r="D28" s="667"/>
      <c r="E28" s="21">
        <f t="shared" si="14"/>
        <v>1</v>
      </c>
      <c r="F28" s="667"/>
      <c r="G28" s="21">
        <f t="shared" si="15"/>
        <v>1</v>
      </c>
      <c r="H28" s="667"/>
      <c r="I28" s="21">
        <f t="shared" si="16"/>
        <v>1</v>
      </c>
      <c r="J28" s="667"/>
      <c r="K28" s="21">
        <f t="shared" si="17"/>
        <v>1</v>
      </c>
      <c r="L28" s="667"/>
      <c r="M28" s="21">
        <f t="shared" si="18"/>
        <v>1</v>
      </c>
      <c r="N28" s="667"/>
      <c r="O28" s="21">
        <f t="shared" si="19"/>
        <v>1</v>
      </c>
      <c r="P28" s="667"/>
      <c r="Q28" s="21">
        <f t="shared" si="20"/>
        <v>1</v>
      </c>
      <c r="R28" s="663">
        <f t="shared" ca="1" si="21"/>
        <v>9099</v>
      </c>
      <c r="S28" s="316">
        <f t="shared" ca="1" si="11"/>
        <v>0</v>
      </c>
      <c r="T28" s="730">
        <f t="shared" ca="1" si="12"/>
        <v>0</v>
      </c>
    </row>
    <row r="29" spans="1:45">
      <c r="A29" s="150"/>
      <c r="B29" s="54"/>
      <c r="C29" s="21">
        <f t="shared" si="13"/>
        <v>1</v>
      </c>
      <c r="D29" s="667"/>
      <c r="E29" s="21">
        <f t="shared" si="14"/>
        <v>1</v>
      </c>
      <c r="F29" s="667"/>
      <c r="G29" s="21">
        <f t="shared" si="15"/>
        <v>1</v>
      </c>
      <c r="H29" s="667"/>
      <c r="I29" s="21">
        <f t="shared" si="16"/>
        <v>1</v>
      </c>
      <c r="J29" s="667"/>
      <c r="K29" s="21">
        <f t="shared" si="17"/>
        <v>1</v>
      </c>
      <c r="L29" s="667"/>
      <c r="M29" s="21">
        <f t="shared" si="18"/>
        <v>1</v>
      </c>
      <c r="N29" s="667"/>
      <c r="O29" s="21">
        <f t="shared" si="19"/>
        <v>1</v>
      </c>
      <c r="P29" s="667"/>
      <c r="Q29" s="21">
        <f t="shared" si="20"/>
        <v>1</v>
      </c>
      <c r="R29" s="663">
        <f t="shared" si="21"/>
        <v>0</v>
      </c>
      <c r="S29" s="316">
        <f t="shared" si="11"/>
        <v>0</v>
      </c>
      <c r="T29" s="725">
        <f ca="1">T24+T25+T26+T27+T28</f>
        <v>13161872</v>
      </c>
    </row>
    <row r="30" spans="1:45">
      <c r="A30" s="150"/>
      <c r="B30" s="54"/>
      <c r="C30" s="21">
        <f t="shared" si="13"/>
        <v>1</v>
      </c>
      <c r="D30" s="667"/>
      <c r="E30" s="21">
        <f t="shared" si="14"/>
        <v>1</v>
      </c>
      <c r="F30" s="667"/>
      <c r="G30" s="21">
        <f t="shared" si="15"/>
        <v>1</v>
      </c>
      <c r="H30" s="667"/>
      <c r="I30" s="21">
        <f t="shared" si="16"/>
        <v>1</v>
      </c>
      <c r="J30" s="667"/>
      <c r="K30" s="21">
        <f t="shared" si="17"/>
        <v>1</v>
      </c>
      <c r="L30" s="667"/>
      <c r="M30" s="21">
        <f t="shared" si="18"/>
        <v>1</v>
      </c>
      <c r="N30" s="667"/>
      <c r="O30" s="21">
        <f t="shared" si="19"/>
        <v>1</v>
      </c>
      <c r="P30" s="667"/>
      <c r="Q30" s="21">
        <f t="shared" si="20"/>
        <v>1</v>
      </c>
      <c r="R30" s="663">
        <f t="shared" si="21"/>
        <v>0</v>
      </c>
      <c r="S30" s="316">
        <f t="shared" si="11"/>
        <v>0</v>
      </c>
    </row>
    <row r="31" spans="1:45">
      <c r="A31" s="150"/>
      <c r="B31" s="54"/>
      <c r="C31" s="21">
        <f t="shared" si="13"/>
        <v>1</v>
      </c>
      <c r="D31" s="667"/>
      <c r="E31" s="21">
        <f t="shared" si="14"/>
        <v>1</v>
      </c>
      <c r="F31" s="667"/>
      <c r="G31" s="21">
        <f t="shared" si="15"/>
        <v>1</v>
      </c>
      <c r="H31" s="667"/>
      <c r="I31" s="21">
        <f t="shared" si="16"/>
        <v>1</v>
      </c>
      <c r="J31" s="667"/>
      <c r="K31" s="21">
        <f t="shared" si="17"/>
        <v>1</v>
      </c>
      <c r="L31" s="667"/>
      <c r="M31" s="21">
        <f t="shared" si="18"/>
        <v>1</v>
      </c>
      <c r="N31" s="667"/>
      <c r="O31" s="21">
        <f t="shared" si="19"/>
        <v>1</v>
      </c>
      <c r="P31" s="667"/>
      <c r="Q31" s="21">
        <f t="shared" si="20"/>
        <v>1</v>
      </c>
      <c r="R31" s="663">
        <f t="shared" si="21"/>
        <v>0</v>
      </c>
      <c r="S31" s="316">
        <f t="shared" si="11"/>
        <v>0</v>
      </c>
    </row>
    <row r="32" spans="1:45">
      <c r="A32" s="150"/>
      <c r="B32" s="54"/>
      <c r="C32" s="21">
        <f t="shared" si="13"/>
        <v>1</v>
      </c>
      <c r="D32" s="667"/>
      <c r="E32" s="21">
        <f t="shared" si="14"/>
        <v>1</v>
      </c>
      <c r="F32" s="667"/>
      <c r="G32" s="21">
        <f t="shared" si="15"/>
        <v>1</v>
      </c>
      <c r="H32" s="667"/>
      <c r="I32" s="21">
        <f t="shared" si="16"/>
        <v>1</v>
      </c>
      <c r="J32" s="667"/>
      <c r="K32" s="21">
        <f t="shared" si="17"/>
        <v>1</v>
      </c>
      <c r="L32" s="667"/>
      <c r="M32" s="21">
        <f t="shared" si="18"/>
        <v>1</v>
      </c>
      <c r="N32" s="667"/>
      <c r="O32" s="21">
        <f t="shared" si="19"/>
        <v>1</v>
      </c>
      <c r="P32" s="667"/>
      <c r="Q32" s="21">
        <f t="shared" si="20"/>
        <v>1</v>
      </c>
      <c r="R32" s="663">
        <f t="shared" si="21"/>
        <v>0</v>
      </c>
      <c r="S32" s="316">
        <f t="shared" si="11"/>
        <v>0</v>
      </c>
    </row>
    <row r="33" spans="1:19">
      <c r="A33" s="150"/>
      <c r="B33" s="54"/>
      <c r="C33" s="21">
        <f t="shared" si="13"/>
        <v>1</v>
      </c>
      <c r="D33" s="667"/>
      <c r="E33" s="21">
        <f t="shared" si="14"/>
        <v>1</v>
      </c>
      <c r="F33" s="667"/>
      <c r="G33" s="21">
        <f t="shared" si="15"/>
        <v>1</v>
      </c>
      <c r="H33" s="667"/>
      <c r="I33" s="21">
        <f t="shared" si="16"/>
        <v>1</v>
      </c>
      <c r="J33" s="667"/>
      <c r="K33" s="21">
        <f t="shared" si="17"/>
        <v>1</v>
      </c>
      <c r="L33" s="667"/>
      <c r="M33" s="21">
        <f t="shared" si="18"/>
        <v>1</v>
      </c>
      <c r="N33" s="667"/>
      <c r="O33" s="21">
        <f t="shared" si="19"/>
        <v>1</v>
      </c>
      <c r="P33" s="667"/>
      <c r="Q33" s="21">
        <f t="shared" si="20"/>
        <v>1</v>
      </c>
      <c r="R33" s="663">
        <f t="shared" si="21"/>
        <v>0</v>
      </c>
      <c r="S33" s="316">
        <f t="shared" si="11"/>
        <v>0</v>
      </c>
    </row>
    <row r="34" spans="1:19">
      <c r="A34" s="150"/>
      <c r="B34" s="54"/>
      <c r="C34" s="21">
        <f t="shared" si="13"/>
        <v>1</v>
      </c>
      <c r="D34" s="667"/>
      <c r="E34" s="21">
        <f t="shared" si="14"/>
        <v>1</v>
      </c>
      <c r="F34" s="667"/>
      <c r="G34" s="21">
        <f t="shared" si="15"/>
        <v>1</v>
      </c>
      <c r="H34" s="667"/>
      <c r="I34" s="21">
        <f t="shared" si="16"/>
        <v>1</v>
      </c>
      <c r="J34" s="667"/>
      <c r="K34" s="21">
        <f t="shared" si="17"/>
        <v>1</v>
      </c>
      <c r="L34" s="667"/>
      <c r="M34" s="21">
        <f t="shared" si="18"/>
        <v>1</v>
      </c>
      <c r="N34" s="667"/>
      <c r="O34" s="21">
        <f t="shared" si="19"/>
        <v>1</v>
      </c>
      <c r="P34" s="667"/>
      <c r="Q34" s="21">
        <f t="shared" si="20"/>
        <v>1</v>
      </c>
      <c r="R34" s="663">
        <f t="shared" si="21"/>
        <v>0</v>
      </c>
      <c r="S34" s="316">
        <f t="shared" si="11"/>
        <v>0</v>
      </c>
    </row>
    <row r="35" spans="1:19">
      <c r="A35" s="150"/>
      <c r="B35" s="54"/>
      <c r="C35" s="21">
        <f t="shared" si="13"/>
        <v>1</v>
      </c>
      <c r="D35" s="667"/>
      <c r="E35" s="21">
        <f t="shared" si="14"/>
        <v>1</v>
      </c>
      <c r="F35" s="667"/>
      <c r="G35" s="21">
        <f t="shared" si="15"/>
        <v>1</v>
      </c>
      <c r="H35" s="667"/>
      <c r="I35" s="21">
        <f t="shared" si="16"/>
        <v>1</v>
      </c>
      <c r="J35" s="667"/>
      <c r="K35" s="21">
        <f t="shared" si="17"/>
        <v>1</v>
      </c>
      <c r="L35" s="667"/>
      <c r="M35" s="21">
        <f t="shared" si="18"/>
        <v>1</v>
      </c>
      <c r="N35" s="667"/>
      <c r="O35" s="21">
        <f t="shared" si="19"/>
        <v>1</v>
      </c>
      <c r="P35" s="667"/>
      <c r="Q35" s="21">
        <f t="shared" si="20"/>
        <v>1</v>
      </c>
      <c r="R35" s="663">
        <f t="shared" si="21"/>
        <v>0</v>
      </c>
      <c r="S35" s="316">
        <f t="shared" si="11"/>
        <v>0</v>
      </c>
    </row>
    <row r="36" spans="1:19">
      <c r="A36" s="150"/>
      <c r="B36" s="54"/>
      <c r="C36" s="21">
        <f t="shared" si="13"/>
        <v>1</v>
      </c>
      <c r="D36" s="667"/>
      <c r="E36" s="21">
        <f t="shared" si="14"/>
        <v>1</v>
      </c>
      <c r="F36" s="667"/>
      <c r="G36" s="21">
        <f t="shared" si="15"/>
        <v>1</v>
      </c>
      <c r="H36" s="667"/>
      <c r="I36" s="21">
        <f t="shared" si="16"/>
        <v>1</v>
      </c>
      <c r="J36" s="667"/>
      <c r="K36" s="21">
        <f t="shared" si="17"/>
        <v>1</v>
      </c>
      <c r="L36" s="667"/>
      <c r="M36" s="21">
        <f t="shared" si="18"/>
        <v>1</v>
      </c>
      <c r="N36" s="667"/>
      <c r="O36" s="21">
        <f t="shared" si="19"/>
        <v>1</v>
      </c>
      <c r="P36" s="667"/>
      <c r="Q36" s="21">
        <f t="shared" si="20"/>
        <v>1</v>
      </c>
      <c r="R36" s="663">
        <f t="shared" si="21"/>
        <v>0</v>
      </c>
      <c r="S36" s="316">
        <f t="shared" si="11"/>
        <v>0</v>
      </c>
    </row>
    <row r="37" spans="1:19">
      <c r="A37" s="150"/>
      <c r="B37" s="54"/>
      <c r="C37" s="21">
        <f t="shared" si="13"/>
        <v>1</v>
      </c>
      <c r="D37" s="667"/>
      <c r="E37" s="21">
        <f t="shared" si="14"/>
        <v>1</v>
      </c>
      <c r="F37" s="667"/>
      <c r="G37" s="21">
        <f t="shared" si="15"/>
        <v>1</v>
      </c>
      <c r="H37" s="667"/>
      <c r="I37" s="21">
        <f t="shared" si="16"/>
        <v>1</v>
      </c>
      <c r="J37" s="667"/>
      <c r="K37" s="21">
        <f t="shared" si="17"/>
        <v>1</v>
      </c>
      <c r="L37" s="667"/>
      <c r="M37" s="21">
        <f t="shared" si="18"/>
        <v>1</v>
      </c>
      <c r="N37" s="667"/>
      <c r="O37" s="21">
        <f t="shared" si="19"/>
        <v>1</v>
      </c>
      <c r="P37" s="667"/>
      <c r="Q37" s="21">
        <f t="shared" si="20"/>
        <v>1</v>
      </c>
      <c r="R37" s="663">
        <f t="shared" si="21"/>
        <v>0</v>
      </c>
      <c r="S37" s="316">
        <f t="shared" si="11"/>
        <v>0</v>
      </c>
    </row>
    <row r="38" spans="1:19">
      <c r="A38" s="150"/>
      <c r="B38" s="54"/>
      <c r="C38" s="21">
        <f t="shared" si="13"/>
        <v>1</v>
      </c>
      <c r="D38" s="667"/>
      <c r="E38" s="21">
        <f t="shared" si="14"/>
        <v>1</v>
      </c>
      <c r="F38" s="667"/>
      <c r="G38" s="21">
        <f t="shared" si="15"/>
        <v>1</v>
      </c>
      <c r="H38" s="667"/>
      <c r="I38" s="21">
        <f t="shared" si="16"/>
        <v>1</v>
      </c>
      <c r="J38" s="667"/>
      <c r="K38" s="21">
        <f t="shared" si="17"/>
        <v>1</v>
      </c>
      <c r="L38" s="667"/>
      <c r="M38" s="21">
        <f t="shared" si="18"/>
        <v>1</v>
      </c>
      <c r="N38" s="667"/>
      <c r="O38" s="21">
        <f t="shared" si="19"/>
        <v>1</v>
      </c>
      <c r="P38" s="667"/>
      <c r="Q38" s="21">
        <f t="shared" si="20"/>
        <v>1</v>
      </c>
      <c r="R38" s="663">
        <f t="shared" si="21"/>
        <v>0</v>
      </c>
      <c r="S38" s="316">
        <f t="shared" si="11"/>
        <v>0</v>
      </c>
    </row>
    <row r="39" spans="1:19">
      <c r="A39" s="150"/>
      <c r="B39" s="54"/>
      <c r="C39" s="21">
        <f t="shared" si="13"/>
        <v>1</v>
      </c>
      <c r="D39" s="667"/>
      <c r="E39" s="21">
        <f t="shared" si="14"/>
        <v>1</v>
      </c>
      <c r="F39" s="667"/>
      <c r="G39" s="21">
        <f t="shared" si="15"/>
        <v>1</v>
      </c>
      <c r="H39" s="667"/>
      <c r="I39" s="21">
        <f t="shared" si="16"/>
        <v>1</v>
      </c>
      <c r="J39" s="667"/>
      <c r="K39" s="21">
        <f t="shared" si="17"/>
        <v>1</v>
      </c>
      <c r="L39" s="667"/>
      <c r="M39" s="21">
        <f t="shared" si="18"/>
        <v>1</v>
      </c>
      <c r="N39" s="667"/>
      <c r="O39" s="21">
        <f t="shared" si="19"/>
        <v>1</v>
      </c>
      <c r="P39" s="667"/>
      <c r="Q39" s="21">
        <f t="shared" si="20"/>
        <v>1</v>
      </c>
      <c r="R39" s="663">
        <f t="shared" si="21"/>
        <v>0</v>
      </c>
      <c r="S39" s="316">
        <f t="shared" si="11"/>
        <v>0</v>
      </c>
    </row>
    <row r="40" spans="1:19">
      <c r="A40" s="150"/>
      <c r="B40" s="54"/>
      <c r="C40" s="21">
        <f t="shared" si="13"/>
        <v>1</v>
      </c>
      <c r="D40" s="667"/>
      <c r="E40" s="21">
        <f t="shared" si="14"/>
        <v>1</v>
      </c>
      <c r="F40" s="667"/>
      <c r="G40" s="21">
        <f t="shared" si="15"/>
        <v>1</v>
      </c>
      <c r="H40" s="667"/>
      <c r="I40" s="21">
        <f t="shared" si="16"/>
        <v>1</v>
      </c>
      <c r="J40" s="667"/>
      <c r="K40" s="21">
        <f t="shared" si="17"/>
        <v>1</v>
      </c>
      <c r="L40" s="667"/>
      <c r="M40" s="21">
        <f t="shared" si="18"/>
        <v>1</v>
      </c>
      <c r="N40" s="667"/>
      <c r="O40" s="21">
        <f t="shared" si="19"/>
        <v>1</v>
      </c>
      <c r="P40" s="667"/>
      <c r="Q40" s="21">
        <f t="shared" si="20"/>
        <v>1</v>
      </c>
      <c r="R40" s="663">
        <f t="shared" si="21"/>
        <v>0</v>
      </c>
      <c r="S40" s="316">
        <f t="shared" si="11"/>
        <v>0</v>
      </c>
    </row>
    <row r="41" spans="1:19">
      <c r="A41" s="150"/>
      <c r="B41" s="54"/>
      <c r="C41" s="21">
        <f t="shared" si="13"/>
        <v>1</v>
      </c>
      <c r="D41" s="667"/>
      <c r="E41" s="21">
        <f t="shared" si="14"/>
        <v>1</v>
      </c>
      <c r="F41" s="667"/>
      <c r="G41" s="21">
        <f t="shared" si="15"/>
        <v>1</v>
      </c>
      <c r="H41" s="667"/>
      <c r="I41" s="21">
        <f t="shared" si="16"/>
        <v>1</v>
      </c>
      <c r="J41" s="667"/>
      <c r="K41" s="21">
        <f t="shared" si="17"/>
        <v>1</v>
      </c>
      <c r="L41" s="667"/>
      <c r="M41" s="21">
        <f t="shared" si="18"/>
        <v>1</v>
      </c>
      <c r="N41" s="667"/>
      <c r="O41" s="21">
        <f t="shared" si="19"/>
        <v>1</v>
      </c>
      <c r="P41" s="667"/>
      <c r="Q41" s="21">
        <f t="shared" si="20"/>
        <v>1</v>
      </c>
      <c r="R41" s="663">
        <f t="shared" si="21"/>
        <v>0</v>
      </c>
      <c r="S41" s="316">
        <f t="shared" si="11"/>
        <v>0</v>
      </c>
    </row>
    <row r="42" spans="1:19">
      <c r="A42" s="150"/>
      <c r="B42" s="54"/>
      <c r="C42" s="21">
        <f t="shared" si="13"/>
        <v>1</v>
      </c>
      <c r="D42" s="667"/>
      <c r="E42" s="21">
        <f t="shared" si="14"/>
        <v>1</v>
      </c>
      <c r="F42" s="667"/>
      <c r="G42" s="21">
        <f t="shared" si="15"/>
        <v>1</v>
      </c>
      <c r="H42" s="667"/>
      <c r="I42" s="21">
        <f t="shared" si="16"/>
        <v>1</v>
      </c>
      <c r="J42" s="667"/>
      <c r="K42" s="21">
        <f t="shared" si="17"/>
        <v>1</v>
      </c>
      <c r="L42" s="667"/>
      <c r="M42" s="21">
        <f t="shared" si="18"/>
        <v>1</v>
      </c>
      <c r="N42" s="667"/>
      <c r="O42" s="21">
        <f t="shared" si="19"/>
        <v>1</v>
      </c>
      <c r="P42" s="667"/>
      <c r="Q42" s="21">
        <f t="shared" si="20"/>
        <v>1</v>
      </c>
      <c r="R42" s="663">
        <f t="shared" si="21"/>
        <v>0</v>
      </c>
      <c r="S42" s="316">
        <f t="shared" si="11"/>
        <v>0</v>
      </c>
    </row>
    <row r="43" spans="1:19">
      <c r="A43" s="150"/>
      <c r="B43" s="54"/>
      <c r="C43" s="21">
        <f t="shared" si="13"/>
        <v>1</v>
      </c>
      <c r="D43" s="667"/>
      <c r="E43" s="21">
        <f t="shared" si="14"/>
        <v>1</v>
      </c>
      <c r="F43" s="667"/>
      <c r="G43" s="21">
        <f t="shared" si="15"/>
        <v>1</v>
      </c>
      <c r="H43" s="667"/>
      <c r="I43" s="21">
        <f t="shared" si="16"/>
        <v>1</v>
      </c>
      <c r="J43" s="667"/>
      <c r="K43" s="21">
        <f t="shared" si="17"/>
        <v>1</v>
      </c>
      <c r="L43" s="667"/>
      <c r="M43" s="21">
        <f t="shared" si="18"/>
        <v>1</v>
      </c>
      <c r="N43" s="667"/>
      <c r="O43" s="21">
        <f t="shared" si="19"/>
        <v>1</v>
      </c>
      <c r="P43" s="667"/>
      <c r="Q43" s="21">
        <f t="shared" si="20"/>
        <v>1</v>
      </c>
      <c r="R43" s="663">
        <f t="shared" si="21"/>
        <v>0</v>
      </c>
      <c r="S43" s="316">
        <f t="shared" si="11"/>
        <v>0</v>
      </c>
    </row>
    <row r="44" spans="1:19">
      <c r="A44" s="150"/>
      <c r="B44" s="54"/>
      <c r="C44" s="21">
        <f t="shared" si="13"/>
        <v>1</v>
      </c>
      <c r="D44" s="667"/>
      <c r="E44" s="21">
        <f t="shared" si="14"/>
        <v>1</v>
      </c>
      <c r="F44" s="667"/>
      <c r="G44" s="21">
        <f t="shared" si="15"/>
        <v>1</v>
      </c>
      <c r="H44" s="667"/>
      <c r="I44" s="21">
        <f t="shared" si="16"/>
        <v>1</v>
      </c>
      <c r="J44" s="667"/>
      <c r="K44" s="21">
        <f t="shared" si="17"/>
        <v>1</v>
      </c>
      <c r="L44" s="667"/>
      <c r="M44" s="21">
        <f t="shared" si="18"/>
        <v>1</v>
      </c>
      <c r="N44" s="667"/>
      <c r="O44" s="21">
        <f t="shared" si="19"/>
        <v>1</v>
      </c>
      <c r="P44" s="667"/>
      <c r="Q44" s="21">
        <f t="shared" si="20"/>
        <v>1</v>
      </c>
      <c r="R44" s="663">
        <f t="shared" si="21"/>
        <v>0</v>
      </c>
      <c r="S44" s="316">
        <f t="shared" si="11"/>
        <v>0</v>
      </c>
    </row>
    <row r="45" spans="1:19">
      <c r="A45" s="150"/>
      <c r="B45" s="54"/>
      <c r="C45" s="21">
        <f t="shared" si="13"/>
        <v>1</v>
      </c>
      <c r="D45" s="667"/>
      <c r="E45" s="21">
        <f t="shared" si="14"/>
        <v>1</v>
      </c>
      <c r="F45" s="667"/>
      <c r="G45" s="21">
        <f t="shared" si="15"/>
        <v>1</v>
      </c>
      <c r="H45" s="667"/>
      <c r="I45" s="21">
        <f t="shared" si="16"/>
        <v>1</v>
      </c>
      <c r="J45" s="667"/>
      <c r="K45" s="21">
        <f t="shared" si="17"/>
        <v>1</v>
      </c>
      <c r="L45" s="667"/>
      <c r="M45" s="21">
        <f t="shared" si="18"/>
        <v>1</v>
      </c>
      <c r="N45" s="667"/>
      <c r="O45" s="21">
        <f t="shared" si="19"/>
        <v>1</v>
      </c>
      <c r="P45" s="667"/>
      <c r="Q45" s="21">
        <f t="shared" si="20"/>
        <v>1</v>
      </c>
      <c r="R45" s="663">
        <f t="shared" si="21"/>
        <v>0</v>
      </c>
      <c r="S45" s="316">
        <f t="shared" si="11"/>
        <v>0</v>
      </c>
    </row>
    <row r="46" spans="1:19">
      <c r="A46" s="150"/>
      <c r="B46" s="54"/>
      <c r="C46" s="21">
        <f t="shared" si="13"/>
        <v>1</v>
      </c>
      <c r="D46" s="667"/>
      <c r="E46" s="21">
        <f t="shared" si="14"/>
        <v>1</v>
      </c>
      <c r="F46" s="667"/>
      <c r="G46" s="21">
        <f t="shared" si="15"/>
        <v>1</v>
      </c>
      <c r="H46" s="667"/>
      <c r="I46" s="21">
        <f t="shared" si="16"/>
        <v>1</v>
      </c>
      <c r="J46" s="667"/>
      <c r="K46" s="21">
        <f t="shared" si="17"/>
        <v>1</v>
      </c>
      <c r="L46" s="667"/>
      <c r="M46" s="21">
        <f t="shared" si="18"/>
        <v>1</v>
      </c>
      <c r="N46" s="667"/>
      <c r="O46" s="21">
        <f t="shared" si="19"/>
        <v>1</v>
      </c>
      <c r="P46" s="667"/>
      <c r="Q46" s="21">
        <f t="shared" si="20"/>
        <v>1</v>
      </c>
      <c r="R46" s="663">
        <f t="shared" si="21"/>
        <v>0</v>
      </c>
      <c r="S46" s="316">
        <f t="shared" si="11"/>
        <v>0</v>
      </c>
    </row>
    <row r="47" spans="1:19">
      <c r="A47" s="150"/>
      <c r="B47" s="54"/>
      <c r="C47" s="21">
        <f t="shared" si="13"/>
        <v>1</v>
      </c>
      <c r="D47" s="667"/>
      <c r="E47" s="21">
        <f t="shared" si="14"/>
        <v>1</v>
      </c>
      <c r="F47" s="667"/>
      <c r="G47" s="21">
        <f t="shared" si="15"/>
        <v>1</v>
      </c>
      <c r="H47" s="667"/>
      <c r="I47" s="21">
        <f t="shared" si="16"/>
        <v>1</v>
      </c>
      <c r="J47" s="667"/>
      <c r="K47" s="21">
        <f t="shared" si="17"/>
        <v>1</v>
      </c>
      <c r="L47" s="667"/>
      <c r="M47" s="21">
        <f t="shared" si="18"/>
        <v>1</v>
      </c>
      <c r="N47" s="667"/>
      <c r="O47" s="21">
        <f t="shared" si="19"/>
        <v>1</v>
      </c>
      <c r="P47" s="667"/>
      <c r="Q47" s="21">
        <f t="shared" si="20"/>
        <v>1</v>
      </c>
      <c r="R47" s="663">
        <f t="shared" si="21"/>
        <v>0</v>
      </c>
      <c r="S47" s="316">
        <f t="shared" si="11"/>
        <v>0</v>
      </c>
    </row>
    <row r="48" spans="1:19">
      <c r="A48" s="150"/>
      <c r="B48" s="54"/>
      <c r="C48" s="21">
        <f t="shared" si="13"/>
        <v>1</v>
      </c>
      <c r="D48" s="667"/>
      <c r="E48" s="21">
        <f t="shared" si="14"/>
        <v>1</v>
      </c>
      <c r="F48" s="667"/>
      <c r="G48" s="21">
        <f t="shared" si="15"/>
        <v>1</v>
      </c>
      <c r="H48" s="667"/>
      <c r="I48" s="21">
        <f t="shared" si="16"/>
        <v>1</v>
      </c>
      <c r="J48" s="667"/>
      <c r="K48" s="21">
        <f t="shared" si="17"/>
        <v>1</v>
      </c>
      <c r="L48" s="667"/>
      <c r="M48" s="21">
        <f t="shared" si="18"/>
        <v>1</v>
      </c>
      <c r="N48" s="667"/>
      <c r="O48" s="21">
        <f t="shared" si="19"/>
        <v>1</v>
      </c>
      <c r="P48" s="667"/>
      <c r="Q48" s="21">
        <f t="shared" si="20"/>
        <v>1</v>
      </c>
      <c r="R48" s="663">
        <f t="shared" si="21"/>
        <v>0</v>
      </c>
      <c r="S48" s="316">
        <f t="shared" si="11"/>
        <v>0</v>
      </c>
    </row>
    <row r="49" spans="1:19">
      <c r="A49" s="150"/>
      <c r="B49" s="54"/>
      <c r="C49" s="21">
        <f t="shared" si="13"/>
        <v>1</v>
      </c>
      <c r="D49" s="667"/>
      <c r="E49" s="21">
        <f t="shared" si="14"/>
        <v>1</v>
      </c>
      <c r="F49" s="667"/>
      <c r="G49" s="21">
        <f t="shared" si="15"/>
        <v>1</v>
      </c>
      <c r="H49" s="667"/>
      <c r="I49" s="21">
        <f t="shared" si="16"/>
        <v>1</v>
      </c>
      <c r="J49" s="667"/>
      <c r="K49" s="21">
        <f t="shared" si="17"/>
        <v>1</v>
      </c>
      <c r="L49" s="667"/>
      <c r="M49" s="21">
        <f t="shared" si="18"/>
        <v>1</v>
      </c>
      <c r="N49" s="667"/>
      <c r="O49" s="21">
        <f t="shared" si="19"/>
        <v>1</v>
      </c>
      <c r="P49" s="667"/>
      <c r="Q49" s="21">
        <f t="shared" si="20"/>
        <v>1</v>
      </c>
      <c r="R49" s="663">
        <f t="shared" si="21"/>
        <v>0</v>
      </c>
      <c r="S49" s="316">
        <f t="shared" si="11"/>
        <v>0</v>
      </c>
    </row>
    <row r="50" spans="1:19">
      <c r="A50" s="150"/>
      <c r="B50" s="54"/>
      <c r="C50" s="21">
        <f t="shared" si="13"/>
        <v>1</v>
      </c>
      <c r="D50" s="667"/>
      <c r="E50" s="21">
        <f t="shared" si="14"/>
        <v>1</v>
      </c>
      <c r="F50" s="667"/>
      <c r="G50" s="21">
        <f t="shared" si="15"/>
        <v>1</v>
      </c>
      <c r="H50" s="667"/>
      <c r="I50" s="21">
        <f t="shared" si="16"/>
        <v>1</v>
      </c>
      <c r="J50" s="667"/>
      <c r="K50" s="21">
        <f t="shared" si="17"/>
        <v>1</v>
      </c>
      <c r="L50" s="667"/>
      <c r="M50" s="21">
        <f t="shared" si="18"/>
        <v>1</v>
      </c>
      <c r="N50" s="667"/>
      <c r="O50" s="21">
        <f t="shared" si="19"/>
        <v>1</v>
      </c>
      <c r="P50" s="667"/>
      <c r="Q50" s="21">
        <f t="shared" si="20"/>
        <v>1</v>
      </c>
      <c r="R50" s="663">
        <f t="shared" si="21"/>
        <v>0</v>
      </c>
      <c r="S50" s="316">
        <f t="shared" si="11"/>
        <v>0</v>
      </c>
    </row>
    <row r="51" spans="1:19">
      <c r="A51" s="150"/>
      <c r="B51" s="54"/>
      <c r="C51" s="21">
        <f t="shared" si="13"/>
        <v>1</v>
      </c>
      <c r="D51" s="667"/>
      <c r="E51" s="21">
        <f t="shared" si="14"/>
        <v>1</v>
      </c>
      <c r="F51" s="667"/>
      <c r="G51" s="21">
        <f t="shared" si="15"/>
        <v>1</v>
      </c>
      <c r="H51" s="667"/>
      <c r="I51" s="21">
        <f t="shared" si="16"/>
        <v>1</v>
      </c>
      <c r="J51" s="667"/>
      <c r="K51" s="21">
        <f t="shared" si="17"/>
        <v>1</v>
      </c>
      <c r="L51" s="667"/>
      <c r="M51" s="21">
        <f t="shared" si="18"/>
        <v>1</v>
      </c>
      <c r="N51" s="667"/>
      <c r="O51" s="21">
        <f t="shared" si="19"/>
        <v>1</v>
      </c>
      <c r="P51" s="667"/>
      <c r="Q51" s="21">
        <f t="shared" si="20"/>
        <v>1</v>
      </c>
      <c r="R51" s="663">
        <f t="shared" si="21"/>
        <v>0</v>
      </c>
      <c r="S51" s="316">
        <f t="shared" si="11"/>
        <v>0</v>
      </c>
    </row>
    <row r="52" spans="1:19">
      <c r="A52" s="150"/>
      <c r="B52" s="54"/>
      <c r="C52" s="21">
        <f t="shared" si="13"/>
        <v>1</v>
      </c>
      <c r="D52" s="667"/>
      <c r="E52" s="21">
        <f t="shared" si="14"/>
        <v>1</v>
      </c>
      <c r="F52" s="667"/>
      <c r="G52" s="21">
        <f t="shared" si="15"/>
        <v>1</v>
      </c>
      <c r="H52" s="667"/>
      <c r="I52" s="21">
        <f t="shared" si="16"/>
        <v>1</v>
      </c>
      <c r="J52" s="667"/>
      <c r="K52" s="21">
        <f t="shared" si="17"/>
        <v>1</v>
      </c>
      <c r="L52" s="667"/>
      <c r="M52" s="21">
        <f t="shared" si="18"/>
        <v>1</v>
      </c>
      <c r="N52" s="667"/>
      <c r="O52" s="21">
        <f t="shared" si="19"/>
        <v>1</v>
      </c>
      <c r="P52" s="667"/>
      <c r="Q52" s="21">
        <f t="shared" si="20"/>
        <v>1</v>
      </c>
      <c r="R52" s="663">
        <f t="shared" si="21"/>
        <v>0</v>
      </c>
      <c r="S52" s="316">
        <f t="shared" si="11"/>
        <v>0</v>
      </c>
    </row>
    <row r="53" spans="1:19">
      <c r="A53" s="150"/>
      <c r="B53" s="54"/>
      <c r="C53" s="21">
        <f t="shared" si="13"/>
        <v>1</v>
      </c>
      <c r="D53" s="667"/>
      <c r="E53" s="21">
        <f t="shared" si="14"/>
        <v>1</v>
      </c>
      <c r="F53" s="667"/>
      <c r="G53" s="21">
        <f t="shared" si="15"/>
        <v>1</v>
      </c>
      <c r="H53" s="667"/>
      <c r="I53" s="21">
        <f t="shared" si="16"/>
        <v>1</v>
      </c>
      <c r="J53" s="667"/>
      <c r="K53" s="21">
        <f t="shared" si="17"/>
        <v>1</v>
      </c>
      <c r="L53" s="667"/>
      <c r="M53" s="21">
        <f t="shared" si="18"/>
        <v>1</v>
      </c>
      <c r="N53" s="667"/>
      <c r="O53" s="21">
        <f t="shared" si="19"/>
        <v>1</v>
      </c>
      <c r="P53" s="667"/>
      <c r="Q53" s="21">
        <f t="shared" si="20"/>
        <v>1</v>
      </c>
      <c r="R53" s="663">
        <f t="shared" si="21"/>
        <v>0</v>
      </c>
      <c r="S53" s="316">
        <f t="shared" si="11"/>
        <v>0</v>
      </c>
    </row>
    <row r="54" spans="1:19">
      <c r="A54" s="150"/>
      <c r="B54" s="54"/>
      <c r="C54" s="21">
        <f t="shared" si="13"/>
        <v>1</v>
      </c>
      <c r="D54" s="667"/>
      <c r="E54" s="21">
        <f t="shared" si="14"/>
        <v>1</v>
      </c>
      <c r="F54" s="667"/>
      <c r="G54" s="21">
        <f t="shared" si="15"/>
        <v>1</v>
      </c>
      <c r="H54" s="667"/>
      <c r="I54" s="21">
        <f t="shared" si="16"/>
        <v>1</v>
      </c>
      <c r="J54" s="667"/>
      <c r="K54" s="21">
        <f t="shared" si="17"/>
        <v>1</v>
      </c>
      <c r="L54" s="667"/>
      <c r="M54" s="21">
        <f t="shared" si="18"/>
        <v>1</v>
      </c>
      <c r="N54" s="667"/>
      <c r="O54" s="21">
        <f t="shared" si="19"/>
        <v>1</v>
      </c>
      <c r="P54" s="667"/>
      <c r="Q54" s="21">
        <f t="shared" si="20"/>
        <v>1</v>
      </c>
      <c r="R54" s="663">
        <f t="shared" si="21"/>
        <v>0</v>
      </c>
      <c r="S54" s="316">
        <f t="shared" si="11"/>
        <v>0</v>
      </c>
    </row>
    <row r="55" spans="1:19">
      <c r="A55" s="150"/>
      <c r="B55" s="54"/>
      <c r="C55" s="21">
        <f t="shared" si="13"/>
        <v>1</v>
      </c>
      <c r="D55" s="667"/>
      <c r="E55" s="21">
        <f t="shared" si="14"/>
        <v>1</v>
      </c>
      <c r="F55" s="667"/>
      <c r="G55" s="21">
        <f t="shared" si="15"/>
        <v>1</v>
      </c>
      <c r="H55" s="667"/>
      <c r="I55" s="21">
        <f t="shared" si="16"/>
        <v>1</v>
      </c>
      <c r="J55" s="667"/>
      <c r="K55" s="21">
        <f t="shared" si="17"/>
        <v>1</v>
      </c>
      <c r="L55" s="667"/>
      <c r="M55" s="21">
        <f t="shared" si="18"/>
        <v>1</v>
      </c>
      <c r="N55" s="667"/>
      <c r="O55" s="21">
        <f t="shared" si="19"/>
        <v>1</v>
      </c>
      <c r="P55" s="667"/>
      <c r="Q55" s="21">
        <f t="shared" si="20"/>
        <v>1</v>
      </c>
      <c r="R55" s="663">
        <f t="shared" si="21"/>
        <v>0</v>
      </c>
      <c r="S55" s="316">
        <f t="shared" ref="S55:S77" si="22">ROUND(R55*B55/10000,0)</f>
        <v>0</v>
      </c>
    </row>
    <row r="56" spans="1:19">
      <c r="A56" s="150"/>
      <c r="B56" s="54"/>
      <c r="C56" s="21">
        <f t="shared" si="13"/>
        <v>1</v>
      </c>
      <c r="D56" s="667"/>
      <c r="E56" s="21">
        <f t="shared" si="14"/>
        <v>1</v>
      </c>
      <c r="F56" s="667"/>
      <c r="G56" s="21">
        <f t="shared" si="15"/>
        <v>1</v>
      </c>
      <c r="H56" s="667"/>
      <c r="I56" s="21">
        <f t="shared" si="16"/>
        <v>1</v>
      </c>
      <c r="J56" s="667"/>
      <c r="K56" s="21">
        <f t="shared" si="17"/>
        <v>1</v>
      </c>
      <c r="L56" s="667"/>
      <c r="M56" s="21">
        <f t="shared" si="18"/>
        <v>1</v>
      </c>
      <c r="N56" s="667"/>
      <c r="O56" s="21">
        <f t="shared" si="19"/>
        <v>1</v>
      </c>
      <c r="P56" s="667"/>
      <c r="Q56" s="21">
        <f t="shared" si="20"/>
        <v>1</v>
      </c>
      <c r="R56" s="663">
        <f t="shared" si="21"/>
        <v>0</v>
      </c>
      <c r="S56" s="316">
        <f t="shared" si="22"/>
        <v>0</v>
      </c>
    </row>
    <row r="57" spans="1:19">
      <c r="A57" s="150"/>
      <c r="B57" s="54"/>
      <c r="C57" s="21">
        <f t="shared" si="13"/>
        <v>1</v>
      </c>
      <c r="D57" s="667"/>
      <c r="E57" s="21">
        <f t="shared" si="14"/>
        <v>1</v>
      </c>
      <c r="F57" s="667"/>
      <c r="G57" s="21">
        <f t="shared" si="15"/>
        <v>1</v>
      </c>
      <c r="H57" s="667"/>
      <c r="I57" s="21">
        <f t="shared" si="16"/>
        <v>1</v>
      </c>
      <c r="J57" s="667"/>
      <c r="K57" s="21">
        <f t="shared" si="17"/>
        <v>1</v>
      </c>
      <c r="L57" s="667"/>
      <c r="M57" s="21">
        <f t="shared" si="18"/>
        <v>1</v>
      </c>
      <c r="N57" s="667"/>
      <c r="O57" s="21">
        <f t="shared" si="19"/>
        <v>1</v>
      </c>
      <c r="P57" s="667"/>
      <c r="Q57" s="21">
        <f t="shared" si="20"/>
        <v>1</v>
      </c>
      <c r="R57" s="663">
        <f t="shared" si="21"/>
        <v>0</v>
      </c>
      <c r="S57" s="316">
        <f t="shared" si="22"/>
        <v>0</v>
      </c>
    </row>
    <row r="58" spans="1:19">
      <c r="A58" s="150"/>
      <c r="B58" s="54"/>
      <c r="C58" s="21">
        <f t="shared" si="13"/>
        <v>1</v>
      </c>
      <c r="D58" s="667"/>
      <c r="E58" s="21">
        <f t="shared" si="14"/>
        <v>1</v>
      </c>
      <c r="F58" s="667"/>
      <c r="G58" s="21">
        <f t="shared" si="15"/>
        <v>1</v>
      </c>
      <c r="H58" s="667"/>
      <c r="I58" s="21">
        <f t="shared" si="16"/>
        <v>1</v>
      </c>
      <c r="J58" s="667"/>
      <c r="K58" s="21">
        <f t="shared" si="17"/>
        <v>1</v>
      </c>
      <c r="L58" s="667"/>
      <c r="M58" s="21">
        <f t="shared" si="18"/>
        <v>1</v>
      </c>
      <c r="N58" s="667"/>
      <c r="O58" s="21">
        <f t="shared" si="19"/>
        <v>1</v>
      </c>
      <c r="P58" s="667"/>
      <c r="Q58" s="21">
        <f t="shared" si="20"/>
        <v>1</v>
      </c>
      <c r="R58" s="663">
        <f t="shared" si="21"/>
        <v>0</v>
      </c>
      <c r="S58" s="316">
        <f t="shared" si="22"/>
        <v>0</v>
      </c>
    </row>
    <row r="59" spans="1:19">
      <c r="A59" s="150"/>
      <c r="B59" s="54"/>
      <c r="C59" s="21">
        <f t="shared" si="13"/>
        <v>1</v>
      </c>
      <c r="D59" s="667"/>
      <c r="E59" s="21">
        <f t="shared" si="14"/>
        <v>1</v>
      </c>
      <c r="F59" s="667"/>
      <c r="G59" s="21">
        <f t="shared" si="15"/>
        <v>1</v>
      </c>
      <c r="H59" s="667"/>
      <c r="I59" s="21">
        <f t="shared" si="16"/>
        <v>1</v>
      </c>
      <c r="J59" s="667"/>
      <c r="K59" s="21">
        <f t="shared" si="17"/>
        <v>1</v>
      </c>
      <c r="L59" s="667"/>
      <c r="M59" s="21">
        <f t="shared" si="18"/>
        <v>1</v>
      </c>
      <c r="N59" s="667"/>
      <c r="O59" s="21">
        <f t="shared" si="19"/>
        <v>1</v>
      </c>
      <c r="P59" s="667"/>
      <c r="Q59" s="21">
        <f t="shared" si="20"/>
        <v>1</v>
      </c>
      <c r="R59" s="663">
        <f t="shared" si="21"/>
        <v>0</v>
      </c>
      <c r="S59" s="316">
        <f t="shared" si="22"/>
        <v>0</v>
      </c>
    </row>
    <row r="60" spans="1:19">
      <c r="A60" s="150"/>
      <c r="B60" s="54"/>
      <c r="C60" s="21">
        <f t="shared" si="13"/>
        <v>1</v>
      </c>
      <c r="D60" s="667"/>
      <c r="E60" s="21">
        <f t="shared" si="14"/>
        <v>1</v>
      </c>
      <c r="F60" s="667"/>
      <c r="G60" s="21">
        <f t="shared" si="15"/>
        <v>1</v>
      </c>
      <c r="H60" s="667"/>
      <c r="I60" s="21">
        <f t="shared" si="16"/>
        <v>1</v>
      </c>
      <c r="J60" s="667"/>
      <c r="K60" s="21">
        <f t="shared" si="17"/>
        <v>1</v>
      </c>
      <c r="L60" s="667"/>
      <c r="M60" s="21">
        <f t="shared" si="18"/>
        <v>1</v>
      </c>
      <c r="N60" s="667"/>
      <c r="O60" s="21">
        <f t="shared" si="19"/>
        <v>1</v>
      </c>
      <c r="P60" s="667"/>
      <c r="Q60" s="21">
        <f t="shared" si="20"/>
        <v>1</v>
      </c>
      <c r="R60" s="663">
        <f t="shared" si="21"/>
        <v>0</v>
      </c>
      <c r="S60" s="316">
        <f t="shared" si="22"/>
        <v>0</v>
      </c>
    </row>
    <row r="61" spans="1:19">
      <c r="A61" s="150"/>
      <c r="B61" s="54"/>
      <c r="C61" s="21">
        <f t="shared" si="13"/>
        <v>1</v>
      </c>
      <c r="D61" s="667"/>
      <c r="E61" s="21">
        <f t="shared" si="14"/>
        <v>1</v>
      </c>
      <c r="F61" s="667"/>
      <c r="G61" s="21">
        <f t="shared" si="15"/>
        <v>1</v>
      </c>
      <c r="H61" s="667"/>
      <c r="I61" s="21">
        <f t="shared" si="16"/>
        <v>1</v>
      </c>
      <c r="J61" s="667"/>
      <c r="K61" s="21">
        <f t="shared" si="17"/>
        <v>1</v>
      </c>
      <c r="L61" s="667"/>
      <c r="M61" s="21">
        <f t="shared" si="18"/>
        <v>1</v>
      </c>
      <c r="N61" s="667"/>
      <c r="O61" s="21">
        <f t="shared" si="19"/>
        <v>1</v>
      </c>
      <c r="P61" s="667"/>
      <c r="Q61" s="21">
        <f t="shared" si="20"/>
        <v>1</v>
      </c>
      <c r="R61" s="663">
        <f t="shared" si="21"/>
        <v>0</v>
      </c>
      <c r="S61" s="316">
        <f t="shared" si="22"/>
        <v>0</v>
      </c>
    </row>
    <row r="62" spans="1:19">
      <c r="A62" s="150"/>
      <c r="B62" s="54"/>
      <c r="C62" s="21">
        <f t="shared" si="13"/>
        <v>1</v>
      </c>
      <c r="D62" s="667"/>
      <c r="E62" s="21">
        <f t="shared" si="14"/>
        <v>1</v>
      </c>
      <c r="F62" s="667"/>
      <c r="G62" s="21">
        <f t="shared" si="15"/>
        <v>1</v>
      </c>
      <c r="H62" s="667"/>
      <c r="I62" s="21">
        <f t="shared" si="16"/>
        <v>1</v>
      </c>
      <c r="J62" s="667"/>
      <c r="K62" s="21">
        <f t="shared" si="17"/>
        <v>1</v>
      </c>
      <c r="L62" s="667"/>
      <c r="M62" s="21">
        <f t="shared" si="18"/>
        <v>1</v>
      </c>
      <c r="N62" s="667"/>
      <c r="O62" s="21">
        <f t="shared" si="19"/>
        <v>1</v>
      </c>
      <c r="P62" s="667"/>
      <c r="Q62" s="21">
        <f t="shared" si="20"/>
        <v>1</v>
      </c>
      <c r="R62" s="663">
        <f t="shared" si="21"/>
        <v>0</v>
      </c>
      <c r="S62" s="316">
        <f t="shared" si="22"/>
        <v>0</v>
      </c>
    </row>
    <row r="63" spans="1:19">
      <c r="A63" s="150"/>
      <c r="B63" s="54"/>
      <c r="C63" s="21">
        <f t="shared" si="13"/>
        <v>1</v>
      </c>
      <c r="D63" s="667"/>
      <c r="E63" s="21">
        <f t="shared" si="14"/>
        <v>1</v>
      </c>
      <c r="F63" s="667"/>
      <c r="G63" s="21">
        <f t="shared" si="15"/>
        <v>1</v>
      </c>
      <c r="H63" s="667"/>
      <c r="I63" s="21">
        <f t="shared" si="16"/>
        <v>1</v>
      </c>
      <c r="J63" s="667"/>
      <c r="K63" s="21">
        <f t="shared" si="17"/>
        <v>1</v>
      </c>
      <c r="L63" s="667"/>
      <c r="M63" s="21">
        <f t="shared" si="18"/>
        <v>1</v>
      </c>
      <c r="N63" s="667"/>
      <c r="O63" s="21">
        <f t="shared" si="19"/>
        <v>1</v>
      </c>
      <c r="P63" s="667"/>
      <c r="Q63" s="21">
        <f t="shared" si="20"/>
        <v>1</v>
      </c>
      <c r="R63" s="663">
        <f t="shared" si="21"/>
        <v>0</v>
      </c>
      <c r="S63" s="316">
        <f t="shared" si="22"/>
        <v>0</v>
      </c>
    </row>
    <row r="64" spans="1:19">
      <c r="A64" s="150"/>
      <c r="B64" s="54"/>
      <c r="C64" s="21">
        <f t="shared" si="13"/>
        <v>1</v>
      </c>
      <c r="D64" s="667"/>
      <c r="E64" s="21">
        <f t="shared" si="14"/>
        <v>1</v>
      </c>
      <c r="F64" s="667"/>
      <c r="G64" s="21">
        <f t="shared" si="15"/>
        <v>1</v>
      </c>
      <c r="H64" s="667"/>
      <c r="I64" s="21">
        <f t="shared" si="16"/>
        <v>1</v>
      </c>
      <c r="J64" s="667"/>
      <c r="K64" s="21">
        <f t="shared" si="17"/>
        <v>1</v>
      </c>
      <c r="L64" s="667"/>
      <c r="M64" s="21">
        <f t="shared" si="18"/>
        <v>1</v>
      </c>
      <c r="N64" s="667"/>
      <c r="O64" s="21">
        <f t="shared" si="19"/>
        <v>1</v>
      </c>
      <c r="P64" s="667"/>
      <c r="Q64" s="21">
        <f t="shared" si="20"/>
        <v>1</v>
      </c>
      <c r="R64" s="663">
        <f t="shared" si="21"/>
        <v>0</v>
      </c>
      <c r="S64" s="316">
        <f t="shared" si="22"/>
        <v>0</v>
      </c>
    </row>
    <row r="65" spans="1:19">
      <c r="A65" s="150"/>
      <c r="B65" s="54"/>
      <c r="C65" s="21">
        <f t="shared" si="13"/>
        <v>1</v>
      </c>
      <c r="D65" s="667"/>
      <c r="E65" s="21">
        <f t="shared" si="14"/>
        <v>1</v>
      </c>
      <c r="F65" s="667"/>
      <c r="G65" s="21">
        <f t="shared" si="15"/>
        <v>1</v>
      </c>
      <c r="H65" s="667"/>
      <c r="I65" s="21">
        <f t="shared" si="16"/>
        <v>1</v>
      </c>
      <c r="J65" s="667"/>
      <c r="K65" s="21">
        <f t="shared" si="17"/>
        <v>1</v>
      </c>
      <c r="L65" s="667"/>
      <c r="M65" s="21">
        <f t="shared" si="18"/>
        <v>1</v>
      </c>
      <c r="N65" s="667"/>
      <c r="O65" s="21">
        <f t="shared" si="19"/>
        <v>1</v>
      </c>
      <c r="P65" s="667"/>
      <c r="Q65" s="21">
        <f t="shared" si="20"/>
        <v>1</v>
      </c>
      <c r="R65" s="663">
        <f t="shared" si="21"/>
        <v>0</v>
      </c>
      <c r="S65" s="316">
        <f t="shared" si="22"/>
        <v>0</v>
      </c>
    </row>
    <row r="66" spans="1:19">
      <c r="A66" s="150"/>
      <c r="B66" s="54"/>
      <c r="C66" s="21">
        <f t="shared" si="13"/>
        <v>1</v>
      </c>
      <c r="D66" s="667"/>
      <c r="E66" s="21">
        <f t="shared" si="14"/>
        <v>1</v>
      </c>
      <c r="F66" s="667"/>
      <c r="G66" s="21">
        <f t="shared" si="15"/>
        <v>1</v>
      </c>
      <c r="H66" s="667"/>
      <c r="I66" s="21">
        <f t="shared" si="16"/>
        <v>1</v>
      </c>
      <c r="J66" s="667"/>
      <c r="K66" s="21">
        <f t="shared" si="17"/>
        <v>1</v>
      </c>
      <c r="L66" s="667"/>
      <c r="M66" s="21">
        <f t="shared" si="18"/>
        <v>1</v>
      </c>
      <c r="N66" s="667"/>
      <c r="O66" s="21">
        <f t="shared" si="19"/>
        <v>1</v>
      </c>
      <c r="P66" s="667"/>
      <c r="Q66" s="21">
        <f t="shared" si="20"/>
        <v>1</v>
      </c>
      <c r="R66" s="663">
        <f t="shared" si="21"/>
        <v>0</v>
      </c>
      <c r="S66" s="316">
        <f t="shared" si="22"/>
        <v>0</v>
      </c>
    </row>
    <row r="67" spans="1:19">
      <c r="A67" s="150"/>
      <c r="B67" s="54"/>
      <c r="C67" s="21">
        <f t="shared" si="13"/>
        <v>1</v>
      </c>
      <c r="D67" s="667"/>
      <c r="E67" s="21">
        <f t="shared" si="14"/>
        <v>1</v>
      </c>
      <c r="F67" s="667"/>
      <c r="G67" s="21">
        <f t="shared" si="15"/>
        <v>1</v>
      </c>
      <c r="H67" s="667"/>
      <c r="I67" s="21">
        <f t="shared" si="16"/>
        <v>1</v>
      </c>
      <c r="J67" s="667"/>
      <c r="K67" s="21">
        <f t="shared" si="17"/>
        <v>1</v>
      </c>
      <c r="L67" s="667"/>
      <c r="M67" s="21">
        <f t="shared" si="18"/>
        <v>1</v>
      </c>
      <c r="N67" s="667"/>
      <c r="O67" s="21">
        <f t="shared" si="19"/>
        <v>1</v>
      </c>
      <c r="P67" s="667"/>
      <c r="Q67" s="21">
        <f t="shared" si="20"/>
        <v>1</v>
      </c>
      <c r="R67" s="663">
        <f t="shared" si="21"/>
        <v>0</v>
      </c>
      <c r="S67" s="316">
        <f t="shared" si="22"/>
        <v>0</v>
      </c>
    </row>
    <row r="68" spans="1:19">
      <c r="A68" s="150"/>
      <c r="B68" s="54"/>
      <c r="C68" s="21">
        <f t="shared" si="13"/>
        <v>1</v>
      </c>
      <c r="D68" s="667"/>
      <c r="E68" s="21">
        <f t="shared" si="14"/>
        <v>1</v>
      </c>
      <c r="F68" s="667"/>
      <c r="G68" s="21">
        <f t="shared" si="15"/>
        <v>1</v>
      </c>
      <c r="H68" s="667"/>
      <c r="I68" s="21">
        <f t="shared" si="16"/>
        <v>1</v>
      </c>
      <c r="J68" s="667"/>
      <c r="K68" s="21">
        <f t="shared" si="17"/>
        <v>1</v>
      </c>
      <c r="L68" s="667"/>
      <c r="M68" s="21">
        <f t="shared" si="18"/>
        <v>1</v>
      </c>
      <c r="N68" s="667"/>
      <c r="O68" s="21">
        <f t="shared" si="19"/>
        <v>1</v>
      </c>
      <c r="P68" s="667"/>
      <c r="Q68" s="21">
        <f t="shared" si="20"/>
        <v>1</v>
      </c>
      <c r="R68" s="663">
        <f t="shared" si="21"/>
        <v>0</v>
      </c>
      <c r="S68" s="316">
        <f t="shared" si="22"/>
        <v>0</v>
      </c>
    </row>
    <row r="69" spans="1:19">
      <c r="A69" s="150"/>
      <c r="B69" s="54"/>
      <c r="C69" s="21">
        <f t="shared" si="13"/>
        <v>1</v>
      </c>
      <c r="D69" s="667"/>
      <c r="E69" s="21">
        <f t="shared" si="14"/>
        <v>1</v>
      </c>
      <c r="F69" s="667"/>
      <c r="G69" s="21">
        <f t="shared" si="15"/>
        <v>1</v>
      </c>
      <c r="H69" s="667"/>
      <c r="I69" s="21">
        <f t="shared" si="16"/>
        <v>1</v>
      </c>
      <c r="J69" s="667"/>
      <c r="K69" s="21">
        <f t="shared" si="17"/>
        <v>1</v>
      </c>
      <c r="L69" s="667"/>
      <c r="M69" s="21">
        <f t="shared" si="18"/>
        <v>1</v>
      </c>
      <c r="N69" s="667"/>
      <c r="O69" s="21">
        <f t="shared" si="19"/>
        <v>1</v>
      </c>
      <c r="P69" s="667"/>
      <c r="Q69" s="21">
        <f t="shared" si="20"/>
        <v>1</v>
      </c>
      <c r="R69" s="663">
        <f t="shared" si="21"/>
        <v>0</v>
      </c>
      <c r="S69" s="316">
        <f t="shared" si="22"/>
        <v>0</v>
      </c>
    </row>
    <row r="70" spans="1:19">
      <c r="A70" s="150"/>
      <c r="B70" s="54"/>
      <c r="C70" s="21">
        <f t="shared" si="13"/>
        <v>1</v>
      </c>
      <c r="D70" s="667"/>
      <c r="E70" s="21">
        <f t="shared" si="14"/>
        <v>1</v>
      </c>
      <c r="F70" s="667"/>
      <c r="G70" s="21">
        <f t="shared" si="15"/>
        <v>1</v>
      </c>
      <c r="H70" s="667"/>
      <c r="I70" s="21">
        <f t="shared" si="16"/>
        <v>1</v>
      </c>
      <c r="J70" s="667"/>
      <c r="K70" s="21">
        <f t="shared" si="17"/>
        <v>1</v>
      </c>
      <c r="L70" s="667"/>
      <c r="M70" s="21">
        <f t="shared" si="18"/>
        <v>1</v>
      </c>
      <c r="N70" s="667"/>
      <c r="O70" s="21">
        <f t="shared" si="19"/>
        <v>1</v>
      </c>
      <c r="P70" s="667"/>
      <c r="Q70" s="21">
        <f t="shared" si="20"/>
        <v>1</v>
      </c>
      <c r="R70" s="663">
        <f t="shared" si="21"/>
        <v>0</v>
      </c>
      <c r="S70" s="316">
        <f t="shared" si="22"/>
        <v>0</v>
      </c>
    </row>
    <row r="71" spans="1:19">
      <c r="A71" s="150"/>
      <c r="B71" s="54"/>
      <c r="C71" s="21">
        <f t="shared" si="13"/>
        <v>1</v>
      </c>
      <c r="D71" s="667"/>
      <c r="E71" s="21">
        <f t="shared" si="14"/>
        <v>1</v>
      </c>
      <c r="F71" s="667"/>
      <c r="G71" s="21">
        <f t="shared" si="15"/>
        <v>1</v>
      </c>
      <c r="H71" s="667"/>
      <c r="I71" s="21">
        <f t="shared" si="16"/>
        <v>1</v>
      </c>
      <c r="J71" s="667"/>
      <c r="K71" s="21">
        <f t="shared" si="17"/>
        <v>1</v>
      </c>
      <c r="L71" s="667"/>
      <c r="M71" s="21">
        <f t="shared" si="18"/>
        <v>1</v>
      </c>
      <c r="N71" s="667"/>
      <c r="O71" s="21">
        <f t="shared" si="19"/>
        <v>1</v>
      </c>
      <c r="P71" s="667"/>
      <c r="Q71" s="21">
        <f t="shared" si="20"/>
        <v>1</v>
      </c>
      <c r="R71" s="663">
        <f t="shared" si="21"/>
        <v>0</v>
      </c>
      <c r="S71" s="316">
        <f t="shared" si="22"/>
        <v>0</v>
      </c>
    </row>
    <row r="72" spans="1:19">
      <c r="A72" s="150"/>
      <c r="B72" s="54"/>
      <c r="C72" s="21">
        <f t="shared" si="13"/>
        <v>1</v>
      </c>
      <c r="D72" s="667"/>
      <c r="E72" s="21">
        <f t="shared" si="14"/>
        <v>1</v>
      </c>
      <c r="F72" s="667"/>
      <c r="G72" s="21">
        <f t="shared" si="15"/>
        <v>1</v>
      </c>
      <c r="H72" s="667"/>
      <c r="I72" s="21">
        <f t="shared" si="16"/>
        <v>1</v>
      </c>
      <c r="J72" s="667"/>
      <c r="K72" s="21">
        <f t="shared" si="17"/>
        <v>1</v>
      </c>
      <c r="L72" s="667"/>
      <c r="M72" s="21">
        <f t="shared" si="18"/>
        <v>1</v>
      </c>
      <c r="N72" s="667"/>
      <c r="O72" s="21">
        <f t="shared" si="19"/>
        <v>1</v>
      </c>
      <c r="P72" s="667"/>
      <c r="Q72" s="21">
        <f t="shared" si="20"/>
        <v>1</v>
      </c>
      <c r="R72" s="663">
        <f t="shared" si="21"/>
        <v>0</v>
      </c>
      <c r="S72" s="316">
        <f t="shared" si="22"/>
        <v>0</v>
      </c>
    </row>
    <row r="73" spans="1:19">
      <c r="A73" s="150"/>
      <c r="B73" s="54"/>
      <c r="C73" s="21">
        <f t="shared" si="13"/>
        <v>1</v>
      </c>
      <c r="D73" s="667"/>
      <c r="E73" s="21">
        <f t="shared" si="14"/>
        <v>1</v>
      </c>
      <c r="F73" s="667"/>
      <c r="G73" s="21">
        <f t="shared" si="15"/>
        <v>1</v>
      </c>
      <c r="H73" s="667"/>
      <c r="I73" s="21">
        <f t="shared" si="16"/>
        <v>1</v>
      </c>
      <c r="J73" s="667"/>
      <c r="K73" s="21">
        <f t="shared" si="17"/>
        <v>1</v>
      </c>
      <c r="L73" s="667"/>
      <c r="M73" s="21">
        <f t="shared" si="18"/>
        <v>1</v>
      </c>
      <c r="N73" s="667"/>
      <c r="O73" s="21">
        <f t="shared" si="19"/>
        <v>1</v>
      </c>
      <c r="P73" s="667"/>
      <c r="Q73" s="21">
        <f t="shared" si="20"/>
        <v>1</v>
      </c>
      <c r="R73" s="663">
        <f t="shared" si="21"/>
        <v>0</v>
      </c>
      <c r="S73" s="316">
        <f t="shared" si="22"/>
        <v>0</v>
      </c>
    </row>
    <row r="74" spans="1:19">
      <c r="A74" s="150"/>
      <c r="B74" s="54"/>
      <c r="C74" s="21">
        <f t="shared" si="13"/>
        <v>1</v>
      </c>
      <c r="D74" s="667"/>
      <c r="E74" s="21">
        <f t="shared" si="14"/>
        <v>1</v>
      </c>
      <c r="F74" s="667"/>
      <c r="G74" s="21">
        <f t="shared" si="15"/>
        <v>1</v>
      </c>
      <c r="H74" s="667"/>
      <c r="I74" s="21">
        <f t="shared" si="16"/>
        <v>1</v>
      </c>
      <c r="J74" s="667"/>
      <c r="K74" s="21">
        <f t="shared" si="17"/>
        <v>1</v>
      </c>
      <c r="L74" s="667"/>
      <c r="M74" s="21">
        <f t="shared" si="18"/>
        <v>1</v>
      </c>
      <c r="N74" s="667"/>
      <c r="O74" s="21">
        <f t="shared" si="19"/>
        <v>1</v>
      </c>
      <c r="P74" s="667"/>
      <c r="Q74" s="21">
        <f t="shared" si="20"/>
        <v>1</v>
      </c>
      <c r="R74" s="663">
        <f t="shared" si="21"/>
        <v>0</v>
      </c>
      <c r="S74" s="316">
        <f t="shared" si="22"/>
        <v>0</v>
      </c>
    </row>
    <row r="75" spans="1:19">
      <c r="A75" s="150"/>
      <c r="B75" s="54"/>
      <c r="C75" s="21">
        <f t="shared" si="13"/>
        <v>1</v>
      </c>
      <c r="D75" s="667"/>
      <c r="E75" s="21">
        <f t="shared" si="14"/>
        <v>1</v>
      </c>
      <c r="F75" s="667"/>
      <c r="G75" s="21">
        <f t="shared" si="15"/>
        <v>1</v>
      </c>
      <c r="H75" s="667"/>
      <c r="I75" s="21">
        <f t="shared" si="16"/>
        <v>1</v>
      </c>
      <c r="J75" s="667"/>
      <c r="K75" s="21">
        <f t="shared" si="17"/>
        <v>1</v>
      </c>
      <c r="L75" s="667"/>
      <c r="M75" s="21">
        <f t="shared" si="18"/>
        <v>1</v>
      </c>
      <c r="N75" s="667"/>
      <c r="O75" s="21">
        <f t="shared" si="19"/>
        <v>1</v>
      </c>
      <c r="P75" s="667"/>
      <c r="Q75" s="21">
        <f t="shared" si="20"/>
        <v>1</v>
      </c>
      <c r="R75" s="663">
        <f t="shared" si="21"/>
        <v>0</v>
      </c>
      <c r="S75" s="316">
        <f t="shared" si="22"/>
        <v>0</v>
      </c>
    </row>
    <row r="76" spans="1:19">
      <c r="A76" s="150"/>
      <c r="B76" s="54"/>
      <c r="C76" s="21">
        <f t="shared" si="13"/>
        <v>1</v>
      </c>
      <c r="D76" s="667"/>
      <c r="E76" s="21">
        <f t="shared" si="14"/>
        <v>1</v>
      </c>
      <c r="F76" s="667"/>
      <c r="G76" s="21">
        <f t="shared" si="15"/>
        <v>1</v>
      </c>
      <c r="H76" s="667"/>
      <c r="I76" s="21">
        <f t="shared" si="16"/>
        <v>1</v>
      </c>
      <c r="J76" s="667"/>
      <c r="K76" s="21">
        <f t="shared" si="17"/>
        <v>1</v>
      </c>
      <c r="L76" s="667"/>
      <c r="M76" s="21">
        <f t="shared" si="18"/>
        <v>1</v>
      </c>
      <c r="N76" s="667"/>
      <c r="O76" s="21">
        <f t="shared" si="19"/>
        <v>1</v>
      </c>
      <c r="P76" s="667"/>
      <c r="Q76" s="21">
        <f t="shared" si="20"/>
        <v>1</v>
      </c>
      <c r="R76" s="663">
        <f t="shared" si="21"/>
        <v>0</v>
      </c>
      <c r="S76" s="316">
        <f t="shared" si="22"/>
        <v>0</v>
      </c>
    </row>
    <row r="77" spans="1:19">
      <c r="A77" s="150"/>
      <c r="B77" s="54"/>
      <c r="C77" s="21">
        <f t="shared" si="13"/>
        <v>1</v>
      </c>
      <c r="D77" s="667"/>
      <c r="E77" s="21">
        <f t="shared" si="14"/>
        <v>1</v>
      </c>
      <c r="F77" s="667"/>
      <c r="G77" s="21">
        <f t="shared" si="15"/>
        <v>1</v>
      </c>
      <c r="H77" s="667"/>
      <c r="I77" s="21">
        <f t="shared" si="16"/>
        <v>1</v>
      </c>
      <c r="J77" s="667"/>
      <c r="K77" s="21">
        <f t="shared" si="17"/>
        <v>1</v>
      </c>
      <c r="L77" s="667"/>
      <c r="M77" s="21">
        <f t="shared" si="18"/>
        <v>1</v>
      </c>
      <c r="N77" s="667"/>
      <c r="O77" s="21">
        <f t="shared" si="19"/>
        <v>1</v>
      </c>
      <c r="P77" s="667"/>
      <c r="Q77" s="21">
        <f t="shared" si="20"/>
        <v>1</v>
      </c>
      <c r="R77" s="663">
        <f t="shared" si="21"/>
        <v>0</v>
      </c>
      <c r="S77" s="316">
        <f t="shared" si="22"/>
        <v>0</v>
      </c>
    </row>
    <row r="78" spans="1:19">
      <c r="A78" s="150"/>
      <c r="B78" s="54"/>
      <c r="C78" s="21">
        <f t="shared" si="13"/>
        <v>1</v>
      </c>
      <c r="D78" s="667"/>
      <c r="E78" s="21">
        <f t="shared" si="14"/>
        <v>1</v>
      </c>
      <c r="F78" s="667"/>
      <c r="G78" s="21">
        <f t="shared" si="15"/>
        <v>1</v>
      </c>
      <c r="H78" s="667"/>
      <c r="I78" s="21">
        <f t="shared" si="16"/>
        <v>1</v>
      </c>
      <c r="J78" s="667"/>
      <c r="K78" s="21">
        <f t="shared" si="17"/>
        <v>1</v>
      </c>
      <c r="L78" s="667"/>
      <c r="M78" s="21">
        <f t="shared" si="18"/>
        <v>1</v>
      </c>
      <c r="N78" s="667"/>
      <c r="O78" s="21">
        <f t="shared" si="19"/>
        <v>1</v>
      </c>
      <c r="P78" s="667"/>
      <c r="Q78" s="21">
        <f t="shared" si="20"/>
        <v>1</v>
      </c>
      <c r="R78" s="663">
        <f t="shared" si="21"/>
        <v>0</v>
      </c>
      <c r="S78" s="316">
        <f t="shared" ref="S78:S122" si="23">ROUND(R78*B78/10000,0)</f>
        <v>0</v>
      </c>
    </row>
    <row r="79" spans="1:19">
      <c r="A79" s="150"/>
      <c r="B79" s="54"/>
      <c r="C79" s="21">
        <f t="shared" si="13"/>
        <v>1</v>
      </c>
      <c r="D79" s="667"/>
      <c r="E79" s="21">
        <f t="shared" si="14"/>
        <v>1</v>
      </c>
      <c r="F79" s="667"/>
      <c r="G79" s="21">
        <f t="shared" si="15"/>
        <v>1</v>
      </c>
      <c r="H79" s="667"/>
      <c r="I79" s="21">
        <f t="shared" si="16"/>
        <v>1</v>
      </c>
      <c r="J79" s="667"/>
      <c r="K79" s="21">
        <f t="shared" si="17"/>
        <v>1</v>
      </c>
      <c r="L79" s="667"/>
      <c r="M79" s="21">
        <f t="shared" si="18"/>
        <v>1</v>
      </c>
      <c r="N79" s="667"/>
      <c r="O79" s="21">
        <f t="shared" si="19"/>
        <v>1</v>
      </c>
      <c r="P79" s="667"/>
      <c r="Q79" s="21">
        <f t="shared" si="20"/>
        <v>1</v>
      </c>
      <c r="R79" s="663">
        <f t="shared" si="21"/>
        <v>0</v>
      </c>
      <c r="S79" s="316">
        <f t="shared" si="23"/>
        <v>0</v>
      </c>
    </row>
    <row r="80" spans="1:19">
      <c r="A80" s="150"/>
      <c r="B80" s="54"/>
      <c r="C80" s="21">
        <f t="shared" si="13"/>
        <v>1</v>
      </c>
      <c r="D80" s="667"/>
      <c r="E80" s="21">
        <f t="shared" si="14"/>
        <v>1</v>
      </c>
      <c r="F80" s="667"/>
      <c r="G80" s="21">
        <f t="shared" si="15"/>
        <v>1</v>
      </c>
      <c r="H80" s="667"/>
      <c r="I80" s="21">
        <f t="shared" si="16"/>
        <v>1</v>
      </c>
      <c r="J80" s="667"/>
      <c r="K80" s="21">
        <f t="shared" si="17"/>
        <v>1</v>
      </c>
      <c r="L80" s="667"/>
      <c r="M80" s="21">
        <f t="shared" si="18"/>
        <v>1</v>
      </c>
      <c r="N80" s="667"/>
      <c r="O80" s="21">
        <f t="shared" si="19"/>
        <v>1</v>
      </c>
      <c r="P80" s="667"/>
      <c r="Q80" s="21">
        <f t="shared" si="20"/>
        <v>1</v>
      </c>
      <c r="R80" s="663">
        <f t="shared" si="21"/>
        <v>0</v>
      </c>
      <c r="S80" s="316">
        <f t="shared" si="23"/>
        <v>0</v>
      </c>
    </row>
    <row r="81" spans="1:19">
      <c r="A81" s="150"/>
      <c r="B81" s="54"/>
      <c r="C81" s="21">
        <f t="shared" si="13"/>
        <v>1</v>
      </c>
      <c r="D81" s="667"/>
      <c r="E81" s="21">
        <f t="shared" si="14"/>
        <v>1</v>
      </c>
      <c r="F81" s="667"/>
      <c r="G81" s="21">
        <f t="shared" si="15"/>
        <v>1</v>
      </c>
      <c r="H81" s="667"/>
      <c r="I81" s="21">
        <f t="shared" si="16"/>
        <v>1</v>
      </c>
      <c r="J81" s="667"/>
      <c r="K81" s="21">
        <f t="shared" si="17"/>
        <v>1</v>
      </c>
      <c r="L81" s="667"/>
      <c r="M81" s="21">
        <f t="shared" si="18"/>
        <v>1</v>
      </c>
      <c r="N81" s="667"/>
      <c r="O81" s="21">
        <f t="shared" si="19"/>
        <v>1</v>
      </c>
      <c r="P81" s="667"/>
      <c r="Q81" s="21">
        <f t="shared" si="20"/>
        <v>1</v>
      </c>
      <c r="R81" s="663">
        <f t="shared" si="21"/>
        <v>0</v>
      </c>
      <c r="S81" s="316">
        <f t="shared" si="23"/>
        <v>0</v>
      </c>
    </row>
    <row r="82" spans="1:19">
      <c r="A82" s="150"/>
      <c r="B82" s="54"/>
      <c r="C82" s="21">
        <f t="shared" si="13"/>
        <v>1</v>
      </c>
      <c r="D82" s="667"/>
      <c r="E82" s="21">
        <f t="shared" si="14"/>
        <v>1</v>
      </c>
      <c r="F82" s="667"/>
      <c r="G82" s="21">
        <f t="shared" si="15"/>
        <v>1</v>
      </c>
      <c r="H82" s="667"/>
      <c r="I82" s="21">
        <f t="shared" si="16"/>
        <v>1</v>
      </c>
      <c r="J82" s="667"/>
      <c r="K82" s="21">
        <f t="shared" si="17"/>
        <v>1</v>
      </c>
      <c r="L82" s="667"/>
      <c r="M82" s="21">
        <f t="shared" si="18"/>
        <v>1</v>
      </c>
      <c r="N82" s="667"/>
      <c r="O82" s="21">
        <f t="shared" si="19"/>
        <v>1</v>
      </c>
      <c r="P82" s="667"/>
      <c r="Q82" s="21">
        <f t="shared" si="20"/>
        <v>1</v>
      </c>
      <c r="R82" s="663">
        <f t="shared" si="21"/>
        <v>0</v>
      </c>
      <c r="S82" s="316">
        <f t="shared" si="23"/>
        <v>0</v>
      </c>
    </row>
    <row r="83" spans="1:19">
      <c r="A83" s="150"/>
      <c r="B83" s="54"/>
      <c r="C83" s="21">
        <f t="shared" si="13"/>
        <v>1</v>
      </c>
      <c r="D83" s="667"/>
      <c r="E83" s="21">
        <f t="shared" si="14"/>
        <v>1</v>
      </c>
      <c r="F83" s="667"/>
      <c r="G83" s="21">
        <f t="shared" si="15"/>
        <v>1</v>
      </c>
      <c r="H83" s="667"/>
      <c r="I83" s="21">
        <f t="shared" si="16"/>
        <v>1</v>
      </c>
      <c r="J83" s="667"/>
      <c r="K83" s="21">
        <f t="shared" si="17"/>
        <v>1</v>
      </c>
      <c r="L83" s="667"/>
      <c r="M83" s="21">
        <f t="shared" si="18"/>
        <v>1</v>
      </c>
      <c r="N83" s="667"/>
      <c r="O83" s="21">
        <f t="shared" si="19"/>
        <v>1</v>
      </c>
      <c r="P83" s="667"/>
      <c r="Q83" s="21">
        <f t="shared" si="20"/>
        <v>1</v>
      </c>
      <c r="R83" s="663">
        <f t="shared" si="21"/>
        <v>0</v>
      </c>
      <c r="S83" s="316">
        <f t="shared" si="23"/>
        <v>0</v>
      </c>
    </row>
    <row r="84" spans="1:19">
      <c r="A84" s="150"/>
      <c r="B84" s="54"/>
      <c r="C84" s="21">
        <f t="shared" si="13"/>
        <v>1</v>
      </c>
      <c r="D84" s="667"/>
      <c r="E84" s="21">
        <f t="shared" si="14"/>
        <v>1</v>
      </c>
      <c r="F84" s="667"/>
      <c r="G84" s="21">
        <f t="shared" si="15"/>
        <v>1</v>
      </c>
      <c r="H84" s="667"/>
      <c r="I84" s="21">
        <f t="shared" si="16"/>
        <v>1</v>
      </c>
      <c r="J84" s="667"/>
      <c r="K84" s="21">
        <f t="shared" si="17"/>
        <v>1</v>
      </c>
      <c r="L84" s="667"/>
      <c r="M84" s="21">
        <f t="shared" si="18"/>
        <v>1</v>
      </c>
      <c r="N84" s="667"/>
      <c r="O84" s="21">
        <f t="shared" si="19"/>
        <v>1</v>
      </c>
      <c r="P84" s="667"/>
      <c r="Q84" s="21">
        <f t="shared" si="20"/>
        <v>1</v>
      </c>
      <c r="R84" s="663">
        <f t="shared" si="21"/>
        <v>0</v>
      </c>
      <c r="S84" s="316">
        <f t="shared" si="23"/>
        <v>0</v>
      </c>
    </row>
    <row r="85" spans="1:19">
      <c r="A85" s="150"/>
      <c r="B85" s="54"/>
      <c r="C85" s="21">
        <f t="shared" si="13"/>
        <v>1</v>
      </c>
      <c r="D85" s="667"/>
      <c r="E85" s="21">
        <f t="shared" si="14"/>
        <v>1</v>
      </c>
      <c r="F85" s="667"/>
      <c r="G85" s="21">
        <f t="shared" si="15"/>
        <v>1</v>
      </c>
      <c r="H85" s="667"/>
      <c r="I85" s="21">
        <f t="shared" si="16"/>
        <v>1</v>
      </c>
      <c r="J85" s="667"/>
      <c r="K85" s="21">
        <f t="shared" si="17"/>
        <v>1</v>
      </c>
      <c r="L85" s="667"/>
      <c r="M85" s="21">
        <f t="shared" si="18"/>
        <v>1</v>
      </c>
      <c r="N85" s="667"/>
      <c r="O85" s="21">
        <f t="shared" si="19"/>
        <v>1</v>
      </c>
      <c r="P85" s="667"/>
      <c r="Q85" s="21">
        <f t="shared" si="20"/>
        <v>1</v>
      </c>
      <c r="R85" s="663">
        <f t="shared" si="21"/>
        <v>0</v>
      </c>
      <c r="S85" s="316">
        <f t="shared" si="23"/>
        <v>0</v>
      </c>
    </row>
    <row r="86" spans="1:19">
      <c r="A86" s="150"/>
      <c r="B86" s="54"/>
      <c r="C86" s="21">
        <f t="shared" si="13"/>
        <v>1</v>
      </c>
      <c r="D86" s="667"/>
      <c r="E86" s="21">
        <f t="shared" si="14"/>
        <v>1</v>
      </c>
      <c r="F86" s="667"/>
      <c r="G86" s="21">
        <f t="shared" si="15"/>
        <v>1</v>
      </c>
      <c r="H86" s="667"/>
      <c r="I86" s="21">
        <f t="shared" si="16"/>
        <v>1</v>
      </c>
      <c r="J86" s="667"/>
      <c r="K86" s="21">
        <f t="shared" si="17"/>
        <v>1</v>
      </c>
      <c r="L86" s="667"/>
      <c r="M86" s="21">
        <f t="shared" si="18"/>
        <v>1</v>
      </c>
      <c r="N86" s="667"/>
      <c r="O86" s="21">
        <f t="shared" si="19"/>
        <v>1</v>
      </c>
      <c r="P86" s="667"/>
      <c r="Q86" s="21">
        <f t="shared" si="20"/>
        <v>1</v>
      </c>
      <c r="R86" s="663">
        <f t="shared" si="21"/>
        <v>0</v>
      </c>
      <c r="S86" s="316">
        <f t="shared" si="23"/>
        <v>0</v>
      </c>
    </row>
    <row r="87" spans="1:19">
      <c r="A87" s="150"/>
      <c r="B87" s="54"/>
      <c r="C87" s="21">
        <f t="shared" si="13"/>
        <v>1</v>
      </c>
      <c r="D87" s="667"/>
      <c r="E87" s="21">
        <f t="shared" si="14"/>
        <v>1</v>
      </c>
      <c r="F87" s="667"/>
      <c r="G87" s="21">
        <f t="shared" si="15"/>
        <v>1</v>
      </c>
      <c r="H87" s="667"/>
      <c r="I87" s="21">
        <f t="shared" si="16"/>
        <v>1</v>
      </c>
      <c r="J87" s="667"/>
      <c r="K87" s="21">
        <f t="shared" si="17"/>
        <v>1</v>
      </c>
      <c r="L87" s="667"/>
      <c r="M87" s="21">
        <f t="shared" si="18"/>
        <v>1</v>
      </c>
      <c r="N87" s="667"/>
      <c r="O87" s="21">
        <f t="shared" si="19"/>
        <v>1</v>
      </c>
      <c r="P87" s="667"/>
      <c r="Q87" s="21">
        <f t="shared" si="20"/>
        <v>1</v>
      </c>
      <c r="R87" s="663">
        <f t="shared" si="21"/>
        <v>0</v>
      </c>
      <c r="S87" s="316">
        <f t="shared" si="23"/>
        <v>0</v>
      </c>
    </row>
    <row r="88" spans="1:19">
      <c r="A88" s="150"/>
      <c r="B88" s="54"/>
      <c r="C88" s="21">
        <f t="shared" si="13"/>
        <v>1</v>
      </c>
      <c r="D88" s="667"/>
      <c r="E88" s="21">
        <f t="shared" si="14"/>
        <v>1</v>
      </c>
      <c r="F88" s="667"/>
      <c r="G88" s="21">
        <f t="shared" si="15"/>
        <v>1</v>
      </c>
      <c r="H88" s="667"/>
      <c r="I88" s="21">
        <f t="shared" si="16"/>
        <v>1</v>
      </c>
      <c r="J88" s="667"/>
      <c r="K88" s="21">
        <f t="shared" si="17"/>
        <v>1</v>
      </c>
      <c r="L88" s="667"/>
      <c r="M88" s="21">
        <f t="shared" si="18"/>
        <v>1</v>
      </c>
      <c r="N88" s="667"/>
      <c r="O88" s="21">
        <f t="shared" si="19"/>
        <v>1</v>
      </c>
      <c r="P88" s="667"/>
      <c r="Q88" s="21">
        <f t="shared" si="20"/>
        <v>1</v>
      </c>
      <c r="R88" s="663">
        <f t="shared" si="21"/>
        <v>0</v>
      </c>
      <c r="S88" s="316">
        <f t="shared" si="23"/>
        <v>0</v>
      </c>
    </row>
    <row r="89" spans="1:19">
      <c r="A89" s="150"/>
      <c r="B89" s="54"/>
      <c r="C89" s="21">
        <f t="shared" si="13"/>
        <v>1</v>
      </c>
      <c r="D89" s="667"/>
      <c r="E89" s="21">
        <f t="shared" si="14"/>
        <v>1</v>
      </c>
      <c r="F89" s="667"/>
      <c r="G89" s="21">
        <f t="shared" si="15"/>
        <v>1</v>
      </c>
      <c r="H89" s="667"/>
      <c r="I89" s="21">
        <f t="shared" si="16"/>
        <v>1</v>
      </c>
      <c r="J89" s="667"/>
      <c r="K89" s="21">
        <f t="shared" si="17"/>
        <v>1</v>
      </c>
      <c r="L89" s="667"/>
      <c r="M89" s="21">
        <f t="shared" si="18"/>
        <v>1</v>
      </c>
      <c r="N89" s="667"/>
      <c r="O89" s="21">
        <f t="shared" si="19"/>
        <v>1</v>
      </c>
      <c r="P89" s="667"/>
      <c r="Q89" s="21">
        <f t="shared" si="20"/>
        <v>1</v>
      </c>
      <c r="R89" s="663">
        <f t="shared" si="21"/>
        <v>0</v>
      </c>
      <c r="S89" s="316">
        <f t="shared" si="23"/>
        <v>0</v>
      </c>
    </row>
    <row r="90" spans="1:19">
      <c r="A90" s="150"/>
      <c r="B90" s="54"/>
      <c r="C90" s="21">
        <f t="shared" ref="C90:C153" si="24">IF(B90="",1,(LOOKUP(B90,$3:$3,$4:$4)-LOOKUP($B$24,$3:$3,$4:$4)+100)/100)</f>
        <v>1</v>
      </c>
      <c r="D90" s="667"/>
      <c r="E90" s="21">
        <f t="shared" ref="E90:E153" si="25">(SUMIF($5:$5,D90,$6:$6)-SUMIF($5:$5,$D$24,$6:$6)+100)/100</f>
        <v>1</v>
      </c>
      <c r="F90" s="667"/>
      <c r="G90" s="21">
        <f t="shared" ref="G90:G153" si="26">(SUMIF($7:$7,F90,$8:$8)-SUMIF($7:$7,$F$24,$8:$8)+100)/100</f>
        <v>1</v>
      </c>
      <c r="H90" s="667"/>
      <c r="I90" s="21">
        <f t="shared" ref="I90:I153" si="27">(SUMIF($9:$9,H90,$10:$10)-SUMIF($9:$9,$H$24,$10:$10)+100)/100</f>
        <v>1</v>
      </c>
      <c r="J90" s="667"/>
      <c r="K90" s="21">
        <f t="shared" ref="K90:K153" si="28">(SUMIF($11:$11,J90,$12:$12)-SUMIF($11:$11,$J$24,$12:$12)+100)/100</f>
        <v>1</v>
      </c>
      <c r="L90" s="667"/>
      <c r="M90" s="21">
        <f t="shared" ref="M90:M153" si="29">(SUMIF($13:$13,L90,$14:$14)-SUMIF($13:$13,$L$24,$14:$14)+100)/100</f>
        <v>1</v>
      </c>
      <c r="N90" s="667"/>
      <c r="O90" s="21">
        <f t="shared" ref="O90:O153" si="30">(SUMIF($15:$15,N90,$16:$16)-SUMIF($15:$15,$N$24,$16:$16)+100)/100</f>
        <v>1</v>
      </c>
      <c r="P90" s="667"/>
      <c r="Q90" s="21">
        <f t="shared" ref="Q90:Q153" si="31">(SUMIF($17:$17,P90,$18:$18)-SUMIF($17:$17,$P$24,$18:$18)+100)/100</f>
        <v>1</v>
      </c>
      <c r="R90" s="663">
        <f t="shared" ref="R90:R153" si="32">IF(B90="",0,ROUND($R$24*C90*E90*G90*I90*K90*M90*O90*Q90,0))</f>
        <v>0</v>
      </c>
      <c r="S90" s="316">
        <f t="shared" si="23"/>
        <v>0</v>
      </c>
    </row>
    <row r="91" spans="1:19">
      <c r="A91" s="150"/>
      <c r="B91" s="54"/>
      <c r="C91" s="21">
        <f t="shared" si="24"/>
        <v>1</v>
      </c>
      <c r="D91" s="667"/>
      <c r="E91" s="21">
        <f t="shared" si="25"/>
        <v>1</v>
      </c>
      <c r="F91" s="667"/>
      <c r="G91" s="21">
        <f t="shared" si="26"/>
        <v>1</v>
      </c>
      <c r="H91" s="667"/>
      <c r="I91" s="21">
        <f t="shared" si="27"/>
        <v>1</v>
      </c>
      <c r="J91" s="667"/>
      <c r="K91" s="21">
        <f t="shared" si="28"/>
        <v>1</v>
      </c>
      <c r="L91" s="667"/>
      <c r="M91" s="21">
        <f t="shared" si="29"/>
        <v>1</v>
      </c>
      <c r="N91" s="667"/>
      <c r="O91" s="21">
        <f t="shared" si="30"/>
        <v>1</v>
      </c>
      <c r="P91" s="667"/>
      <c r="Q91" s="21">
        <f t="shared" si="31"/>
        <v>1</v>
      </c>
      <c r="R91" s="663">
        <f t="shared" si="32"/>
        <v>0</v>
      </c>
      <c r="S91" s="316">
        <f t="shared" si="23"/>
        <v>0</v>
      </c>
    </row>
    <row r="92" spans="1:19">
      <c r="A92" s="150"/>
      <c r="B92" s="54"/>
      <c r="C92" s="21">
        <f t="shared" si="24"/>
        <v>1</v>
      </c>
      <c r="D92" s="667"/>
      <c r="E92" s="21">
        <f t="shared" si="25"/>
        <v>1</v>
      </c>
      <c r="F92" s="667"/>
      <c r="G92" s="21">
        <f t="shared" si="26"/>
        <v>1</v>
      </c>
      <c r="H92" s="667"/>
      <c r="I92" s="21">
        <f t="shared" si="27"/>
        <v>1</v>
      </c>
      <c r="J92" s="667"/>
      <c r="K92" s="21">
        <f t="shared" si="28"/>
        <v>1</v>
      </c>
      <c r="L92" s="667"/>
      <c r="M92" s="21">
        <f t="shared" si="29"/>
        <v>1</v>
      </c>
      <c r="N92" s="667"/>
      <c r="O92" s="21">
        <f t="shared" si="30"/>
        <v>1</v>
      </c>
      <c r="P92" s="667"/>
      <c r="Q92" s="21">
        <f t="shared" si="31"/>
        <v>1</v>
      </c>
      <c r="R92" s="663">
        <f t="shared" si="32"/>
        <v>0</v>
      </c>
      <c r="S92" s="316">
        <f t="shared" si="23"/>
        <v>0</v>
      </c>
    </row>
    <row r="93" spans="1:19">
      <c r="A93" s="150"/>
      <c r="B93" s="54"/>
      <c r="C93" s="21">
        <f t="shared" si="24"/>
        <v>1</v>
      </c>
      <c r="D93" s="667"/>
      <c r="E93" s="21">
        <f t="shared" si="25"/>
        <v>1</v>
      </c>
      <c r="F93" s="667"/>
      <c r="G93" s="21">
        <f t="shared" si="26"/>
        <v>1</v>
      </c>
      <c r="H93" s="667"/>
      <c r="I93" s="21">
        <f t="shared" si="27"/>
        <v>1</v>
      </c>
      <c r="J93" s="667"/>
      <c r="K93" s="21">
        <f t="shared" si="28"/>
        <v>1</v>
      </c>
      <c r="L93" s="667"/>
      <c r="M93" s="21">
        <f t="shared" si="29"/>
        <v>1</v>
      </c>
      <c r="N93" s="667"/>
      <c r="O93" s="21">
        <f t="shared" si="30"/>
        <v>1</v>
      </c>
      <c r="P93" s="667"/>
      <c r="Q93" s="21">
        <f t="shared" si="31"/>
        <v>1</v>
      </c>
      <c r="R93" s="663">
        <f t="shared" si="32"/>
        <v>0</v>
      </c>
      <c r="S93" s="316">
        <f t="shared" si="23"/>
        <v>0</v>
      </c>
    </row>
    <row r="94" spans="1:19">
      <c r="A94" s="150"/>
      <c r="B94" s="54"/>
      <c r="C94" s="21">
        <f t="shared" si="24"/>
        <v>1</v>
      </c>
      <c r="D94" s="667"/>
      <c r="E94" s="21">
        <f t="shared" si="25"/>
        <v>1</v>
      </c>
      <c r="F94" s="667"/>
      <c r="G94" s="21">
        <f t="shared" si="26"/>
        <v>1</v>
      </c>
      <c r="H94" s="667"/>
      <c r="I94" s="21">
        <f t="shared" si="27"/>
        <v>1</v>
      </c>
      <c r="J94" s="667"/>
      <c r="K94" s="21">
        <f t="shared" si="28"/>
        <v>1</v>
      </c>
      <c r="L94" s="667"/>
      <c r="M94" s="21">
        <f t="shared" si="29"/>
        <v>1</v>
      </c>
      <c r="N94" s="667"/>
      <c r="O94" s="21">
        <f t="shared" si="30"/>
        <v>1</v>
      </c>
      <c r="P94" s="667"/>
      <c r="Q94" s="21">
        <f t="shared" si="31"/>
        <v>1</v>
      </c>
      <c r="R94" s="663">
        <f t="shared" si="32"/>
        <v>0</v>
      </c>
      <c r="S94" s="316">
        <f t="shared" si="23"/>
        <v>0</v>
      </c>
    </row>
    <row r="95" spans="1:19">
      <c r="A95" s="150"/>
      <c r="B95" s="54"/>
      <c r="C95" s="21">
        <f t="shared" si="24"/>
        <v>1</v>
      </c>
      <c r="D95" s="667"/>
      <c r="E95" s="21">
        <f t="shared" si="25"/>
        <v>1</v>
      </c>
      <c r="F95" s="667"/>
      <c r="G95" s="21">
        <f t="shared" si="26"/>
        <v>1</v>
      </c>
      <c r="H95" s="667"/>
      <c r="I95" s="21">
        <f t="shared" si="27"/>
        <v>1</v>
      </c>
      <c r="J95" s="667"/>
      <c r="K95" s="21">
        <f t="shared" si="28"/>
        <v>1</v>
      </c>
      <c r="L95" s="667"/>
      <c r="M95" s="21">
        <f t="shared" si="29"/>
        <v>1</v>
      </c>
      <c r="N95" s="667"/>
      <c r="O95" s="21">
        <f t="shared" si="30"/>
        <v>1</v>
      </c>
      <c r="P95" s="667"/>
      <c r="Q95" s="21">
        <f t="shared" si="31"/>
        <v>1</v>
      </c>
      <c r="R95" s="663">
        <f t="shared" si="32"/>
        <v>0</v>
      </c>
      <c r="S95" s="316">
        <f t="shared" si="23"/>
        <v>0</v>
      </c>
    </row>
    <row r="96" spans="1:19">
      <c r="A96" s="150"/>
      <c r="B96" s="54"/>
      <c r="C96" s="21">
        <f t="shared" si="24"/>
        <v>1</v>
      </c>
      <c r="D96" s="667"/>
      <c r="E96" s="21">
        <f t="shared" si="25"/>
        <v>1</v>
      </c>
      <c r="F96" s="667"/>
      <c r="G96" s="21">
        <f t="shared" si="26"/>
        <v>1</v>
      </c>
      <c r="H96" s="667"/>
      <c r="I96" s="21">
        <f t="shared" si="27"/>
        <v>1</v>
      </c>
      <c r="J96" s="667"/>
      <c r="K96" s="21">
        <f t="shared" si="28"/>
        <v>1</v>
      </c>
      <c r="L96" s="667"/>
      <c r="M96" s="21">
        <f t="shared" si="29"/>
        <v>1</v>
      </c>
      <c r="N96" s="667"/>
      <c r="O96" s="21">
        <f t="shared" si="30"/>
        <v>1</v>
      </c>
      <c r="P96" s="667"/>
      <c r="Q96" s="21">
        <f t="shared" si="31"/>
        <v>1</v>
      </c>
      <c r="R96" s="663">
        <f t="shared" si="32"/>
        <v>0</v>
      </c>
      <c r="S96" s="316">
        <f t="shared" si="23"/>
        <v>0</v>
      </c>
    </row>
    <row r="97" spans="1:19">
      <c r="A97" s="150"/>
      <c r="B97" s="54"/>
      <c r="C97" s="21">
        <f t="shared" si="24"/>
        <v>1</v>
      </c>
      <c r="D97" s="667"/>
      <c r="E97" s="21">
        <f t="shared" si="25"/>
        <v>1</v>
      </c>
      <c r="F97" s="667"/>
      <c r="G97" s="21">
        <f t="shared" si="26"/>
        <v>1</v>
      </c>
      <c r="H97" s="667"/>
      <c r="I97" s="21">
        <f t="shared" si="27"/>
        <v>1</v>
      </c>
      <c r="J97" s="667"/>
      <c r="K97" s="21">
        <f t="shared" si="28"/>
        <v>1</v>
      </c>
      <c r="L97" s="667"/>
      <c r="M97" s="21">
        <f t="shared" si="29"/>
        <v>1</v>
      </c>
      <c r="N97" s="667"/>
      <c r="O97" s="21">
        <f t="shared" si="30"/>
        <v>1</v>
      </c>
      <c r="P97" s="667"/>
      <c r="Q97" s="21">
        <f t="shared" si="31"/>
        <v>1</v>
      </c>
      <c r="R97" s="663">
        <f t="shared" si="32"/>
        <v>0</v>
      </c>
      <c r="S97" s="316">
        <f t="shared" si="23"/>
        <v>0</v>
      </c>
    </row>
    <row r="98" spans="1:19">
      <c r="A98" s="150"/>
      <c r="B98" s="54"/>
      <c r="C98" s="21">
        <f t="shared" si="24"/>
        <v>1</v>
      </c>
      <c r="D98" s="667"/>
      <c r="E98" s="21">
        <f t="shared" si="25"/>
        <v>1</v>
      </c>
      <c r="F98" s="667"/>
      <c r="G98" s="21">
        <f t="shared" si="26"/>
        <v>1</v>
      </c>
      <c r="H98" s="667"/>
      <c r="I98" s="21">
        <f t="shared" si="27"/>
        <v>1</v>
      </c>
      <c r="J98" s="667"/>
      <c r="K98" s="21">
        <f t="shared" si="28"/>
        <v>1</v>
      </c>
      <c r="L98" s="667"/>
      <c r="M98" s="21">
        <f t="shared" si="29"/>
        <v>1</v>
      </c>
      <c r="N98" s="667"/>
      <c r="O98" s="21">
        <f t="shared" si="30"/>
        <v>1</v>
      </c>
      <c r="P98" s="667"/>
      <c r="Q98" s="21">
        <f t="shared" si="31"/>
        <v>1</v>
      </c>
      <c r="R98" s="663">
        <f t="shared" si="32"/>
        <v>0</v>
      </c>
      <c r="S98" s="316">
        <f t="shared" si="23"/>
        <v>0</v>
      </c>
    </row>
    <row r="99" spans="1:19">
      <c r="A99" s="150"/>
      <c r="B99" s="54"/>
      <c r="C99" s="21">
        <f t="shared" si="24"/>
        <v>1</v>
      </c>
      <c r="D99" s="667"/>
      <c r="E99" s="21">
        <f t="shared" si="25"/>
        <v>1</v>
      </c>
      <c r="F99" s="667"/>
      <c r="G99" s="21">
        <f t="shared" si="26"/>
        <v>1</v>
      </c>
      <c r="H99" s="667"/>
      <c r="I99" s="21">
        <f t="shared" si="27"/>
        <v>1</v>
      </c>
      <c r="J99" s="667"/>
      <c r="K99" s="21">
        <f t="shared" si="28"/>
        <v>1</v>
      </c>
      <c r="L99" s="667"/>
      <c r="M99" s="21">
        <f t="shared" si="29"/>
        <v>1</v>
      </c>
      <c r="N99" s="667"/>
      <c r="O99" s="21">
        <f t="shared" si="30"/>
        <v>1</v>
      </c>
      <c r="P99" s="667"/>
      <c r="Q99" s="21">
        <f t="shared" si="31"/>
        <v>1</v>
      </c>
      <c r="R99" s="663">
        <f t="shared" si="32"/>
        <v>0</v>
      </c>
      <c r="S99" s="316">
        <f t="shared" si="23"/>
        <v>0</v>
      </c>
    </row>
    <row r="100" spans="1:19">
      <c r="A100" s="150"/>
      <c r="B100" s="54"/>
      <c r="C100" s="21">
        <f t="shared" si="24"/>
        <v>1</v>
      </c>
      <c r="D100" s="667"/>
      <c r="E100" s="21">
        <f t="shared" si="25"/>
        <v>1</v>
      </c>
      <c r="F100" s="667"/>
      <c r="G100" s="21">
        <f t="shared" si="26"/>
        <v>1</v>
      </c>
      <c r="H100" s="667"/>
      <c r="I100" s="21">
        <f t="shared" si="27"/>
        <v>1</v>
      </c>
      <c r="J100" s="667"/>
      <c r="K100" s="21">
        <f t="shared" si="28"/>
        <v>1</v>
      </c>
      <c r="L100" s="667"/>
      <c r="M100" s="21">
        <f t="shared" si="29"/>
        <v>1</v>
      </c>
      <c r="N100" s="667"/>
      <c r="O100" s="21">
        <f t="shared" si="30"/>
        <v>1</v>
      </c>
      <c r="P100" s="667"/>
      <c r="Q100" s="21">
        <f t="shared" si="31"/>
        <v>1</v>
      </c>
      <c r="R100" s="663">
        <f t="shared" si="32"/>
        <v>0</v>
      </c>
      <c r="S100" s="316">
        <f t="shared" si="23"/>
        <v>0</v>
      </c>
    </row>
    <row r="101" spans="1:19">
      <c r="A101" s="150"/>
      <c r="B101" s="54"/>
      <c r="C101" s="21">
        <f t="shared" si="24"/>
        <v>1</v>
      </c>
      <c r="D101" s="667"/>
      <c r="E101" s="21">
        <f t="shared" si="25"/>
        <v>1</v>
      </c>
      <c r="F101" s="667"/>
      <c r="G101" s="21">
        <f t="shared" si="26"/>
        <v>1</v>
      </c>
      <c r="H101" s="667"/>
      <c r="I101" s="21">
        <f t="shared" si="27"/>
        <v>1</v>
      </c>
      <c r="J101" s="667"/>
      <c r="K101" s="21">
        <f t="shared" si="28"/>
        <v>1</v>
      </c>
      <c r="L101" s="667"/>
      <c r="M101" s="21">
        <f t="shared" si="29"/>
        <v>1</v>
      </c>
      <c r="N101" s="667"/>
      <c r="O101" s="21">
        <f t="shared" si="30"/>
        <v>1</v>
      </c>
      <c r="P101" s="667"/>
      <c r="Q101" s="21">
        <f t="shared" si="31"/>
        <v>1</v>
      </c>
      <c r="R101" s="663">
        <f t="shared" si="32"/>
        <v>0</v>
      </c>
      <c r="S101" s="316">
        <f t="shared" si="23"/>
        <v>0</v>
      </c>
    </row>
    <row r="102" spans="1:19">
      <c r="A102" s="150"/>
      <c r="B102" s="54"/>
      <c r="C102" s="21">
        <f t="shared" si="24"/>
        <v>1</v>
      </c>
      <c r="D102" s="667"/>
      <c r="E102" s="21">
        <f t="shared" si="25"/>
        <v>1</v>
      </c>
      <c r="F102" s="667"/>
      <c r="G102" s="21">
        <f t="shared" si="26"/>
        <v>1</v>
      </c>
      <c r="H102" s="667"/>
      <c r="I102" s="21">
        <f t="shared" si="27"/>
        <v>1</v>
      </c>
      <c r="J102" s="667"/>
      <c r="K102" s="21">
        <f t="shared" si="28"/>
        <v>1</v>
      </c>
      <c r="L102" s="667"/>
      <c r="M102" s="21">
        <f t="shared" si="29"/>
        <v>1</v>
      </c>
      <c r="N102" s="667"/>
      <c r="O102" s="21">
        <f t="shared" si="30"/>
        <v>1</v>
      </c>
      <c r="P102" s="667"/>
      <c r="Q102" s="21">
        <f t="shared" si="31"/>
        <v>1</v>
      </c>
      <c r="R102" s="663">
        <f t="shared" si="32"/>
        <v>0</v>
      </c>
      <c r="S102" s="316">
        <f t="shared" si="23"/>
        <v>0</v>
      </c>
    </row>
    <row r="103" spans="1:19">
      <c r="A103" s="150"/>
      <c r="B103" s="54"/>
      <c r="C103" s="21">
        <f t="shared" si="24"/>
        <v>1</v>
      </c>
      <c r="D103" s="667"/>
      <c r="E103" s="21">
        <f t="shared" si="25"/>
        <v>1</v>
      </c>
      <c r="F103" s="667"/>
      <c r="G103" s="21">
        <f t="shared" si="26"/>
        <v>1</v>
      </c>
      <c r="H103" s="667"/>
      <c r="I103" s="21">
        <f t="shared" si="27"/>
        <v>1</v>
      </c>
      <c r="J103" s="667"/>
      <c r="K103" s="21">
        <f t="shared" si="28"/>
        <v>1</v>
      </c>
      <c r="L103" s="667"/>
      <c r="M103" s="21">
        <f t="shared" si="29"/>
        <v>1</v>
      </c>
      <c r="N103" s="667"/>
      <c r="O103" s="21">
        <f t="shared" si="30"/>
        <v>1</v>
      </c>
      <c r="P103" s="667"/>
      <c r="Q103" s="21">
        <f t="shared" si="31"/>
        <v>1</v>
      </c>
      <c r="R103" s="663">
        <f t="shared" si="32"/>
        <v>0</v>
      </c>
      <c r="S103" s="316">
        <f t="shared" si="23"/>
        <v>0</v>
      </c>
    </row>
    <row r="104" spans="1:19">
      <c r="A104" s="150"/>
      <c r="B104" s="54"/>
      <c r="C104" s="21">
        <f t="shared" si="24"/>
        <v>1</v>
      </c>
      <c r="D104" s="667"/>
      <c r="E104" s="21">
        <f t="shared" si="25"/>
        <v>1</v>
      </c>
      <c r="F104" s="667"/>
      <c r="G104" s="21">
        <f t="shared" si="26"/>
        <v>1</v>
      </c>
      <c r="H104" s="667"/>
      <c r="I104" s="21">
        <f t="shared" si="27"/>
        <v>1</v>
      </c>
      <c r="J104" s="667"/>
      <c r="K104" s="21">
        <f t="shared" si="28"/>
        <v>1</v>
      </c>
      <c r="L104" s="667"/>
      <c r="M104" s="21">
        <f t="shared" si="29"/>
        <v>1</v>
      </c>
      <c r="N104" s="667"/>
      <c r="O104" s="21">
        <f t="shared" si="30"/>
        <v>1</v>
      </c>
      <c r="P104" s="667"/>
      <c r="Q104" s="21">
        <f t="shared" si="31"/>
        <v>1</v>
      </c>
      <c r="R104" s="663">
        <f t="shared" si="32"/>
        <v>0</v>
      </c>
      <c r="S104" s="316">
        <f t="shared" si="23"/>
        <v>0</v>
      </c>
    </row>
    <row r="105" spans="1:19">
      <c r="A105" s="150"/>
      <c r="B105" s="54"/>
      <c r="C105" s="21">
        <f t="shared" si="24"/>
        <v>1</v>
      </c>
      <c r="D105" s="667"/>
      <c r="E105" s="21">
        <f t="shared" si="25"/>
        <v>1</v>
      </c>
      <c r="F105" s="667"/>
      <c r="G105" s="21">
        <f t="shared" si="26"/>
        <v>1</v>
      </c>
      <c r="H105" s="667"/>
      <c r="I105" s="21">
        <f t="shared" si="27"/>
        <v>1</v>
      </c>
      <c r="J105" s="667"/>
      <c r="K105" s="21">
        <f t="shared" si="28"/>
        <v>1</v>
      </c>
      <c r="L105" s="667"/>
      <c r="M105" s="21">
        <f t="shared" si="29"/>
        <v>1</v>
      </c>
      <c r="N105" s="667"/>
      <c r="O105" s="21">
        <f t="shared" si="30"/>
        <v>1</v>
      </c>
      <c r="P105" s="667"/>
      <c r="Q105" s="21">
        <f t="shared" si="31"/>
        <v>1</v>
      </c>
      <c r="R105" s="663">
        <f t="shared" si="32"/>
        <v>0</v>
      </c>
      <c r="S105" s="316">
        <f t="shared" si="23"/>
        <v>0</v>
      </c>
    </row>
    <row r="106" spans="1:19">
      <c r="A106" s="150"/>
      <c r="B106" s="54"/>
      <c r="C106" s="21">
        <f t="shared" si="24"/>
        <v>1</v>
      </c>
      <c r="D106" s="667"/>
      <c r="E106" s="21">
        <f t="shared" si="25"/>
        <v>1</v>
      </c>
      <c r="F106" s="667"/>
      <c r="G106" s="21">
        <f t="shared" si="26"/>
        <v>1</v>
      </c>
      <c r="H106" s="667"/>
      <c r="I106" s="21">
        <f t="shared" si="27"/>
        <v>1</v>
      </c>
      <c r="J106" s="667"/>
      <c r="K106" s="21">
        <f t="shared" si="28"/>
        <v>1</v>
      </c>
      <c r="L106" s="667"/>
      <c r="M106" s="21">
        <f t="shared" si="29"/>
        <v>1</v>
      </c>
      <c r="N106" s="667"/>
      <c r="O106" s="21">
        <f t="shared" si="30"/>
        <v>1</v>
      </c>
      <c r="P106" s="667"/>
      <c r="Q106" s="21">
        <f t="shared" si="31"/>
        <v>1</v>
      </c>
      <c r="R106" s="663">
        <f t="shared" si="32"/>
        <v>0</v>
      </c>
      <c r="S106" s="316">
        <f t="shared" si="23"/>
        <v>0</v>
      </c>
    </row>
    <row r="107" spans="1:19">
      <c r="A107" s="150"/>
      <c r="B107" s="54"/>
      <c r="C107" s="21">
        <f t="shared" si="24"/>
        <v>1</v>
      </c>
      <c r="D107" s="667"/>
      <c r="E107" s="21">
        <f t="shared" si="25"/>
        <v>1</v>
      </c>
      <c r="F107" s="667"/>
      <c r="G107" s="21">
        <f t="shared" si="26"/>
        <v>1</v>
      </c>
      <c r="H107" s="667"/>
      <c r="I107" s="21">
        <f t="shared" si="27"/>
        <v>1</v>
      </c>
      <c r="J107" s="667"/>
      <c r="K107" s="21">
        <f t="shared" si="28"/>
        <v>1</v>
      </c>
      <c r="L107" s="667"/>
      <c r="M107" s="21">
        <f t="shared" si="29"/>
        <v>1</v>
      </c>
      <c r="N107" s="667"/>
      <c r="O107" s="21">
        <f t="shared" si="30"/>
        <v>1</v>
      </c>
      <c r="P107" s="667"/>
      <c r="Q107" s="21">
        <f t="shared" si="31"/>
        <v>1</v>
      </c>
      <c r="R107" s="663">
        <f t="shared" si="32"/>
        <v>0</v>
      </c>
      <c r="S107" s="316">
        <f t="shared" si="23"/>
        <v>0</v>
      </c>
    </row>
    <row r="108" spans="1:19">
      <c r="A108" s="150"/>
      <c r="B108" s="54"/>
      <c r="C108" s="21">
        <f t="shared" si="24"/>
        <v>1</v>
      </c>
      <c r="D108" s="667"/>
      <c r="E108" s="21">
        <f t="shared" si="25"/>
        <v>1</v>
      </c>
      <c r="F108" s="667"/>
      <c r="G108" s="21">
        <f t="shared" si="26"/>
        <v>1</v>
      </c>
      <c r="H108" s="667"/>
      <c r="I108" s="21">
        <f t="shared" si="27"/>
        <v>1</v>
      </c>
      <c r="J108" s="667"/>
      <c r="K108" s="21">
        <f t="shared" si="28"/>
        <v>1</v>
      </c>
      <c r="L108" s="667"/>
      <c r="M108" s="21">
        <f t="shared" si="29"/>
        <v>1</v>
      </c>
      <c r="N108" s="667"/>
      <c r="O108" s="21">
        <f t="shared" si="30"/>
        <v>1</v>
      </c>
      <c r="P108" s="667"/>
      <c r="Q108" s="21">
        <f t="shared" si="31"/>
        <v>1</v>
      </c>
      <c r="R108" s="663">
        <f t="shared" si="32"/>
        <v>0</v>
      </c>
      <c r="S108" s="316">
        <f t="shared" si="23"/>
        <v>0</v>
      </c>
    </row>
    <row r="109" spans="1:19">
      <c r="A109" s="150"/>
      <c r="B109" s="54"/>
      <c r="C109" s="21">
        <f t="shared" si="24"/>
        <v>1</v>
      </c>
      <c r="D109" s="667"/>
      <c r="E109" s="21">
        <f t="shared" si="25"/>
        <v>1</v>
      </c>
      <c r="F109" s="667"/>
      <c r="G109" s="21">
        <f t="shared" si="26"/>
        <v>1</v>
      </c>
      <c r="H109" s="667"/>
      <c r="I109" s="21">
        <f t="shared" si="27"/>
        <v>1</v>
      </c>
      <c r="J109" s="667"/>
      <c r="K109" s="21">
        <f t="shared" si="28"/>
        <v>1</v>
      </c>
      <c r="L109" s="667"/>
      <c r="M109" s="21">
        <f t="shared" si="29"/>
        <v>1</v>
      </c>
      <c r="N109" s="667"/>
      <c r="O109" s="21">
        <f t="shared" si="30"/>
        <v>1</v>
      </c>
      <c r="P109" s="667"/>
      <c r="Q109" s="21">
        <f t="shared" si="31"/>
        <v>1</v>
      </c>
      <c r="R109" s="663">
        <f t="shared" si="32"/>
        <v>0</v>
      </c>
      <c r="S109" s="316">
        <f t="shared" si="23"/>
        <v>0</v>
      </c>
    </row>
    <row r="110" spans="1:19">
      <c r="A110" s="150"/>
      <c r="B110" s="54"/>
      <c r="C110" s="21">
        <f t="shared" si="24"/>
        <v>1</v>
      </c>
      <c r="D110" s="667"/>
      <c r="E110" s="21">
        <f t="shared" si="25"/>
        <v>1</v>
      </c>
      <c r="F110" s="667"/>
      <c r="G110" s="21">
        <f t="shared" si="26"/>
        <v>1</v>
      </c>
      <c r="H110" s="667"/>
      <c r="I110" s="21">
        <f t="shared" si="27"/>
        <v>1</v>
      </c>
      <c r="J110" s="667"/>
      <c r="K110" s="21">
        <f t="shared" si="28"/>
        <v>1</v>
      </c>
      <c r="L110" s="667"/>
      <c r="M110" s="21">
        <f t="shared" si="29"/>
        <v>1</v>
      </c>
      <c r="N110" s="667"/>
      <c r="O110" s="21">
        <f t="shared" si="30"/>
        <v>1</v>
      </c>
      <c r="P110" s="667"/>
      <c r="Q110" s="21">
        <f t="shared" si="31"/>
        <v>1</v>
      </c>
      <c r="R110" s="663">
        <f t="shared" si="32"/>
        <v>0</v>
      </c>
      <c r="S110" s="316">
        <f t="shared" si="23"/>
        <v>0</v>
      </c>
    </row>
    <row r="111" spans="1:19">
      <c r="A111" s="150"/>
      <c r="B111" s="54"/>
      <c r="C111" s="21">
        <f t="shared" si="24"/>
        <v>1</v>
      </c>
      <c r="D111" s="667"/>
      <c r="E111" s="21">
        <f t="shared" si="25"/>
        <v>1</v>
      </c>
      <c r="F111" s="667"/>
      <c r="G111" s="21">
        <f t="shared" si="26"/>
        <v>1</v>
      </c>
      <c r="H111" s="667"/>
      <c r="I111" s="21">
        <f t="shared" si="27"/>
        <v>1</v>
      </c>
      <c r="J111" s="667"/>
      <c r="K111" s="21">
        <f t="shared" si="28"/>
        <v>1</v>
      </c>
      <c r="L111" s="667"/>
      <c r="M111" s="21">
        <f t="shared" si="29"/>
        <v>1</v>
      </c>
      <c r="N111" s="667"/>
      <c r="O111" s="21">
        <f t="shared" si="30"/>
        <v>1</v>
      </c>
      <c r="P111" s="667"/>
      <c r="Q111" s="21">
        <f t="shared" si="31"/>
        <v>1</v>
      </c>
      <c r="R111" s="663">
        <f t="shared" si="32"/>
        <v>0</v>
      </c>
      <c r="S111" s="316">
        <f t="shared" si="23"/>
        <v>0</v>
      </c>
    </row>
    <row r="112" spans="1:19">
      <c r="A112" s="150"/>
      <c r="B112" s="54"/>
      <c r="C112" s="21">
        <f t="shared" si="24"/>
        <v>1</v>
      </c>
      <c r="D112" s="667"/>
      <c r="E112" s="21">
        <f t="shared" si="25"/>
        <v>1</v>
      </c>
      <c r="F112" s="667"/>
      <c r="G112" s="21">
        <f t="shared" si="26"/>
        <v>1</v>
      </c>
      <c r="H112" s="667"/>
      <c r="I112" s="21">
        <f t="shared" si="27"/>
        <v>1</v>
      </c>
      <c r="J112" s="667"/>
      <c r="K112" s="21">
        <f t="shared" si="28"/>
        <v>1</v>
      </c>
      <c r="L112" s="667"/>
      <c r="M112" s="21">
        <f t="shared" si="29"/>
        <v>1</v>
      </c>
      <c r="N112" s="667"/>
      <c r="O112" s="21">
        <f t="shared" si="30"/>
        <v>1</v>
      </c>
      <c r="P112" s="667"/>
      <c r="Q112" s="21">
        <f t="shared" si="31"/>
        <v>1</v>
      </c>
      <c r="R112" s="663">
        <f t="shared" si="32"/>
        <v>0</v>
      </c>
      <c r="S112" s="316">
        <f t="shared" si="23"/>
        <v>0</v>
      </c>
    </row>
    <row r="113" spans="1:19">
      <c r="A113" s="150"/>
      <c r="B113" s="54"/>
      <c r="C113" s="21">
        <f t="shared" si="24"/>
        <v>1</v>
      </c>
      <c r="D113" s="667"/>
      <c r="E113" s="21">
        <f t="shared" si="25"/>
        <v>1</v>
      </c>
      <c r="F113" s="667"/>
      <c r="G113" s="21">
        <f t="shared" si="26"/>
        <v>1</v>
      </c>
      <c r="H113" s="667"/>
      <c r="I113" s="21">
        <f t="shared" si="27"/>
        <v>1</v>
      </c>
      <c r="J113" s="667"/>
      <c r="K113" s="21">
        <f t="shared" si="28"/>
        <v>1</v>
      </c>
      <c r="L113" s="667"/>
      <c r="M113" s="21">
        <f t="shared" si="29"/>
        <v>1</v>
      </c>
      <c r="N113" s="667"/>
      <c r="O113" s="21">
        <f t="shared" si="30"/>
        <v>1</v>
      </c>
      <c r="P113" s="667"/>
      <c r="Q113" s="21">
        <f t="shared" si="31"/>
        <v>1</v>
      </c>
      <c r="R113" s="663">
        <f t="shared" si="32"/>
        <v>0</v>
      </c>
      <c r="S113" s="316">
        <f t="shared" si="23"/>
        <v>0</v>
      </c>
    </row>
    <row r="114" spans="1:19">
      <c r="A114" s="150"/>
      <c r="B114" s="54"/>
      <c r="C114" s="21">
        <f t="shared" si="24"/>
        <v>1</v>
      </c>
      <c r="D114" s="667"/>
      <c r="E114" s="21">
        <f t="shared" si="25"/>
        <v>1</v>
      </c>
      <c r="F114" s="667"/>
      <c r="G114" s="21">
        <f t="shared" si="26"/>
        <v>1</v>
      </c>
      <c r="H114" s="667"/>
      <c r="I114" s="21">
        <f t="shared" si="27"/>
        <v>1</v>
      </c>
      <c r="J114" s="667"/>
      <c r="K114" s="21">
        <f t="shared" si="28"/>
        <v>1</v>
      </c>
      <c r="L114" s="667"/>
      <c r="M114" s="21">
        <f t="shared" si="29"/>
        <v>1</v>
      </c>
      <c r="N114" s="667"/>
      <c r="O114" s="21">
        <f t="shared" si="30"/>
        <v>1</v>
      </c>
      <c r="P114" s="667"/>
      <c r="Q114" s="21">
        <f t="shared" si="31"/>
        <v>1</v>
      </c>
      <c r="R114" s="663">
        <f t="shared" si="32"/>
        <v>0</v>
      </c>
      <c r="S114" s="316">
        <f t="shared" si="23"/>
        <v>0</v>
      </c>
    </row>
    <row r="115" spans="1:19">
      <c r="A115" s="150"/>
      <c r="B115" s="54"/>
      <c r="C115" s="21">
        <f t="shared" si="24"/>
        <v>1</v>
      </c>
      <c r="D115" s="667"/>
      <c r="E115" s="21">
        <f t="shared" si="25"/>
        <v>1</v>
      </c>
      <c r="F115" s="667"/>
      <c r="G115" s="21">
        <f t="shared" si="26"/>
        <v>1</v>
      </c>
      <c r="H115" s="667"/>
      <c r="I115" s="21">
        <f t="shared" si="27"/>
        <v>1</v>
      </c>
      <c r="J115" s="667"/>
      <c r="K115" s="21">
        <f t="shared" si="28"/>
        <v>1</v>
      </c>
      <c r="L115" s="667"/>
      <c r="M115" s="21">
        <f t="shared" si="29"/>
        <v>1</v>
      </c>
      <c r="N115" s="667"/>
      <c r="O115" s="21">
        <f t="shared" si="30"/>
        <v>1</v>
      </c>
      <c r="P115" s="667"/>
      <c r="Q115" s="21">
        <f t="shared" si="31"/>
        <v>1</v>
      </c>
      <c r="R115" s="663">
        <f t="shared" si="32"/>
        <v>0</v>
      </c>
      <c r="S115" s="316">
        <f t="shared" si="23"/>
        <v>0</v>
      </c>
    </row>
    <row r="116" spans="1:19">
      <c r="A116" s="150"/>
      <c r="B116" s="54"/>
      <c r="C116" s="21">
        <f t="shared" si="24"/>
        <v>1</v>
      </c>
      <c r="D116" s="667"/>
      <c r="E116" s="21">
        <f t="shared" si="25"/>
        <v>1</v>
      </c>
      <c r="F116" s="667"/>
      <c r="G116" s="21">
        <f t="shared" si="26"/>
        <v>1</v>
      </c>
      <c r="H116" s="667"/>
      <c r="I116" s="21">
        <f t="shared" si="27"/>
        <v>1</v>
      </c>
      <c r="J116" s="667"/>
      <c r="K116" s="21">
        <f t="shared" si="28"/>
        <v>1</v>
      </c>
      <c r="L116" s="667"/>
      <c r="M116" s="21">
        <f t="shared" si="29"/>
        <v>1</v>
      </c>
      <c r="N116" s="667"/>
      <c r="O116" s="21">
        <f t="shared" si="30"/>
        <v>1</v>
      </c>
      <c r="P116" s="667"/>
      <c r="Q116" s="21">
        <f t="shared" si="31"/>
        <v>1</v>
      </c>
      <c r="R116" s="663">
        <f t="shared" si="32"/>
        <v>0</v>
      </c>
      <c r="S116" s="316">
        <f t="shared" si="23"/>
        <v>0</v>
      </c>
    </row>
    <row r="117" spans="1:19">
      <c r="A117" s="150"/>
      <c r="B117" s="54"/>
      <c r="C117" s="21">
        <f t="shared" si="24"/>
        <v>1</v>
      </c>
      <c r="D117" s="667"/>
      <c r="E117" s="21">
        <f t="shared" si="25"/>
        <v>1</v>
      </c>
      <c r="F117" s="667"/>
      <c r="G117" s="21">
        <f t="shared" si="26"/>
        <v>1</v>
      </c>
      <c r="H117" s="667"/>
      <c r="I117" s="21">
        <f t="shared" si="27"/>
        <v>1</v>
      </c>
      <c r="J117" s="667"/>
      <c r="K117" s="21">
        <f t="shared" si="28"/>
        <v>1</v>
      </c>
      <c r="L117" s="667"/>
      <c r="M117" s="21">
        <f t="shared" si="29"/>
        <v>1</v>
      </c>
      <c r="N117" s="667"/>
      <c r="O117" s="21">
        <f t="shared" si="30"/>
        <v>1</v>
      </c>
      <c r="P117" s="667"/>
      <c r="Q117" s="21">
        <f t="shared" si="31"/>
        <v>1</v>
      </c>
      <c r="R117" s="663">
        <f t="shared" si="32"/>
        <v>0</v>
      </c>
      <c r="S117" s="316">
        <f t="shared" si="23"/>
        <v>0</v>
      </c>
    </row>
    <row r="118" spans="1:19">
      <c r="A118" s="150"/>
      <c r="B118" s="54"/>
      <c r="C118" s="21">
        <f t="shared" si="24"/>
        <v>1</v>
      </c>
      <c r="D118" s="667"/>
      <c r="E118" s="21">
        <f t="shared" si="25"/>
        <v>1</v>
      </c>
      <c r="F118" s="667"/>
      <c r="G118" s="21">
        <f t="shared" si="26"/>
        <v>1</v>
      </c>
      <c r="H118" s="667"/>
      <c r="I118" s="21">
        <f t="shared" si="27"/>
        <v>1</v>
      </c>
      <c r="J118" s="667"/>
      <c r="K118" s="21">
        <f t="shared" si="28"/>
        <v>1</v>
      </c>
      <c r="L118" s="667"/>
      <c r="M118" s="21">
        <f t="shared" si="29"/>
        <v>1</v>
      </c>
      <c r="N118" s="667"/>
      <c r="O118" s="21">
        <f t="shared" si="30"/>
        <v>1</v>
      </c>
      <c r="P118" s="667"/>
      <c r="Q118" s="21">
        <f t="shared" si="31"/>
        <v>1</v>
      </c>
      <c r="R118" s="663">
        <f t="shared" si="32"/>
        <v>0</v>
      </c>
      <c r="S118" s="316">
        <f t="shared" si="23"/>
        <v>0</v>
      </c>
    </row>
    <row r="119" spans="1:19">
      <c r="A119" s="150"/>
      <c r="B119" s="54"/>
      <c r="C119" s="21">
        <f t="shared" si="24"/>
        <v>1</v>
      </c>
      <c r="D119" s="667"/>
      <c r="E119" s="21">
        <f t="shared" si="25"/>
        <v>1</v>
      </c>
      <c r="F119" s="667"/>
      <c r="G119" s="21">
        <f t="shared" si="26"/>
        <v>1</v>
      </c>
      <c r="H119" s="667"/>
      <c r="I119" s="21">
        <f t="shared" si="27"/>
        <v>1</v>
      </c>
      <c r="J119" s="667"/>
      <c r="K119" s="21">
        <f t="shared" si="28"/>
        <v>1</v>
      </c>
      <c r="L119" s="667"/>
      <c r="M119" s="21">
        <f t="shared" si="29"/>
        <v>1</v>
      </c>
      <c r="N119" s="667"/>
      <c r="O119" s="21">
        <f t="shared" si="30"/>
        <v>1</v>
      </c>
      <c r="P119" s="667"/>
      <c r="Q119" s="21">
        <f t="shared" si="31"/>
        <v>1</v>
      </c>
      <c r="R119" s="663">
        <f t="shared" si="32"/>
        <v>0</v>
      </c>
      <c r="S119" s="316">
        <f t="shared" si="23"/>
        <v>0</v>
      </c>
    </row>
    <row r="120" spans="1:19">
      <c r="A120" s="150"/>
      <c r="B120" s="54"/>
      <c r="C120" s="21">
        <f t="shared" si="24"/>
        <v>1</v>
      </c>
      <c r="D120" s="667"/>
      <c r="E120" s="21">
        <f t="shared" si="25"/>
        <v>1</v>
      </c>
      <c r="F120" s="667"/>
      <c r="G120" s="21">
        <f t="shared" si="26"/>
        <v>1</v>
      </c>
      <c r="H120" s="667"/>
      <c r="I120" s="21">
        <f t="shared" si="27"/>
        <v>1</v>
      </c>
      <c r="J120" s="667"/>
      <c r="K120" s="21">
        <f t="shared" si="28"/>
        <v>1</v>
      </c>
      <c r="L120" s="667"/>
      <c r="M120" s="21">
        <f t="shared" si="29"/>
        <v>1</v>
      </c>
      <c r="N120" s="667"/>
      <c r="O120" s="21">
        <f t="shared" si="30"/>
        <v>1</v>
      </c>
      <c r="P120" s="667"/>
      <c r="Q120" s="21">
        <f t="shared" si="31"/>
        <v>1</v>
      </c>
      <c r="R120" s="663">
        <f t="shared" si="32"/>
        <v>0</v>
      </c>
      <c r="S120" s="316">
        <f t="shared" si="23"/>
        <v>0</v>
      </c>
    </row>
    <row r="121" spans="1:19">
      <c r="A121" s="150"/>
      <c r="B121" s="54"/>
      <c r="C121" s="21">
        <f t="shared" si="24"/>
        <v>1</v>
      </c>
      <c r="D121" s="667"/>
      <c r="E121" s="21">
        <f t="shared" si="25"/>
        <v>1</v>
      </c>
      <c r="F121" s="667"/>
      <c r="G121" s="21">
        <f t="shared" si="26"/>
        <v>1</v>
      </c>
      <c r="H121" s="667"/>
      <c r="I121" s="21">
        <f t="shared" si="27"/>
        <v>1</v>
      </c>
      <c r="J121" s="667"/>
      <c r="K121" s="21">
        <f t="shared" si="28"/>
        <v>1</v>
      </c>
      <c r="L121" s="667"/>
      <c r="M121" s="21">
        <f t="shared" si="29"/>
        <v>1</v>
      </c>
      <c r="N121" s="667"/>
      <c r="O121" s="21">
        <f t="shared" si="30"/>
        <v>1</v>
      </c>
      <c r="P121" s="667"/>
      <c r="Q121" s="21">
        <f t="shared" si="31"/>
        <v>1</v>
      </c>
      <c r="R121" s="663">
        <f t="shared" si="32"/>
        <v>0</v>
      </c>
      <c r="S121" s="316">
        <f t="shared" si="23"/>
        <v>0</v>
      </c>
    </row>
    <row r="122" spans="1:19">
      <c r="A122" s="150"/>
      <c r="B122" s="54"/>
      <c r="C122" s="21">
        <f t="shared" si="24"/>
        <v>1</v>
      </c>
      <c r="D122" s="667"/>
      <c r="E122" s="21">
        <f t="shared" si="25"/>
        <v>1</v>
      </c>
      <c r="F122" s="667"/>
      <c r="G122" s="21">
        <f t="shared" si="26"/>
        <v>1</v>
      </c>
      <c r="H122" s="667"/>
      <c r="I122" s="21">
        <f t="shared" si="27"/>
        <v>1</v>
      </c>
      <c r="J122" s="667"/>
      <c r="K122" s="21">
        <f t="shared" si="28"/>
        <v>1</v>
      </c>
      <c r="L122" s="667"/>
      <c r="M122" s="21">
        <f t="shared" si="29"/>
        <v>1</v>
      </c>
      <c r="N122" s="667"/>
      <c r="O122" s="21">
        <f t="shared" si="30"/>
        <v>1</v>
      </c>
      <c r="P122" s="667"/>
      <c r="Q122" s="21">
        <f t="shared" si="31"/>
        <v>1</v>
      </c>
      <c r="R122" s="663">
        <f t="shared" si="32"/>
        <v>0</v>
      </c>
      <c r="S122" s="316">
        <f t="shared" si="23"/>
        <v>0</v>
      </c>
    </row>
    <row r="123" spans="1:19">
      <c r="A123" s="150"/>
      <c r="B123" s="54"/>
      <c r="C123" s="21">
        <f t="shared" si="24"/>
        <v>1</v>
      </c>
      <c r="D123" s="667"/>
      <c r="E123" s="21">
        <f t="shared" si="25"/>
        <v>1</v>
      </c>
      <c r="F123" s="667"/>
      <c r="G123" s="21">
        <f t="shared" si="26"/>
        <v>1</v>
      </c>
      <c r="H123" s="667"/>
      <c r="I123" s="21">
        <f t="shared" si="27"/>
        <v>1</v>
      </c>
      <c r="J123" s="667"/>
      <c r="K123" s="21">
        <f t="shared" si="28"/>
        <v>1</v>
      </c>
      <c r="L123" s="667"/>
      <c r="M123" s="21">
        <f t="shared" si="29"/>
        <v>1</v>
      </c>
      <c r="N123" s="667"/>
      <c r="O123" s="21">
        <f t="shared" si="30"/>
        <v>1</v>
      </c>
      <c r="P123" s="667"/>
      <c r="Q123" s="21">
        <f t="shared" si="31"/>
        <v>1</v>
      </c>
      <c r="R123" s="663">
        <f t="shared" si="32"/>
        <v>0</v>
      </c>
      <c r="S123" s="316">
        <f t="shared" ref="S123:S186" si="33">ROUND(R123*B123/10000,0)</f>
        <v>0</v>
      </c>
    </row>
    <row r="124" spans="1:19">
      <c r="A124" s="150"/>
      <c r="B124" s="54"/>
      <c r="C124" s="21">
        <f t="shared" si="24"/>
        <v>1</v>
      </c>
      <c r="D124" s="667"/>
      <c r="E124" s="21">
        <f t="shared" si="25"/>
        <v>1</v>
      </c>
      <c r="F124" s="667"/>
      <c r="G124" s="21">
        <f t="shared" si="26"/>
        <v>1</v>
      </c>
      <c r="H124" s="667"/>
      <c r="I124" s="21">
        <f t="shared" si="27"/>
        <v>1</v>
      </c>
      <c r="J124" s="667"/>
      <c r="K124" s="21">
        <f t="shared" si="28"/>
        <v>1</v>
      </c>
      <c r="L124" s="667"/>
      <c r="M124" s="21">
        <f t="shared" si="29"/>
        <v>1</v>
      </c>
      <c r="N124" s="667"/>
      <c r="O124" s="21">
        <f t="shared" si="30"/>
        <v>1</v>
      </c>
      <c r="P124" s="667"/>
      <c r="Q124" s="21">
        <f t="shared" si="31"/>
        <v>1</v>
      </c>
      <c r="R124" s="663">
        <f t="shared" si="32"/>
        <v>0</v>
      </c>
      <c r="S124" s="316">
        <f t="shared" si="33"/>
        <v>0</v>
      </c>
    </row>
    <row r="125" spans="1:19">
      <c r="A125" s="150"/>
      <c r="B125" s="54"/>
      <c r="C125" s="21">
        <f t="shared" si="24"/>
        <v>1</v>
      </c>
      <c r="D125" s="667"/>
      <c r="E125" s="21">
        <f t="shared" si="25"/>
        <v>1</v>
      </c>
      <c r="F125" s="667"/>
      <c r="G125" s="21">
        <f t="shared" si="26"/>
        <v>1</v>
      </c>
      <c r="H125" s="667"/>
      <c r="I125" s="21">
        <f t="shared" si="27"/>
        <v>1</v>
      </c>
      <c r="J125" s="667"/>
      <c r="K125" s="21">
        <f t="shared" si="28"/>
        <v>1</v>
      </c>
      <c r="L125" s="667"/>
      <c r="M125" s="21">
        <f t="shared" si="29"/>
        <v>1</v>
      </c>
      <c r="N125" s="667"/>
      <c r="O125" s="21">
        <f t="shared" si="30"/>
        <v>1</v>
      </c>
      <c r="P125" s="667"/>
      <c r="Q125" s="21">
        <f t="shared" si="31"/>
        <v>1</v>
      </c>
      <c r="R125" s="663">
        <f t="shared" si="32"/>
        <v>0</v>
      </c>
      <c r="S125" s="316">
        <f t="shared" si="33"/>
        <v>0</v>
      </c>
    </row>
    <row r="126" spans="1:19">
      <c r="A126" s="150"/>
      <c r="B126" s="54"/>
      <c r="C126" s="21">
        <f t="shared" si="24"/>
        <v>1</v>
      </c>
      <c r="D126" s="667"/>
      <c r="E126" s="21">
        <f t="shared" si="25"/>
        <v>1</v>
      </c>
      <c r="F126" s="667"/>
      <c r="G126" s="21">
        <f t="shared" si="26"/>
        <v>1</v>
      </c>
      <c r="H126" s="667"/>
      <c r="I126" s="21">
        <f t="shared" si="27"/>
        <v>1</v>
      </c>
      <c r="J126" s="667"/>
      <c r="K126" s="21">
        <f t="shared" si="28"/>
        <v>1</v>
      </c>
      <c r="L126" s="667"/>
      <c r="M126" s="21">
        <f t="shared" si="29"/>
        <v>1</v>
      </c>
      <c r="N126" s="667"/>
      <c r="O126" s="21">
        <f t="shared" si="30"/>
        <v>1</v>
      </c>
      <c r="P126" s="667"/>
      <c r="Q126" s="21">
        <f t="shared" si="31"/>
        <v>1</v>
      </c>
      <c r="R126" s="663">
        <f t="shared" si="32"/>
        <v>0</v>
      </c>
      <c r="S126" s="316">
        <f t="shared" si="33"/>
        <v>0</v>
      </c>
    </row>
    <row r="127" spans="1:19">
      <c r="A127" s="150"/>
      <c r="B127" s="54"/>
      <c r="C127" s="21">
        <f t="shared" si="24"/>
        <v>1</v>
      </c>
      <c r="D127" s="667"/>
      <c r="E127" s="21">
        <f t="shared" si="25"/>
        <v>1</v>
      </c>
      <c r="F127" s="667"/>
      <c r="G127" s="21">
        <f t="shared" si="26"/>
        <v>1</v>
      </c>
      <c r="H127" s="667"/>
      <c r="I127" s="21">
        <f t="shared" si="27"/>
        <v>1</v>
      </c>
      <c r="J127" s="667"/>
      <c r="K127" s="21">
        <f t="shared" si="28"/>
        <v>1</v>
      </c>
      <c r="L127" s="667"/>
      <c r="M127" s="21">
        <f t="shared" si="29"/>
        <v>1</v>
      </c>
      <c r="N127" s="667"/>
      <c r="O127" s="21">
        <f t="shared" si="30"/>
        <v>1</v>
      </c>
      <c r="P127" s="667"/>
      <c r="Q127" s="21">
        <f t="shared" si="31"/>
        <v>1</v>
      </c>
      <c r="R127" s="663">
        <f t="shared" si="32"/>
        <v>0</v>
      </c>
      <c r="S127" s="316">
        <f t="shared" si="33"/>
        <v>0</v>
      </c>
    </row>
    <row r="128" spans="1:19">
      <c r="A128" s="150"/>
      <c r="B128" s="54"/>
      <c r="C128" s="21">
        <f t="shared" si="24"/>
        <v>1</v>
      </c>
      <c r="D128" s="667"/>
      <c r="E128" s="21">
        <f t="shared" si="25"/>
        <v>1</v>
      </c>
      <c r="F128" s="667"/>
      <c r="G128" s="21">
        <f t="shared" si="26"/>
        <v>1</v>
      </c>
      <c r="H128" s="667"/>
      <c r="I128" s="21">
        <f t="shared" si="27"/>
        <v>1</v>
      </c>
      <c r="J128" s="667"/>
      <c r="K128" s="21">
        <f t="shared" si="28"/>
        <v>1</v>
      </c>
      <c r="L128" s="667"/>
      <c r="M128" s="21">
        <f t="shared" si="29"/>
        <v>1</v>
      </c>
      <c r="N128" s="667"/>
      <c r="O128" s="21">
        <f t="shared" si="30"/>
        <v>1</v>
      </c>
      <c r="P128" s="667"/>
      <c r="Q128" s="21">
        <f t="shared" si="31"/>
        <v>1</v>
      </c>
      <c r="R128" s="663">
        <f t="shared" si="32"/>
        <v>0</v>
      </c>
      <c r="S128" s="316">
        <f t="shared" si="33"/>
        <v>0</v>
      </c>
    </row>
    <row r="129" spans="1:19">
      <c r="A129" s="150"/>
      <c r="B129" s="54"/>
      <c r="C129" s="21">
        <f t="shared" si="24"/>
        <v>1</v>
      </c>
      <c r="D129" s="667"/>
      <c r="E129" s="21">
        <f t="shared" si="25"/>
        <v>1</v>
      </c>
      <c r="F129" s="667"/>
      <c r="G129" s="21">
        <f t="shared" si="26"/>
        <v>1</v>
      </c>
      <c r="H129" s="667"/>
      <c r="I129" s="21">
        <f t="shared" si="27"/>
        <v>1</v>
      </c>
      <c r="J129" s="667"/>
      <c r="K129" s="21">
        <f t="shared" si="28"/>
        <v>1</v>
      </c>
      <c r="L129" s="667"/>
      <c r="M129" s="21">
        <f t="shared" si="29"/>
        <v>1</v>
      </c>
      <c r="N129" s="667"/>
      <c r="O129" s="21">
        <f t="shared" si="30"/>
        <v>1</v>
      </c>
      <c r="P129" s="667"/>
      <c r="Q129" s="21">
        <f t="shared" si="31"/>
        <v>1</v>
      </c>
      <c r="R129" s="663">
        <f t="shared" si="32"/>
        <v>0</v>
      </c>
      <c r="S129" s="316">
        <f t="shared" si="33"/>
        <v>0</v>
      </c>
    </row>
    <row r="130" spans="1:19">
      <c r="A130" s="150"/>
      <c r="B130" s="54"/>
      <c r="C130" s="21">
        <f t="shared" si="24"/>
        <v>1</v>
      </c>
      <c r="D130" s="667"/>
      <c r="E130" s="21">
        <f t="shared" si="25"/>
        <v>1</v>
      </c>
      <c r="F130" s="667"/>
      <c r="G130" s="21">
        <f t="shared" si="26"/>
        <v>1</v>
      </c>
      <c r="H130" s="667"/>
      <c r="I130" s="21">
        <f t="shared" si="27"/>
        <v>1</v>
      </c>
      <c r="J130" s="667"/>
      <c r="K130" s="21">
        <f t="shared" si="28"/>
        <v>1</v>
      </c>
      <c r="L130" s="667"/>
      <c r="M130" s="21">
        <f t="shared" si="29"/>
        <v>1</v>
      </c>
      <c r="N130" s="667"/>
      <c r="O130" s="21">
        <f t="shared" si="30"/>
        <v>1</v>
      </c>
      <c r="P130" s="667"/>
      <c r="Q130" s="21">
        <f t="shared" si="31"/>
        <v>1</v>
      </c>
      <c r="R130" s="663">
        <f t="shared" si="32"/>
        <v>0</v>
      </c>
      <c r="S130" s="316">
        <f t="shared" si="33"/>
        <v>0</v>
      </c>
    </row>
    <row r="131" spans="1:19">
      <c r="A131" s="150"/>
      <c r="B131" s="54"/>
      <c r="C131" s="21">
        <f t="shared" si="24"/>
        <v>1</v>
      </c>
      <c r="D131" s="667"/>
      <c r="E131" s="21">
        <f t="shared" si="25"/>
        <v>1</v>
      </c>
      <c r="F131" s="667"/>
      <c r="G131" s="21">
        <f t="shared" si="26"/>
        <v>1</v>
      </c>
      <c r="H131" s="667"/>
      <c r="I131" s="21">
        <f t="shared" si="27"/>
        <v>1</v>
      </c>
      <c r="J131" s="667"/>
      <c r="K131" s="21">
        <f t="shared" si="28"/>
        <v>1</v>
      </c>
      <c r="L131" s="667"/>
      <c r="M131" s="21">
        <f t="shared" si="29"/>
        <v>1</v>
      </c>
      <c r="N131" s="667"/>
      <c r="O131" s="21">
        <f t="shared" si="30"/>
        <v>1</v>
      </c>
      <c r="P131" s="667"/>
      <c r="Q131" s="21">
        <f t="shared" si="31"/>
        <v>1</v>
      </c>
      <c r="R131" s="663">
        <f t="shared" si="32"/>
        <v>0</v>
      </c>
      <c r="S131" s="316">
        <f t="shared" si="33"/>
        <v>0</v>
      </c>
    </row>
    <row r="132" spans="1:19">
      <c r="A132" s="150"/>
      <c r="B132" s="54"/>
      <c r="C132" s="21">
        <f t="shared" si="24"/>
        <v>1</v>
      </c>
      <c r="D132" s="667"/>
      <c r="E132" s="21">
        <f t="shared" si="25"/>
        <v>1</v>
      </c>
      <c r="F132" s="667"/>
      <c r="G132" s="21">
        <f t="shared" si="26"/>
        <v>1</v>
      </c>
      <c r="H132" s="667"/>
      <c r="I132" s="21">
        <f t="shared" si="27"/>
        <v>1</v>
      </c>
      <c r="J132" s="667"/>
      <c r="K132" s="21">
        <f t="shared" si="28"/>
        <v>1</v>
      </c>
      <c r="L132" s="667"/>
      <c r="M132" s="21">
        <f t="shared" si="29"/>
        <v>1</v>
      </c>
      <c r="N132" s="667"/>
      <c r="O132" s="21">
        <f t="shared" si="30"/>
        <v>1</v>
      </c>
      <c r="P132" s="667"/>
      <c r="Q132" s="21">
        <f t="shared" si="31"/>
        <v>1</v>
      </c>
      <c r="R132" s="663">
        <f t="shared" si="32"/>
        <v>0</v>
      </c>
      <c r="S132" s="316">
        <f t="shared" si="33"/>
        <v>0</v>
      </c>
    </row>
    <row r="133" spans="1:19">
      <c r="A133" s="150"/>
      <c r="B133" s="54"/>
      <c r="C133" s="21">
        <f t="shared" si="24"/>
        <v>1</v>
      </c>
      <c r="D133" s="667"/>
      <c r="E133" s="21">
        <f t="shared" si="25"/>
        <v>1</v>
      </c>
      <c r="F133" s="667"/>
      <c r="G133" s="21">
        <f t="shared" si="26"/>
        <v>1</v>
      </c>
      <c r="H133" s="667"/>
      <c r="I133" s="21">
        <f t="shared" si="27"/>
        <v>1</v>
      </c>
      <c r="J133" s="667"/>
      <c r="K133" s="21">
        <f t="shared" si="28"/>
        <v>1</v>
      </c>
      <c r="L133" s="667"/>
      <c r="M133" s="21">
        <f t="shared" si="29"/>
        <v>1</v>
      </c>
      <c r="N133" s="667"/>
      <c r="O133" s="21">
        <f t="shared" si="30"/>
        <v>1</v>
      </c>
      <c r="P133" s="667"/>
      <c r="Q133" s="21">
        <f t="shared" si="31"/>
        <v>1</v>
      </c>
      <c r="R133" s="663">
        <f t="shared" si="32"/>
        <v>0</v>
      </c>
      <c r="S133" s="316">
        <f t="shared" si="33"/>
        <v>0</v>
      </c>
    </row>
    <row r="134" spans="1:19">
      <c r="A134" s="150"/>
      <c r="B134" s="54"/>
      <c r="C134" s="21">
        <f t="shared" si="24"/>
        <v>1</v>
      </c>
      <c r="D134" s="667"/>
      <c r="E134" s="21">
        <f t="shared" si="25"/>
        <v>1</v>
      </c>
      <c r="F134" s="667"/>
      <c r="G134" s="21">
        <f t="shared" si="26"/>
        <v>1</v>
      </c>
      <c r="H134" s="667"/>
      <c r="I134" s="21">
        <f t="shared" si="27"/>
        <v>1</v>
      </c>
      <c r="J134" s="667"/>
      <c r="K134" s="21">
        <f t="shared" si="28"/>
        <v>1</v>
      </c>
      <c r="L134" s="667"/>
      <c r="M134" s="21">
        <f t="shared" si="29"/>
        <v>1</v>
      </c>
      <c r="N134" s="667"/>
      <c r="O134" s="21">
        <f t="shared" si="30"/>
        <v>1</v>
      </c>
      <c r="P134" s="667"/>
      <c r="Q134" s="21">
        <f t="shared" si="31"/>
        <v>1</v>
      </c>
      <c r="R134" s="663">
        <f t="shared" si="32"/>
        <v>0</v>
      </c>
      <c r="S134" s="316">
        <f t="shared" si="33"/>
        <v>0</v>
      </c>
    </row>
    <row r="135" spans="1:19">
      <c r="A135" s="150"/>
      <c r="B135" s="54"/>
      <c r="C135" s="21">
        <f t="shared" si="24"/>
        <v>1</v>
      </c>
      <c r="D135" s="667"/>
      <c r="E135" s="21">
        <f t="shared" si="25"/>
        <v>1</v>
      </c>
      <c r="F135" s="667"/>
      <c r="G135" s="21">
        <f t="shared" si="26"/>
        <v>1</v>
      </c>
      <c r="H135" s="667"/>
      <c r="I135" s="21">
        <f t="shared" si="27"/>
        <v>1</v>
      </c>
      <c r="J135" s="667"/>
      <c r="K135" s="21">
        <f t="shared" si="28"/>
        <v>1</v>
      </c>
      <c r="L135" s="667"/>
      <c r="M135" s="21">
        <f t="shared" si="29"/>
        <v>1</v>
      </c>
      <c r="N135" s="667"/>
      <c r="O135" s="21">
        <f t="shared" si="30"/>
        <v>1</v>
      </c>
      <c r="P135" s="667"/>
      <c r="Q135" s="21">
        <f t="shared" si="31"/>
        <v>1</v>
      </c>
      <c r="R135" s="663">
        <f t="shared" si="32"/>
        <v>0</v>
      </c>
      <c r="S135" s="316">
        <f t="shared" si="33"/>
        <v>0</v>
      </c>
    </row>
    <row r="136" spans="1:19">
      <c r="A136" s="150"/>
      <c r="B136" s="54"/>
      <c r="C136" s="21">
        <f t="shared" si="24"/>
        <v>1</v>
      </c>
      <c r="D136" s="667"/>
      <c r="E136" s="21">
        <f t="shared" si="25"/>
        <v>1</v>
      </c>
      <c r="F136" s="667"/>
      <c r="G136" s="21">
        <f t="shared" si="26"/>
        <v>1</v>
      </c>
      <c r="H136" s="667"/>
      <c r="I136" s="21">
        <f t="shared" si="27"/>
        <v>1</v>
      </c>
      <c r="J136" s="667"/>
      <c r="K136" s="21">
        <f t="shared" si="28"/>
        <v>1</v>
      </c>
      <c r="L136" s="667"/>
      <c r="M136" s="21">
        <f t="shared" si="29"/>
        <v>1</v>
      </c>
      <c r="N136" s="667"/>
      <c r="O136" s="21">
        <f t="shared" si="30"/>
        <v>1</v>
      </c>
      <c r="P136" s="667"/>
      <c r="Q136" s="21">
        <f t="shared" si="31"/>
        <v>1</v>
      </c>
      <c r="R136" s="663">
        <f t="shared" si="32"/>
        <v>0</v>
      </c>
      <c r="S136" s="316">
        <f t="shared" si="33"/>
        <v>0</v>
      </c>
    </row>
    <row r="137" spans="1:19">
      <c r="A137" s="150"/>
      <c r="B137" s="54"/>
      <c r="C137" s="21">
        <f t="shared" si="24"/>
        <v>1</v>
      </c>
      <c r="D137" s="667"/>
      <c r="E137" s="21">
        <f t="shared" si="25"/>
        <v>1</v>
      </c>
      <c r="F137" s="667"/>
      <c r="G137" s="21">
        <f t="shared" si="26"/>
        <v>1</v>
      </c>
      <c r="H137" s="667"/>
      <c r="I137" s="21">
        <f t="shared" si="27"/>
        <v>1</v>
      </c>
      <c r="J137" s="667"/>
      <c r="K137" s="21">
        <f t="shared" si="28"/>
        <v>1</v>
      </c>
      <c r="L137" s="667"/>
      <c r="M137" s="21">
        <f t="shared" si="29"/>
        <v>1</v>
      </c>
      <c r="N137" s="667"/>
      <c r="O137" s="21">
        <f t="shared" si="30"/>
        <v>1</v>
      </c>
      <c r="P137" s="667"/>
      <c r="Q137" s="21">
        <f t="shared" si="31"/>
        <v>1</v>
      </c>
      <c r="R137" s="663">
        <f t="shared" si="32"/>
        <v>0</v>
      </c>
      <c r="S137" s="316">
        <f t="shared" si="33"/>
        <v>0</v>
      </c>
    </row>
    <row r="138" spans="1:19">
      <c r="A138" s="150"/>
      <c r="B138" s="54"/>
      <c r="C138" s="21">
        <f t="shared" si="24"/>
        <v>1</v>
      </c>
      <c r="D138" s="667"/>
      <c r="E138" s="21">
        <f t="shared" si="25"/>
        <v>1</v>
      </c>
      <c r="F138" s="667"/>
      <c r="G138" s="21">
        <f t="shared" si="26"/>
        <v>1</v>
      </c>
      <c r="H138" s="667"/>
      <c r="I138" s="21">
        <f t="shared" si="27"/>
        <v>1</v>
      </c>
      <c r="J138" s="667"/>
      <c r="K138" s="21">
        <f t="shared" si="28"/>
        <v>1</v>
      </c>
      <c r="L138" s="667"/>
      <c r="M138" s="21">
        <f t="shared" si="29"/>
        <v>1</v>
      </c>
      <c r="N138" s="667"/>
      <c r="O138" s="21">
        <f t="shared" si="30"/>
        <v>1</v>
      </c>
      <c r="P138" s="667"/>
      <c r="Q138" s="21">
        <f t="shared" si="31"/>
        <v>1</v>
      </c>
      <c r="R138" s="663">
        <f t="shared" si="32"/>
        <v>0</v>
      </c>
      <c r="S138" s="316">
        <f t="shared" si="33"/>
        <v>0</v>
      </c>
    </row>
    <row r="139" spans="1:19">
      <c r="A139" s="150"/>
      <c r="B139" s="54"/>
      <c r="C139" s="21">
        <f t="shared" si="24"/>
        <v>1</v>
      </c>
      <c r="D139" s="667"/>
      <c r="E139" s="21">
        <f t="shared" si="25"/>
        <v>1</v>
      </c>
      <c r="F139" s="667"/>
      <c r="G139" s="21">
        <f t="shared" si="26"/>
        <v>1</v>
      </c>
      <c r="H139" s="667"/>
      <c r="I139" s="21">
        <f t="shared" si="27"/>
        <v>1</v>
      </c>
      <c r="J139" s="667"/>
      <c r="K139" s="21">
        <f t="shared" si="28"/>
        <v>1</v>
      </c>
      <c r="L139" s="667"/>
      <c r="M139" s="21">
        <f t="shared" si="29"/>
        <v>1</v>
      </c>
      <c r="N139" s="667"/>
      <c r="O139" s="21">
        <f t="shared" si="30"/>
        <v>1</v>
      </c>
      <c r="P139" s="667"/>
      <c r="Q139" s="21">
        <f t="shared" si="31"/>
        <v>1</v>
      </c>
      <c r="R139" s="663">
        <f t="shared" si="32"/>
        <v>0</v>
      </c>
      <c r="S139" s="316">
        <f t="shared" si="33"/>
        <v>0</v>
      </c>
    </row>
    <row r="140" spans="1:19">
      <c r="A140" s="150"/>
      <c r="B140" s="54"/>
      <c r="C140" s="21">
        <f t="shared" si="24"/>
        <v>1</v>
      </c>
      <c r="D140" s="667"/>
      <c r="E140" s="21">
        <f t="shared" si="25"/>
        <v>1</v>
      </c>
      <c r="F140" s="667"/>
      <c r="G140" s="21">
        <f t="shared" si="26"/>
        <v>1</v>
      </c>
      <c r="H140" s="667"/>
      <c r="I140" s="21">
        <f t="shared" si="27"/>
        <v>1</v>
      </c>
      <c r="J140" s="667"/>
      <c r="K140" s="21">
        <f t="shared" si="28"/>
        <v>1</v>
      </c>
      <c r="L140" s="667"/>
      <c r="M140" s="21">
        <f t="shared" si="29"/>
        <v>1</v>
      </c>
      <c r="N140" s="667"/>
      <c r="O140" s="21">
        <f t="shared" si="30"/>
        <v>1</v>
      </c>
      <c r="P140" s="667"/>
      <c r="Q140" s="21">
        <f t="shared" si="31"/>
        <v>1</v>
      </c>
      <c r="R140" s="663">
        <f t="shared" si="32"/>
        <v>0</v>
      </c>
      <c r="S140" s="316">
        <f t="shared" si="33"/>
        <v>0</v>
      </c>
    </row>
    <row r="141" spans="1:19">
      <c r="A141" s="150"/>
      <c r="B141" s="54"/>
      <c r="C141" s="21">
        <f t="shared" si="24"/>
        <v>1</v>
      </c>
      <c r="D141" s="667"/>
      <c r="E141" s="21">
        <f t="shared" si="25"/>
        <v>1</v>
      </c>
      <c r="F141" s="667"/>
      <c r="G141" s="21">
        <f t="shared" si="26"/>
        <v>1</v>
      </c>
      <c r="H141" s="667"/>
      <c r="I141" s="21">
        <f t="shared" si="27"/>
        <v>1</v>
      </c>
      <c r="J141" s="667"/>
      <c r="K141" s="21">
        <f t="shared" si="28"/>
        <v>1</v>
      </c>
      <c r="L141" s="667"/>
      <c r="M141" s="21">
        <f t="shared" si="29"/>
        <v>1</v>
      </c>
      <c r="N141" s="667"/>
      <c r="O141" s="21">
        <f t="shared" si="30"/>
        <v>1</v>
      </c>
      <c r="P141" s="667"/>
      <c r="Q141" s="21">
        <f t="shared" si="31"/>
        <v>1</v>
      </c>
      <c r="R141" s="663">
        <f t="shared" si="32"/>
        <v>0</v>
      </c>
      <c r="S141" s="316">
        <f t="shared" si="33"/>
        <v>0</v>
      </c>
    </row>
    <row r="142" spans="1:19">
      <c r="A142" s="150"/>
      <c r="B142" s="54"/>
      <c r="C142" s="21">
        <f t="shared" si="24"/>
        <v>1</v>
      </c>
      <c r="D142" s="667"/>
      <c r="E142" s="21">
        <f t="shared" si="25"/>
        <v>1</v>
      </c>
      <c r="F142" s="667"/>
      <c r="G142" s="21">
        <f t="shared" si="26"/>
        <v>1</v>
      </c>
      <c r="H142" s="667"/>
      <c r="I142" s="21">
        <f t="shared" si="27"/>
        <v>1</v>
      </c>
      <c r="J142" s="667"/>
      <c r="K142" s="21">
        <f t="shared" si="28"/>
        <v>1</v>
      </c>
      <c r="L142" s="667"/>
      <c r="M142" s="21">
        <f t="shared" si="29"/>
        <v>1</v>
      </c>
      <c r="N142" s="667"/>
      <c r="O142" s="21">
        <f t="shared" si="30"/>
        <v>1</v>
      </c>
      <c r="P142" s="667"/>
      <c r="Q142" s="21">
        <f t="shared" si="31"/>
        <v>1</v>
      </c>
      <c r="R142" s="663">
        <f t="shared" si="32"/>
        <v>0</v>
      </c>
      <c r="S142" s="316">
        <f t="shared" si="33"/>
        <v>0</v>
      </c>
    </row>
    <row r="143" spans="1:19">
      <c r="A143" s="150"/>
      <c r="B143" s="54"/>
      <c r="C143" s="21">
        <f t="shared" si="24"/>
        <v>1</v>
      </c>
      <c r="D143" s="667"/>
      <c r="E143" s="21">
        <f t="shared" si="25"/>
        <v>1</v>
      </c>
      <c r="F143" s="667"/>
      <c r="G143" s="21">
        <f t="shared" si="26"/>
        <v>1</v>
      </c>
      <c r="H143" s="667"/>
      <c r="I143" s="21">
        <f t="shared" si="27"/>
        <v>1</v>
      </c>
      <c r="J143" s="667"/>
      <c r="K143" s="21">
        <f t="shared" si="28"/>
        <v>1</v>
      </c>
      <c r="L143" s="667"/>
      <c r="M143" s="21">
        <f t="shared" si="29"/>
        <v>1</v>
      </c>
      <c r="N143" s="667"/>
      <c r="O143" s="21">
        <f t="shared" si="30"/>
        <v>1</v>
      </c>
      <c r="P143" s="667"/>
      <c r="Q143" s="21">
        <f t="shared" si="31"/>
        <v>1</v>
      </c>
      <c r="R143" s="663">
        <f t="shared" si="32"/>
        <v>0</v>
      </c>
      <c r="S143" s="316">
        <f t="shared" si="33"/>
        <v>0</v>
      </c>
    </row>
    <row r="144" spans="1:19">
      <c r="A144" s="150"/>
      <c r="B144" s="54"/>
      <c r="C144" s="21">
        <f t="shared" si="24"/>
        <v>1</v>
      </c>
      <c r="D144" s="667"/>
      <c r="E144" s="21">
        <f t="shared" si="25"/>
        <v>1</v>
      </c>
      <c r="F144" s="667"/>
      <c r="G144" s="21">
        <f t="shared" si="26"/>
        <v>1</v>
      </c>
      <c r="H144" s="667"/>
      <c r="I144" s="21">
        <f t="shared" si="27"/>
        <v>1</v>
      </c>
      <c r="J144" s="667"/>
      <c r="K144" s="21">
        <f t="shared" si="28"/>
        <v>1</v>
      </c>
      <c r="L144" s="667"/>
      <c r="M144" s="21">
        <f t="shared" si="29"/>
        <v>1</v>
      </c>
      <c r="N144" s="667"/>
      <c r="O144" s="21">
        <f t="shared" si="30"/>
        <v>1</v>
      </c>
      <c r="P144" s="667"/>
      <c r="Q144" s="21">
        <f t="shared" si="31"/>
        <v>1</v>
      </c>
      <c r="R144" s="663">
        <f t="shared" si="32"/>
        <v>0</v>
      </c>
      <c r="S144" s="316">
        <f t="shared" si="33"/>
        <v>0</v>
      </c>
    </row>
    <row r="145" spans="1:19">
      <c r="A145" s="150"/>
      <c r="B145" s="54"/>
      <c r="C145" s="21">
        <f t="shared" si="24"/>
        <v>1</v>
      </c>
      <c r="D145" s="667"/>
      <c r="E145" s="21">
        <f t="shared" si="25"/>
        <v>1</v>
      </c>
      <c r="F145" s="667"/>
      <c r="G145" s="21">
        <f t="shared" si="26"/>
        <v>1</v>
      </c>
      <c r="H145" s="667"/>
      <c r="I145" s="21">
        <f t="shared" si="27"/>
        <v>1</v>
      </c>
      <c r="J145" s="667"/>
      <c r="K145" s="21">
        <f t="shared" si="28"/>
        <v>1</v>
      </c>
      <c r="L145" s="667"/>
      <c r="M145" s="21">
        <f t="shared" si="29"/>
        <v>1</v>
      </c>
      <c r="N145" s="667"/>
      <c r="O145" s="21">
        <f t="shared" si="30"/>
        <v>1</v>
      </c>
      <c r="P145" s="667"/>
      <c r="Q145" s="21">
        <f t="shared" si="31"/>
        <v>1</v>
      </c>
      <c r="R145" s="663">
        <f t="shared" si="32"/>
        <v>0</v>
      </c>
      <c r="S145" s="316">
        <f t="shared" si="33"/>
        <v>0</v>
      </c>
    </row>
    <row r="146" spans="1:19">
      <c r="A146" s="150"/>
      <c r="B146" s="54"/>
      <c r="C146" s="21">
        <f t="shared" si="24"/>
        <v>1</v>
      </c>
      <c r="D146" s="667"/>
      <c r="E146" s="21">
        <f t="shared" si="25"/>
        <v>1</v>
      </c>
      <c r="F146" s="667"/>
      <c r="G146" s="21">
        <f t="shared" si="26"/>
        <v>1</v>
      </c>
      <c r="H146" s="667"/>
      <c r="I146" s="21">
        <f t="shared" si="27"/>
        <v>1</v>
      </c>
      <c r="J146" s="667"/>
      <c r="K146" s="21">
        <f t="shared" si="28"/>
        <v>1</v>
      </c>
      <c r="L146" s="667"/>
      <c r="M146" s="21">
        <f t="shared" si="29"/>
        <v>1</v>
      </c>
      <c r="N146" s="667"/>
      <c r="O146" s="21">
        <f t="shared" si="30"/>
        <v>1</v>
      </c>
      <c r="P146" s="667"/>
      <c r="Q146" s="21">
        <f t="shared" si="31"/>
        <v>1</v>
      </c>
      <c r="R146" s="663">
        <f t="shared" si="32"/>
        <v>0</v>
      </c>
      <c r="S146" s="316">
        <f t="shared" si="33"/>
        <v>0</v>
      </c>
    </row>
    <row r="147" spans="1:19">
      <c r="A147" s="150"/>
      <c r="B147" s="54"/>
      <c r="C147" s="21">
        <f t="shared" si="24"/>
        <v>1</v>
      </c>
      <c r="D147" s="667"/>
      <c r="E147" s="21">
        <f t="shared" si="25"/>
        <v>1</v>
      </c>
      <c r="F147" s="667"/>
      <c r="G147" s="21">
        <f t="shared" si="26"/>
        <v>1</v>
      </c>
      <c r="H147" s="667"/>
      <c r="I147" s="21">
        <f t="shared" si="27"/>
        <v>1</v>
      </c>
      <c r="J147" s="667"/>
      <c r="K147" s="21">
        <f t="shared" si="28"/>
        <v>1</v>
      </c>
      <c r="L147" s="667"/>
      <c r="M147" s="21">
        <f t="shared" si="29"/>
        <v>1</v>
      </c>
      <c r="N147" s="667"/>
      <c r="O147" s="21">
        <f t="shared" si="30"/>
        <v>1</v>
      </c>
      <c r="P147" s="667"/>
      <c r="Q147" s="21">
        <f t="shared" si="31"/>
        <v>1</v>
      </c>
      <c r="R147" s="663">
        <f t="shared" si="32"/>
        <v>0</v>
      </c>
      <c r="S147" s="316">
        <f t="shared" si="33"/>
        <v>0</v>
      </c>
    </row>
    <row r="148" spans="1:19">
      <c r="A148" s="150"/>
      <c r="B148" s="54"/>
      <c r="C148" s="21">
        <f t="shared" si="24"/>
        <v>1</v>
      </c>
      <c r="D148" s="667"/>
      <c r="E148" s="21">
        <f t="shared" si="25"/>
        <v>1</v>
      </c>
      <c r="F148" s="667"/>
      <c r="G148" s="21">
        <f t="shared" si="26"/>
        <v>1</v>
      </c>
      <c r="H148" s="667"/>
      <c r="I148" s="21">
        <f t="shared" si="27"/>
        <v>1</v>
      </c>
      <c r="J148" s="667"/>
      <c r="K148" s="21">
        <f t="shared" si="28"/>
        <v>1</v>
      </c>
      <c r="L148" s="667"/>
      <c r="M148" s="21">
        <f t="shared" si="29"/>
        <v>1</v>
      </c>
      <c r="N148" s="667"/>
      <c r="O148" s="21">
        <f t="shared" si="30"/>
        <v>1</v>
      </c>
      <c r="P148" s="667"/>
      <c r="Q148" s="21">
        <f t="shared" si="31"/>
        <v>1</v>
      </c>
      <c r="R148" s="663">
        <f t="shared" si="32"/>
        <v>0</v>
      </c>
      <c r="S148" s="316">
        <f t="shared" si="33"/>
        <v>0</v>
      </c>
    </row>
    <row r="149" spans="1:19">
      <c r="A149" s="150"/>
      <c r="B149" s="54"/>
      <c r="C149" s="21">
        <f t="shared" si="24"/>
        <v>1</v>
      </c>
      <c r="D149" s="667"/>
      <c r="E149" s="21">
        <f t="shared" si="25"/>
        <v>1</v>
      </c>
      <c r="F149" s="667"/>
      <c r="G149" s="21">
        <f t="shared" si="26"/>
        <v>1</v>
      </c>
      <c r="H149" s="667"/>
      <c r="I149" s="21">
        <f t="shared" si="27"/>
        <v>1</v>
      </c>
      <c r="J149" s="667"/>
      <c r="K149" s="21">
        <f t="shared" si="28"/>
        <v>1</v>
      </c>
      <c r="L149" s="667"/>
      <c r="M149" s="21">
        <f t="shared" si="29"/>
        <v>1</v>
      </c>
      <c r="N149" s="667"/>
      <c r="O149" s="21">
        <f t="shared" si="30"/>
        <v>1</v>
      </c>
      <c r="P149" s="667"/>
      <c r="Q149" s="21">
        <f t="shared" si="31"/>
        <v>1</v>
      </c>
      <c r="R149" s="663">
        <f t="shared" si="32"/>
        <v>0</v>
      </c>
      <c r="S149" s="316">
        <f t="shared" si="33"/>
        <v>0</v>
      </c>
    </row>
    <row r="150" spans="1:19">
      <c r="A150" s="150"/>
      <c r="B150" s="54"/>
      <c r="C150" s="21">
        <f t="shared" si="24"/>
        <v>1</v>
      </c>
      <c r="D150" s="667"/>
      <c r="E150" s="21">
        <f t="shared" si="25"/>
        <v>1</v>
      </c>
      <c r="F150" s="667"/>
      <c r="G150" s="21">
        <f t="shared" si="26"/>
        <v>1</v>
      </c>
      <c r="H150" s="667"/>
      <c r="I150" s="21">
        <f t="shared" si="27"/>
        <v>1</v>
      </c>
      <c r="J150" s="667"/>
      <c r="K150" s="21">
        <f t="shared" si="28"/>
        <v>1</v>
      </c>
      <c r="L150" s="667"/>
      <c r="M150" s="21">
        <f t="shared" si="29"/>
        <v>1</v>
      </c>
      <c r="N150" s="667"/>
      <c r="O150" s="21">
        <f t="shared" si="30"/>
        <v>1</v>
      </c>
      <c r="P150" s="667"/>
      <c r="Q150" s="21">
        <f t="shared" si="31"/>
        <v>1</v>
      </c>
      <c r="R150" s="663">
        <f t="shared" si="32"/>
        <v>0</v>
      </c>
      <c r="S150" s="316">
        <f t="shared" si="33"/>
        <v>0</v>
      </c>
    </row>
    <row r="151" spans="1:19">
      <c r="A151" s="150"/>
      <c r="B151" s="54"/>
      <c r="C151" s="21">
        <f t="shared" si="24"/>
        <v>1</v>
      </c>
      <c r="D151" s="667"/>
      <c r="E151" s="21">
        <f t="shared" si="25"/>
        <v>1</v>
      </c>
      <c r="F151" s="667"/>
      <c r="G151" s="21">
        <f t="shared" si="26"/>
        <v>1</v>
      </c>
      <c r="H151" s="667"/>
      <c r="I151" s="21">
        <f t="shared" si="27"/>
        <v>1</v>
      </c>
      <c r="J151" s="667"/>
      <c r="K151" s="21">
        <f t="shared" si="28"/>
        <v>1</v>
      </c>
      <c r="L151" s="667"/>
      <c r="M151" s="21">
        <f t="shared" si="29"/>
        <v>1</v>
      </c>
      <c r="N151" s="667"/>
      <c r="O151" s="21">
        <f t="shared" si="30"/>
        <v>1</v>
      </c>
      <c r="P151" s="667"/>
      <c r="Q151" s="21">
        <f t="shared" si="31"/>
        <v>1</v>
      </c>
      <c r="R151" s="663">
        <f t="shared" si="32"/>
        <v>0</v>
      </c>
      <c r="S151" s="316">
        <f t="shared" si="33"/>
        <v>0</v>
      </c>
    </row>
    <row r="152" spans="1:19">
      <c r="A152" s="150"/>
      <c r="B152" s="54"/>
      <c r="C152" s="21">
        <f t="shared" si="24"/>
        <v>1</v>
      </c>
      <c r="D152" s="667"/>
      <c r="E152" s="21">
        <f t="shared" si="25"/>
        <v>1</v>
      </c>
      <c r="F152" s="667"/>
      <c r="G152" s="21">
        <f t="shared" si="26"/>
        <v>1</v>
      </c>
      <c r="H152" s="667"/>
      <c r="I152" s="21">
        <f t="shared" si="27"/>
        <v>1</v>
      </c>
      <c r="J152" s="667"/>
      <c r="K152" s="21">
        <f t="shared" si="28"/>
        <v>1</v>
      </c>
      <c r="L152" s="667"/>
      <c r="M152" s="21">
        <f t="shared" si="29"/>
        <v>1</v>
      </c>
      <c r="N152" s="667"/>
      <c r="O152" s="21">
        <f t="shared" si="30"/>
        <v>1</v>
      </c>
      <c r="P152" s="667"/>
      <c r="Q152" s="21">
        <f t="shared" si="31"/>
        <v>1</v>
      </c>
      <c r="R152" s="663">
        <f t="shared" si="32"/>
        <v>0</v>
      </c>
      <c r="S152" s="316">
        <f t="shared" si="33"/>
        <v>0</v>
      </c>
    </row>
    <row r="153" spans="1:19">
      <c r="A153" s="150"/>
      <c r="B153" s="54"/>
      <c r="C153" s="21">
        <f t="shared" si="24"/>
        <v>1</v>
      </c>
      <c r="D153" s="667"/>
      <c r="E153" s="21">
        <f t="shared" si="25"/>
        <v>1</v>
      </c>
      <c r="F153" s="667"/>
      <c r="G153" s="21">
        <f t="shared" si="26"/>
        <v>1</v>
      </c>
      <c r="H153" s="667"/>
      <c r="I153" s="21">
        <f t="shared" si="27"/>
        <v>1</v>
      </c>
      <c r="J153" s="667"/>
      <c r="K153" s="21">
        <f t="shared" si="28"/>
        <v>1</v>
      </c>
      <c r="L153" s="667"/>
      <c r="M153" s="21">
        <f t="shared" si="29"/>
        <v>1</v>
      </c>
      <c r="N153" s="667"/>
      <c r="O153" s="21">
        <f t="shared" si="30"/>
        <v>1</v>
      </c>
      <c r="P153" s="667"/>
      <c r="Q153" s="21">
        <f t="shared" si="31"/>
        <v>1</v>
      </c>
      <c r="R153" s="663">
        <f t="shared" si="32"/>
        <v>0</v>
      </c>
      <c r="S153" s="316">
        <f t="shared" si="33"/>
        <v>0</v>
      </c>
    </row>
    <row r="154" spans="1:19">
      <c r="A154" s="150"/>
      <c r="B154" s="54"/>
      <c r="C154" s="21">
        <f t="shared" ref="C154:C217" si="34">IF(B154="",1,(LOOKUP(B154,$3:$3,$4:$4)-LOOKUP($B$24,$3:$3,$4:$4)+100)/100)</f>
        <v>1</v>
      </c>
      <c r="D154" s="667"/>
      <c r="E154" s="21">
        <f t="shared" ref="E154:E217" si="35">(SUMIF($5:$5,D154,$6:$6)-SUMIF($5:$5,$D$24,$6:$6)+100)/100</f>
        <v>1</v>
      </c>
      <c r="F154" s="667"/>
      <c r="G154" s="21">
        <f t="shared" ref="G154:G217" si="36">(SUMIF($7:$7,F154,$8:$8)-SUMIF($7:$7,$F$24,$8:$8)+100)/100</f>
        <v>1</v>
      </c>
      <c r="H154" s="667"/>
      <c r="I154" s="21">
        <f t="shared" ref="I154:I217" si="37">(SUMIF($9:$9,H154,$10:$10)-SUMIF($9:$9,$H$24,$10:$10)+100)/100</f>
        <v>1</v>
      </c>
      <c r="J154" s="667"/>
      <c r="K154" s="21">
        <f t="shared" ref="K154:K217" si="38">(SUMIF($11:$11,J154,$12:$12)-SUMIF($11:$11,$J$24,$12:$12)+100)/100</f>
        <v>1</v>
      </c>
      <c r="L154" s="667"/>
      <c r="M154" s="21">
        <f t="shared" ref="M154:M217" si="39">(SUMIF($13:$13,L154,$14:$14)-SUMIF($13:$13,$L$24,$14:$14)+100)/100</f>
        <v>1</v>
      </c>
      <c r="N154" s="667"/>
      <c r="O154" s="21">
        <f t="shared" ref="O154:O217" si="40">(SUMIF($15:$15,N154,$16:$16)-SUMIF($15:$15,$N$24,$16:$16)+100)/100</f>
        <v>1</v>
      </c>
      <c r="P154" s="667"/>
      <c r="Q154" s="21">
        <f t="shared" ref="Q154:Q217" si="41">(SUMIF($17:$17,P154,$18:$18)-SUMIF($17:$17,$P$24,$18:$18)+100)/100</f>
        <v>1</v>
      </c>
      <c r="R154" s="663">
        <f t="shared" ref="R154:R217" si="42">IF(B154="",0,ROUND($R$24*C154*E154*G154*I154*K154*M154*O154*Q154,0))</f>
        <v>0</v>
      </c>
      <c r="S154" s="316">
        <f t="shared" si="33"/>
        <v>0</v>
      </c>
    </row>
    <row r="155" spans="1:19">
      <c r="A155" s="150"/>
      <c r="B155" s="54"/>
      <c r="C155" s="21">
        <f t="shared" si="34"/>
        <v>1</v>
      </c>
      <c r="D155" s="667"/>
      <c r="E155" s="21">
        <f t="shared" si="35"/>
        <v>1</v>
      </c>
      <c r="F155" s="667"/>
      <c r="G155" s="21">
        <f t="shared" si="36"/>
        <v>1</v>
      </c>
      <c r="H155" s="667"/>
      <c r="I155" s="21">
        <f t="shared" si="37"/>
        <v>1</v>
      </c>
      <c r="J155" s="667"/>
      <c r="K155" s="21">
        <f t="shared" si="38"/>
        <v>1</v>
      </c>
      <c r="L155" s="667"/>
      <c r="M155" s="21">
        <f t="shared" si="39"/>
        <v>1</v>
      </c>
      <c r="N155" s="667"/>
      <c r="O155" s="21">
        <f t="shared" si="40"/>
        <v>1</v>
      </c>
      <c r="P155" s="667"/>
      <c r="Q155" s="21">
        <f t="shared" si="41"/>
        <v>1</v>
      </c>
      <c r="R155" s="663">
        <f t="shared" si="42"/>
        <v>0</v>
      </c>
      <c r="S155" s="316">
        <f t="shared" si="33"/>
        <v>0</v>
      </c>
    </row>
    <row r="156" spans="1:19">
      <c r="A156" s="150"/>
      <c r="B156" s="54"/>
      <c r="C156" s="21">
        <f t="shared" si="34"/>
        <v>1</v>
      </c>
      <c r="D156" s="667"/>
      <c r="E156" s="21">
        <f t="shared" si="35"/>
        <v>1</v>
      </c>
      <c r="F156" s="667"/>
      <c r="G156" s="21">
        <f t="shared" si="36"/>
        <v>1</v>
      </c>
      <c r="H156" s="667"/>
      <c r="I156" s="21">
        <f t="shared" si="37"/>
        <v>1</v>
      </c>
      <c r="J156" s="667"/>
      <c r="K156" s="21">
        <f t="shared" si="38"/>
        <v>1</v>
      </c>
      <c r="L156" s="667"/>
      <c r="M156" s="21">
        <f t="shared" si="39"/>
        <v>1</v>
      </c>
      <c r="N156" s="667"/>
      <c r="O156" s="21">
        <f t="shared" si="40"/>
        <v>1</v>
      </c>
      <c r="P156" s="667"/>
      <c r="Q156" s="21">
        <f t="shared" si="41"/>
        <v>1</v>
      </c>
      <c r="R156" s="663">
        <f t="shared" si="42"/>
        <v>0</v>
      </c>
      <c r="S156" s="316">
        <f t="shared" si="33"/>
        <v>0</v>
      </c>
    </row>
    <row r="157" spans="1:19">
      <c r="A157" s="150"/>
      <c r="B157" s="54"/>
      <c r="C157" s="21">
        <f t="shared" si="34"/>
        <v>1</v>
      </c>
      <c r="D157" s="667"/>
      <c r="E157" s="21">
        <f t="shared" si="35"/>
        <v>1</v>
      </c>
      <c r="F157" s="667"/>
      <c r="G157" s="21">
        <f t="shared" si="36"/>
        <v>1</v>
      </c>
      <c r="H157" s="667"/>
      <c r="I157" s="21">
        <f t="shared" si="37"/>
        <v>1</v>
      </c>
      <c r="J157" s="667"/>
      <c r="K157" s="21">
        <f t="shared" si="38"/>
        <v>1</v>
      </c>
      <c r="L157" s="667"/>
      <c r="M157" s="21">
        <f t="shared" si="39"/>
        <v>1</v>
      </c>
      <c r="N157" s="667"/>
      <c r="O157" s="21">
        <f t="shared" si="40"/>
        <v>1</v>
      </c>
      <c r="P157" s="667"/>
      <c r="Q157" s="21">
        <f t="shared" si="41"/>
        <v>1</v>
      </c>
      <c r="R157" s="663">
        <f t="shared" si="42"/>
        <v>0</v>
      </c>
      <c r="S157" s="316">
        <f t="shared" si="33"/>
        <v>0</v>
      </c>
    </row>
    <row r="158" spans="1:19">
      <c r="A158" s="150"/>
      <c r="B158" s="54"/>
      <c r="C158" s="21">
        <f t="shared" si="34"/>
        <v>1</v>
      </c>
      <c r="D158" s="667"/>
      <c r="E158" s="21">
        <f t="shared" si="35"/>
        <v>1</v>
      </c>
      <c r="F158" s="667"/>
      <c r="G158" s="21">
        <f t="shared" si="36"/>
        <v>1</v>
      </c>
      <c r="H158" s="667"/>
      <c r="I158" s="21">
        <f t="shared" si="37"/>
        <v>1</v>
      </c>
      <c r="J158" s="667"/>
      <c r="K158" s="21">
        <f t="shared" si="38"/>
        <v>1</v>
      </c>
      <c r="L158" s="667"/>
      <c r="M158" s="21">
        <f t="shared" si="39"/>
        <v>1</v>
      </c>
      <c r="N158" s="667"/>
      <c r="O158" s="21">
        <f t="shared" si="40"/>
        <v>1</v>
      </c>
      <c r="P158" s="667"/>
      <c r="Q158" s="21">
        <f t="shared" si="41"/>
        <v>1</v>
      </c>
      <c r="R158" s="663">
        <f t="shared" si="42"/>
        <v>0</v>
      </c>
      <c r="S158" s="316">
        <f t="shared" si="33"/>
        <v>0</v>
      </c>
    </row>
    <row r="159" spans="1:19">
      <c r="A159" s="150"/>
      <c r="B159" s="54"/>
      <c r="C159" s="21">
        <f t="shared" si="34"/>
        <v>1</v>
      </c>
      <c r="D159" s="667"/>
      <c r="E159" s="21">
        <f t="shared" si="35"/>
        <v>1</v>
      </c>
      <c r="F159" s="667"/>
      <c r="G159" s="21">
        <f t="shared" si="36"/>
        <v>1</v>
      </c>
      <c r="H159" s="667"/>
      <c r="I159" s="21">
        <f t="shared" si="37"/>
        <v>1</v>
      </c>
      <c r="J159" s="667"/>
      <c r="K159" s="21">
        <f t="shared" si="38"/>
        <v>1</v>
      </c>
      <c r="L159" s="667"/>
      <c r="M159" s="21">
        <f t="shared" si="39"/>
        <v>1</v>
      </c>
      <c r="N159" s="667"/>
      <c r="O159" s="21">
        <f t="shared" si="40"/>
        <v>1</v>
      </c>
      <c r="P159" s="667"/>
      <c r="Q159" s="21">
        <f t="shared" si="41"/>
        <v>1</v>
      </c>
      <c r="R159" s="663">
        <f t="shared" si="42"/>
        <v>0</v>
      </c>
      <c r="S159" s="316">
        <f t="shared" si="33"/>
        <v>0</v>
      </c>
    </row>
    <row r="160" spans="1:19">
      <c r="A160" s="150"/>
      <c r="B160" s="54"/>
      <c r="C160" s="21">
        <f t="shared" si="34"/>
        <v>1</v>
      </c>
      <c r="D160" s="667"/>
      <c r="E160" s="21">
        <f t="shared" si="35"/>
        <v>1</v>
      </c>
      <c r="F160" s="667"/>
      <c r="G160" s="21">
        <f t="shared" si="36"/>
        <v>1</v>
      </c>
      <c r="H160" s="667"/>
      <c r="I160" s="21">
        <f t="shared" si="37"/>
        <v>1</v>
      </c>
      <c r="J160" s="667"/>
      <c r="K160" s="21">
        <f t="shared" si="38"/>
        <v>1</v>
      </c>
      <c r="L160" s="667"/>
      <c r="M160" s="21">
        <f t="shared" si="39"/>
        <v>1</v>
      </c>
      <c r="N160" s="667"/>
      <c r="O160" s="21">
        <f t="shared" si="40"/>
        <v>1</v>
      </c>
      <c r="P160" s="667"/>
      <c r="Q160" s="21">
        <f t="shared" si="41"/>
        <v>1</v>
      </c>
      <c r="R160" s="663">
        <f t="shared" si="42"/>
        <v>0</v>
      </c>
      <c r="S160" s="316">
        <f t="shared" si="33"/>
        <v>0</v>
      </c>
    </row>
    <row r="161" spans="1:19">
      <c r="A161" s="150"/>
      <c r="B161" s="54"/>
      <c r="C161" s="21">
        <f t="shared" si="34"/>
        <v>1</v>
      </c>
      <c r="D161" s="667"/>
      <c r="E161" s="21">
        <f t="shared" si="35"/>
        <v>1</v>
      </c>
      <c r="F161" s="667"/>
      <c r="G161" s="21">
        <f t="shared" si="36"/>
        <v>1</v>
      </c>
      <c r="H161" s="667"/>
      <c r="I161" s="21">
        <f t="shared" si="37"/>
        <v>1</v>
      </c>
      <c r="J161" s="667"/>
      <c r="K161" s="21">
        <f t="shared" si="38"/>
        <v>1</v>
      </c>
      <c r="L161" s="667"/>
      <c r="M161" s="21">
        <f t="shared" si="39"/>
        <v>1</v>
      </c>
      <c r="N161" s="667"/>
      <c r="O161" s="21">
        <f t="shared" si="40"/>
        <v>1</v>
      </c>
      <c r="P161" s="667"/>
      <c r="Q161" s="21">
        <f t="shared" si="41"/>
        <v>1</v>
      </c>
      <c r="R161" s="663">
        <f t="shared" si="42"/>
        <v>0</v>
      </c>
      <c r="S161" s="316">
        <f t="shared" si="33"/>
        <v>0</v>
      </c>
    </row>
    <row r="162" spans="1:19">
      <c r="A162" s="150"/>
      <c r="B162" s="54"/>
      <c r="C162" s="21">
        <f t="shared" si="34"/>
        <v>1</v>
      </c>
      <c r="D162" s="667"/>
      <c r="E162" s="21">
        <f t="shared" si="35"/>
        <v>1</v>
      </c>
      <c r="F162" s="667"/>
      <c r="G162" s="21">
        <f t="shared" si="36"/>
        <v>1</v>
      </c>
      <c r="H162" s="667"/>
      <c r="I162" s="21">
        <f t="shared" si="37"/>
        <v>1</v>
      </c>
      <c r="J162" s="667"/>
      <c r="K162" s="21">
        <f t="shared" si="38"/>
        <v>1</v>
      </c>
      <c r="L162" s="667"/>
      <c r="M162" s="21">
        <f t="shared" si="39"/>
        <v>1</v>
      </c>
      <c r="N162" s="667"/>
      <c r="O162" s="21">
        <f t="shared" si="40"/>
        <v>1</v>
      </c>
      <c r="P162" s="667"/>
      <c r="Q162" s="21">
        <f t="shared" si="41"/>
        <v>1</v>
      </c>
      <c r="R162" s="663">
        <f t="shared" si="42"/>
        <v>0</v>
      </c>
      <c r="S162" s="316">
        <f t="shared" si="33"/>
        <v>0</v>
      </c>
    </row>
    <row r="163" spans="1:19">
      <c r="A163" s="150"/>
      <c r="B163" s="54"/>
      <c r="C163" s="21">
        <f t="shared" si="34"/>
        <v>1</v>
      </c>
      <c r="D163" s="667"/>
      <c r="E163" s="21">
        <f t="shared" si="35"/>
        <v>1</v>
      </c>
      <c r="F163" s="667"/>
      <c r="G163" s="21">
        <f t="shared" si="36"/>
        <v>1</v>
      </c>
      <c r="H163" s="667"/>
      <c r="I163" s="21">
        <f t="shared" si="37"/>
        <v>1</v>
      </c>
      <c r="J163" s="667"/>
      <c r="K163" s="21">
        <f t="shared" si="38"/>
        <v>1</v>
      </c>
      <c r="L163" s="667"/>
      <c r="M163" s="21">
        <f t="shared" si="39"/>
        <v>1</v>
      </c>
      <c r="N163" s="667"/>
      <c r="O163" s="21">
        <f t="shared" si="40"/>
        <v>1</v>
      </c>
      <c r="P163" s="667"/>
      <c r="Q163" s="21">
        <f t="shared" si="41"/>
        <v>1</v>
      </c>
      <c r="R163" s="663">
        <f t="shared" si="42"/>
        <v>0</v>
      </c>
      <c r="S163" s="316">
        <f t="shared" si="33"/>
        <v>0</v>
      </c>
    </row>
    <row r="164" spans="1:19">
      <c r="A164" s="150"/>
      <c r="B164" s="54"/>
      <c r="C164" s="21">
        <f t="shared" si="34"/>
        <v>1</v>
      </c>
      <c r="D164" s="667"/>
      <c r="E164" s="21">
        <f t="shared" si="35"/>
        <v>1</v>
      </c>
      <c r="F164" s="667"/>
      <c r="G164" s="21">
        <f t="shared" si="36"/>
        <v>1</v>
      </c>
      <c r="H164" s="667"/>
      <c r="I164" s="21">
        <f t="shared" si="37"/>
        <v>1</v>
      </c>
      <c r="J164" s="667"/>
      <c r="K164" s="21">
        <f t="shared" si="38"/>
        <v>1</v>
      </c>
      <c r="L164" s="667"/>
      <c r="M164" s="21">
        <f t="shared" si="39"/>
        <v>1</v>
      </c>
      <c r="N164" s="667"/>
      <c r="O164" s="21">
        <f t="shared" si="40"/>
        <v>1</v>
      </c>
      <c r="P164" s="667"/>
      <c r="Q164" s="21">
        <f t="shared" si="41"/>
        <v>1</v>
      </c>
      <c r="R164" s="663">
        <f t="shared" si="42"/>
        <v>0</v>
      </c>
      <c r="S164" s="316">
        <f t="shared" si="33"/>
        <v>0</v>
      </c>
    </row>
    <row r="165" spans="1:19">
      <c r="A165" s="150"/>
      <c r="B165" s="54"/>
      <c r="C165" s="21">
        <f t="shared" si="34"/>
        <v>1</v>
      </c>
      <c r="D165" s="667"/>
      <c r="E165" s="21">
        <f t="shared" si="35"/>
        <v>1</v>
      </c>
      <c r="F165" s="667"/>
      <c r="G165" s="21">
        <f t="shared" si="36"/>
        <v>1</v>
      </c>
      <c r="H165" s="667"/>
      <c r="I165" s="21">
        <f t="shared" si="37"/>
        <v>1</v>
      </c>
      <c r="J165" s="667"/>
      <c r="K165" s="21">
        <f t="shared" si="38"/>
        <v>1</v>
      </c>
      <c r="L165" s="667"/>
      <c r="M165" s="21">
        <f t="shared" si="39"/>
        <v>1</v>
      </c>
      <c r="N165" s="667"/>
      <c r="O165" s="21">
        <f t="shared" si="40"/>
        <v>1</v>
      </c>
      <c r="P165" s="667"/>
      <c r="Q165" s="21">
        <f t="shared" si="41"/>
        <v>1</v>
      </c>
      <c r="R165" s="663">
        <f t="shared" si="42"/>
        <v>0</v>
      </c>
      <c r="S165" s="316">
        <f t="shared" si="33"/>
        <v>0</v>
      </c>
    </row>
    <row r="166" spans="1:19">
      <c r="A166" s="150"/>
      <c r="B166" s="54"/>
      <c r="C166" s="21">
        <f t="shared" si="34"/>
        <v>1</v>
      </c>
      <c r="D166" s="667"/>
      <c r="E166" s="21">
        <f t="shared" si="35"/>
        <v>1</v>
      </c>
      <c r="F166" s="667"/>
      <c r="G166" s="21">
        <f t="shared" si="36"/>
        <v>1</v>
      </c>
      <c r="H166" s="667"/>
      <c r="I166" s="21">
        <f t="shared" si="37"/>
        <v>1</v>
      </c>
      <c r="J166" s="667"/>
      <c r="K166" s="21">
        <f t="shared" si="38"/>
        <v>1</v>
      </c>
      <c r="L166" s="667"/>
      <c r="M166" s="21">
        <f t="shared" si="39"/>
        <v>1</v>
      </c>
      <c r="N166" s="667"/>
      <c r="O166" s="21">
        <f t="shared" si="40"/>
        <v>1</v>
      </c>
      <c r="P166" s="667"/>
      <c r="Q166" s="21">
        <f t="shared" si="41"/>
        <v>1</v>
      </c>
      <c r="R166" s="663">
        <f t="shared" si="42"/>
        <v>0</v>
      </c>
      <c r="S166" s="316">
        <f t="shared" si="33"/>
        <v>0</v>
      </c>
    </row>
    <row r="167" spans="1:19">
      <c r="A167" s="150"/>
      <c r="B167" s="54"/>
      <c r="C167" s="21">
        <f t="shared" si="34"/>
        <v>1</v>
      </c>
      <c r="D167" s="667"/>
      <c r="E167" s="21">
        <f t="shared" si="35"/>
        <v>1</v>
      </c>
      <c r="F167" s="667"/>
      <c r="G167" s="21">
        <f t="shared" si="36"/>
        <v>1</v>
      </c>
      <c r="H167" s="667"/>
      <c r="I167" s="21">
        <f t="shared" si="37"/>
        <v>1</v>
      </c>
      <c r="J167" s="667"/>
      <c r="K167" s="21">
        <f t="shared" si="38"/>
        <v>1</v>
      </c>
      <c r="L167" s="667"/>
      <c r="M167" s="21">
        <f t="shared" si="39"/>
        <v>1</v>
      </c>
      <c r="N167" s="667"/>
      <c r="O167" s="21">
        <f t="shared" si="40"/>
        <v>1</v>
      </c>
      <c r="P167" s="667"/>
      <c r="Q167" s="21">
        <f t="shared" si="41"/>
        <v>1</v>
      </c>
      <c r="R167" s="663">
        <f t="shared" si="42"/>
        <v>0</v>
      </c>
      <c r="S167" s="316">
        <f t="shared" si="33"/>
        <v>0</v>
      </c>
    </row>
    <row r="168" spans="1:19">
      <c r="A168" s="150"/>
      <c r="B168" s="54"/>
      <c r="C168" s="21">
        <f t="shared" si="34"/>
        <v>1</v>
      </c>
      <c r="D168" s="667"/>
      <c r="E168" s="21">
        <f t="shared" si="35"/>
        <v>1</v>
      </c>
      <c r="F168" s="667"/>
      <c r="G168" s="21">
        <f t="shared" si="36"/>
        <v>1</v>
      </c>
      <c r="H168" s="667"/>
      <c r="I168" s="21">
        <f t="shared" si="37"/>
        <v>1</v>
      </c>
      <c r="J168" s="667"/>
      <c r="K168" s="21">
        <f t="shared" si="38"/>
        <v>1</v>
      </c>
      <c r="L168" s="667"/>
      <c r="M168" s="21">
        <f t="shared" si="39"/>
        <v>1</v>
      </c>
      <c r="N168" s="667"/>
      <c r="O168" s="21">
        <f t="shared" si="40"/>
        <v>1</v>
      </c>
      <c r="P168" s="667"/>
      <c r="Q168" s="21">
        <f t="shared" si="41"/>
        <v>1</v>
      </c>
      <c r="R168" s="663">
        <f t="shared" si="42"/>
        <v>0</v>
      </c>
      <c r="S168" s="316">
        <f t="shared" si="33"/>
        <v>0</v>
      </c>
    </row>
    <row r="169" spans="1:19">
      <c r="A169" s="150"/>
      <c r="B169" s="54"/>
      <c r="C169" s="21">
        <f t="shared" si="34"/>
        <v>1</v>
      </c>
      <c r="D169" s="667"/>
      <c r="E169" s="21">
        <f t="shared" si="35"/>
        <v>1</v>
      </c>
      <c r="F169" s="667"/>
      <c r="G169" s="21">
        <f t="shared" si="36"/>
        <v>1</v>
      </c>
      <c r="H169" s="667"/>
      <c r="I169" s="21">
        <f t="shared" si="37"/>
        <v>1</v>
      </c>
      <c r="J169" s="667"/>
      <c r="K169" s="21">
        <f t="shared" si="38"/>
        <v>1</v>
      </c>
      <c r="L169" s="667"/>
      <c r="M169" s="21">
        <f t="shared" si="39"/>
        <v>1</v>
      </c>
      <c r="N169" s="667"/>
      <c r="O169" s="21">
        <f t="shared" si="40"/>
        <v>1</v>
      </c>
      <c r="P169" s="667"/>
      <c r="Q169" s="21">
        <f t="shared" si="41"/>
        <v>1</v>
      </c>
      <c r="R169" s="663">
        <f t="shared" si="42"/>
        <v>0</v>
      </c>
      <c r="S169" s="316">
        <f t="shared" si="33"/>
        <v>0</v>
      </c>
    </row>
    <row r="170" spans="1:19">
      <c r="A170" s="150"/>
      <c r="B170" s="54"/>
      <c r="C170" s="21">
        <f t="shared" si="34"/>
        <v>1</v>
      </c>
      <c r="D170" s="667"/>
      <c r="E170" s="21">
        <f t="shared" si="35"/>
        <v>1</v>
      </c>
      <c r="F170" s="667"/>
      <c r="G170" s="21">
        <f t="shared" si="36"/>
        <v>1</v>
      </c>
      <c r="H170" s="667"/>
      <c r="I170" s="21">
        <f t="shared" si="37"/>
        <v>1</v>
      </c>
      <c r="J170" s="667"/>
      <c r="K170" s="21">
        <f t="shared" si="38"/>
        <v>1</v>
      </c>
      <c r="L170" s="667"/>
      <c r="M170" s="21">
        <f t="shared" si="39"/>
        <v>1</v>
      </c>
      <c r="N170" s="667"/>
      <c r="O170" s="21">
        <f t="shared" si="40"/>
        <v>1</v>
      </c>
      <c r="P170" s="667"/>
      <c r="Q170" s="21">
        <f t="shared" si="41"/>
        <v>1</v>
      </c>
      <c r="R170" s="663">
        <f t="shared" si="42"/>
        <v>0</v>
      </c>
      <c r="S170" s="316">
        <f t="shared" si="33"/>
        <v>0</v>
      </c>
    </row>
    <row r="171" spans="1:19">
      <c r="A171" s="150"/>
      <c r="B171" s="54"/>
      <c r="C171" s="21">
        <f t="shared" si="34"/>
        <v>1</v>
      </c>
      <c r="D171" s="667"/>
      <c r="E171" s="21">
        <f t="shared" si="35"/>
        <v>1</v>
      </c>
      <c r="F171" s="667"/>
      <c r="G171" s="21">
        <f t="shared" si="36"/>
        <v>1</v>
      </c>
      <c r="H171" s="667"/>
      <c r="I171" s="21">
        <f t="shared" si="37"/>
        <v>1</v>
      </c>
      <c r="J171" s="667"/>
      <c r="K171" s="21">
        <f t="shared" si="38"/>
        <v>1</v>
      </c>
      <c r="L171" s="667"/>
      <c r="M171" s="21">
        <f t="shared" si="39"/>
        <v>1</v>
      </c>
      <c r="N171" s="667"/>
      <c r="O171" s="21">
        <f t="shared" si="40"/>
        <v>1</v>
      </c>
      <c r="P171" s="667"/>
      <c r="Q171" s="21">
        <f t="shared" si="41"/>
        <v>1</v>
      </c>
      <c r="R171" s="663">
        <f t="shared" si="42"/>
        <v>0</v>
      </c>
      <c r="S171" s="316">
        <f t="shared" si="33"/>
        <v>0</v>
      </c>
    </row>
    <row r="172" spans="1:19">
      <c r="A172" s="150"/>
      <c r="B172" s="54"/>
      <c r="C172" s="21">
        <f t="shared" si="34"/>
        <v>1</v>
      </c>
      <c r="D172" s="667"/>
      <c r="E172" s="21">
        <f t="shared" si="35"/>
        <v>1</v>
      </c>
      <c r="F172" s="667"/>
      <c r="G172" s="21">
        <f t="shared" si="36"/>
        <v>1</v>
      </c>
      <c r="H172" s="667"/>
      <c r="I172" s="21">
        <f t="shared" si="37"/>
        <v>1</v>
      </c>
      <c r="J172" s="667"/>
      <c r="K172" s="21">
        <f t="shared" si="38"/>
        <v>1</v>
      </c>
      <c r="L172" s="667"/>
      <c r="M172" s="21">
        <f t="shared" si="39"/>
        <v>1</v>
      </c>
      <c r="N172" s="667"/>
      <c r="O172" s="21">
        <f t="shared" si="40"/>
        <v>1</v>
      </c>
      <c r="P172" s="667"/>
      <c r="Q172" s="21">
        <f t="shared" si="41"/>
        <v>1</v>
      </c>
      <c r="R172" s="663">
        <f t="shared" si="42"/>
        <v>0</v>
      </c>
      <c r="S172" s="316">
        <f t="shared" si="33"/>
        <v>0</v>
      </c>
    </row>
    <row r="173" spans="1:19">
      <c r="A173" s="150"/>
      <c r="B173" s="54"/>
      <c r="C173" s="21">
        <f t="shared" si="34"/>
        <v>1</v>
      </c>
      <c r="D173" s="667"/>
      <c r="E173" s="21">
        <f t="shared" si="35"/>
        <v>1</v>
      </c>
      <c r="F173" s="667"/>
      <c r="G173" s="21">
        <f t="shared" si="36"/>
        <v>1</v>
      </c>
      <c r="H173" s="667"/>
      <c r="I173" s="21">
        <f t="shared" si="37"/>
        <v>1</v>
      </c>
      <c r="J173" s="667"/>
      <c r="K173" s="21">
        <f t="shared" si="38"/>
        <v>1</v>
      </c>
      <c r="L173" s="667"/>
      <c r="M173" s="21">
        <f t="shared" si="39"/>
        <v>1</v>
      </c>
      <c r="N173" s="667"/>
      <c r="O173" s="21">
        <f t="shared" si="40"/>
        <v>1</v>
      </c>
      <c r="P173" s="667"/>
      <c r="Q173" s="21">
        <f t="shared" si="41"/>
        <v>1</v>
      </c>
      <c r="R173" s="663">
        <f t="shared" si="42"/>
        <v>0</v>
      </c>
      <c r="S173" s="316">
        <f t="shared" si="33"/>
        <v>0</v>
      </c>
    </row>
    <row r="174" spans="1:19">
      <c r="A174" s="150"/>
      <c r="B174" s="54"/>
      <c r="C174" s="21">
        <f t="shared" si="34"/>
        <v>1</v>
      </c>
      <c r="D174" s="667"/>
      <c r="E174" s="21">
        <f t="shared" si="35"/>
        <v>1</v>
      </c>
      <c r="F174" s="667"/>
      <c r="G174" s="21">
        <f t="shared" si="36"/>
        <v>1</v>
      </c>
      <c r="H174" s="667"/>
      <c r="I174" s="21">
        <f t="shared" si="37"/>
        <v>1</v>
      </c>
      <c r="J174" s="667"/>
      <c r="K174" s="21">
        <f t="shared" si="38"/>
        <v>1</v>
      </c>
      <c r="L174" s="667"/>
      <c r="M174" s="21">
        <f t="shared" si="39"/>
        <v>1</v>
      </c>
      <c r="N174" s="667"/>
      <c r="O174" s="21">
        <f t="shared" si="40"/>
        <v>1</v>
      </c>
      <c r="P174" s="667"/>
      <c r="Q174" s="21">
        <f t="shared" si="41"/>
        <v>1</v>
      </c>
      <c r="R174" s="663">
        <f t="shared" si="42"/>
        <v>0</v>
      </c>
      <c r="S174" s="316">
        <f t="shared" si="33"/>
        <v>0</v>
      </c>
    </row>
    <row r="175" spans="1:19">
      <c r="A175" s="150"/>
      <c r="B175" s="54"/>
      <c r="C175" s="21">
        <f t="shared" si="34"/>
        <v>1</v>
      </c>
      <c r="D175" s="667"/>
      <c r="E175" s="21">
        <f t="shared" si="35"/>
        <v>1</v>
      </c>
      <c r="F175" s="667"/>
      <c r="G175" s="21">
        <f t="shared" si="36"/>
        <v>1</v>
      </c>
      <c r="H175" s="667"/>
      <c r="I175" s="21">
        <f t="shared" si="37"/>
        <v>1</v>
      </c>
      <c r="J175" s="667"/>
      <c r="K175" s="21">
        <f t="shared" si="38"/>
        <v>1</v>
      </c>
      <c r="L175" s="667"/>
      <c r="M175" s="21">
        <f t="shared" si="39"/>
        <v>1</v>
      </c>
      <c r="N175" s="667"/>
      <c r="O175" s="21">
        <f t="shared" si="40"/>
        <v>1</v>
      </c>
      <c r="P175" s="667"/>
      <c r="Q175" s="21">
        <f t="shared" si="41"/>
        <v>1</v>
      </c>
      <c r="R175" s="663">
        <f t="shared" si="42"/>
        <v>0</v>
      </c>
      <c r="S175" s="316">
        <f t="shared" si="33"/>
        <v>0</v>
      </c>
    </row>
    <row r="176" spans="1:19">
      <c r="A176" s="150"/>
      <c r="B176" s="54"/>
      <c r="C176" s="21">
        <f t="shared" si="34"/>
        <v>1</v>
      </c>
      <c r="D176" s="667"/>
      <c r="E176" s="21">
        <f t="shared" si="35"/>
        <v>1</v>
      </c>
      <c r="F176" s="667"/>
      <c r="G176" s="21">
        <f t="shared" si="36"/>
        <v>1</v>
      </c>
      <c r="H176" s="667"/>
      <c r="I176" s="21">
        <f t="shared" si="37"/>
        <v>1</v>
      </c>
      <c r="J176" s="667"/>
      <c r="K176" s="21">
        <f t="shared" si="38"/>
        <v>1</v>
      </c>
      <c r="L176" s="667"/>
      <c r="M176" s="21">
        <f t="shared" si="39"/>
        <v>1</v>
      </c>
      <c r="N176" s="667"/>
      <c r="O176" s="21">
        <f t="shared" si="40"/>
        <v>1</v>
      </c>
      <c r="P176" s="667"/>
      <c r="Q176" s="21">
        <f t="shared" si="41"/>
        <v>1</v>
      </c>
      <c r="R176" s="663">
        <f t="shared" si="42"/>
        <v>0</v>
      </c>
      <c r="S176" s="316">
        <f t="shared" si="33"/>
        <v>0</v>
      </c>
    </row>
    <row r="177" spans="1:19">
      <c r="A177" s="150"/>
      <c r="B177" s="54"/>
      <c r="C177" s="21">
        <f t="shared" si="34"/>
        <v>1</v>
      </c>
      <c r="D177" s="667"/>
      <c r="E177" s="21">
        <f t="shared" si="35"/>
        <v>1</v>
      </c>
      <c r="F177" s="667"/>
      <c r="G177" s="21">
        <f t="shared" si="36"/>
        <v>1</v>
      </c>
      <c r="H177" s="667"/>
      <c r="I177" s="21">
        <f t="shared" si="37"/>
        <v>1</v>
      </c>
      <c r="J177" s="667"/>
      <c r="K177" s="21">
        <f t="shared" si="38"/>
        <v>1</v>
      </c>
      <c r="L177" s="667"/>
      <c r="M177" s="21">
        <f t="shared" si="39"/>
        <v>1</v>
      </c>
      <c r="N177" s="667"/>
      <c r="O177" s="21">
        <f t="shared" si="40"/>
        <v>1</v>
      </c>
      <c r="P177" s="667"/>
      <c r="Q177" s="21">
        <f t="shared" si="41"/>
        <v>1</v>
      </c>
      <c r="R177" s="663">
        <f t="shared" si="42"/>
        <v>0</v>
      </c>
      <c r="S177" s="316">
        <f t="shared" si="33"/>
        <v>0</v>
      </c>
    </row>
    <row r="178" spans="1:19">
      <c r="A178" s="150"/>
      <c r="B178" s="54"/>
      <c r="C178" s="21">
        <f t="shared" si="34"/>
        <v>1</v>
      </c>
      <c r="D178" s="667"/>
      <c r="E178" s="21">
        <f t="shared" si="35"/>
        <v>1</v>
      </c>
      <c r="F178" s="667"/>
      <c r="G178" s="21">
        <f t="shared" si="36"/>
        <v>1</v>
      </c>
      <c r="H178" s="667"/>
      <c r="I178" s="21">
        <f t="shared" si="37"/>
        <v>1</v>
      </c>
      <c r="J178" s="667"/>
      <c r="K178" s="21">
        <f t="shared" si="38"/>
        <v>1</v>
      </c>
      <c r="L178" s="667"/>
      <c r="M178" s="21">
        <f t="shared" si="39"/>
        <v>1</v>
      </c>
      <c r="N178" s="667"/>
      <c r="O178" s="21">
        <f t="shared" si="40"/>
        <v>1</v>
      </c>
      <c r="P178" s="667"/>
      <c r="Q178" s="21">
        <f t="shared" si="41"/>
        <v>1</v>
      </c>
      <c r="R178" s="663">
        <f t="shared" si="42"/>
        <v>0</v>
      </c>
      <c r="S178" s="316">
        <f t="shared" si="33"/>
        <v>0</v>
      </c>
    </row>
    <row r="179" spans="1:19">
      <c r="A179" s="150"/>
      <c r="B179" s="54"/>
      <c r="C179" s="21">
        <f t="shared" si="34"/>
        <v>1</v>
      </c>
      <c r="D179" s="667"/>
      <c r="E179" s="21">
        <f t="shared" si="35"/>
        <v>1</v>
      </c>
      <c r="F179" s="667"/>
      <c r="G179" s="21">
        <f t="shared" si="36"/>
        <v>1</v>
      </c>
      <c r="H179" s="667"/>
      <c r="I179" s="21">
        <f t="shared" si="37"/>
        <v>1</v>
      </c>
      <c r="J179" s="667"/>
      <c r="K179" s="21">
        <f t="shared" si="38"/>
        <v>1</v>
      </c>
      <c r="L179" s="667"/>
      <c r="M179" s="21">
        <f t="shared" si="39"/>
        <v>1</v>
      </c>
      <c r="N179" s="667"/>
      <c r="O179" s="21">
        <f t="shared" si="40"/>
        <v>1</v>
      </c>
      <c r="P179" s="667"/>
      <c r="Q179" s="21">
        <f t="shared" si="41"/>
        <v>1</v>
      </c>
      <c r="R179" s="663">
        <f t="shared" si="42"/>
        <v>0</v>
      </c>
      <c r="S179" s="316">
        <f t="shared" si="33"/>
        <v>0</v>
      </c>
    </row>
    <row r="180" spans="1:19">
      <c r="A180" s="150"/>
      <c r="B180" s="54"/>
      <c r="C180" s="21">
        <f t="shared" si="34"/>
        <v>1</v>
      </c>
      <c r="D180" s="667"/>
      <c r="E180" s="21">
        <f t="shared" si="35"/>
        <v>1</v>
      </c>
      <c r="F180" s="667"/>
      <c r="G180" s="21">
        <f t="shared" si="36"/>
        <v>1</v>
      </c>
      <c r="H180" s="667"/>
      <c r="I180" s="21">
        <f t="shared" si="37"/>
        <v>1</v>
      </c>
      <c r="J180" s="667"/>
      <c r="K180" s="21">
        <f t="shared" si="38"/>
        <v>1</v>
      </c>
      <c r="L180" s="667"/>
      <c r="M180" s="21">
        <f t="shared" si="39"/>
        <v>1</v>
      </c>
      <c r="N180" s="667"/>
      <c r="O180" s="21">
        <f t="shared" si="40"/>
        <v>1</v>
      </c>
      <c r="P180" s="667"/>
      <c r="Q180" s="21">
        <f t="shared" si="41"/>
        <v>1</v>
      </c>
      <c r="R180" s="663">
        <f t="shared" si="42"/>
        <v>0</v>
      </c>
      <c r="S180" s="316">
        <f t="shared" si="33"/>
        <v>0</v>
      </c>
    </row>
    <row r="181" spans="1:19">
      <c r="A181" s="150"/>
      <c r="B181" s="54"/>
      <c r="C181" s="21">
        <f t="shared" si="34"/>
        <v>1</v>
      </c>
      <c r="D181" s="667"/>
      <c r="E181" s="21">
        <f t="shared" si="35"/>
        <v>1</v>
      </c>
      <c r="F181" s="667"/>
      <c r="G181" s="21">
        <f t="shared" si="36"/>
        <v>1</v>
      </c>
      <c r="H181" s="667"/>
      <c r="I181" s="21">
        <f t="shared" si="37"/>
        <v>1</v>
      </c>
      <c r="J181" s="667"/>
      <c r="K181" s="21">
        <f t="shared" si="38"/>
        <v>1</v>
      </c>
      <c r="L181" s="667"/>
      <c r="M181" s="21">
        <f t="shared" si="39"/>
        <v>1</v>
      </c>
      <c r="N181" s="667"/>
      <c r="O181" s="21">
        <f t="shared" si="40"/>
        <v>1</v>
      </c>
      <c r="P181" s="667"/>
      <c r="Q181" s="21">
        <f t="shared" si="41"/>
        <v>1</v>
      </c>
      <c r="R181" s="663">
        <f t="shared" si="42"/>
        <v>0</v>
      </c>
      <c r="S181" s="316">
        <f t="shared" si="33"/>
        <v>0</v>
      </c>
    </row>
    <row r="182" spans="1:19">
      <c r="A182" s="150"/>
      <c r="B182" s="54"/>
      <c r="C182" s="21">
        <f t="shared" si="34"/>
        <v>1</v>
      </c>
      <c r="D182" s="667"/>
      <c r="E182" s="21">
        <f t="shared" si="35"/>
        <v>1</v>
      </c>
      <c r="F182" s="667"/>
      <c r="G182" s="21">
        <f t="shared" si="36"/>
        <v>1</v>
      </c>
      <c r="H182" s="667"/>
      <c r="I182" s="21">
        <f t="shared" si="37"/>
        <v>1</v>
      </c>
      <c r="J182" s="667"/>
      <c r="K182" s="21">
        <f t="shared" si="38"/>
        <v>1</v>
      </c>
      <c r="L182" s="667"/>
      <c r="M182" s="21">
        <f t="shared" si="39"/>
        <v>1</v>
      </c>
      <c r="N182" s="667"/>
      <c r="O182" s="21">
        <f t="shared" si="40"/>
        <v>1</v>
      </c>
      <c r="P182" s="667"/>
      <c r="Q182" s="21">
        <f t="shared" si="41"/>
        <v>1</v>
      </c>
      <c r="R182" s="663">
        <f t="shared" si="42"/>
        <v>0</v>
      </c>
      <c r="S182" s="316">
        <f t="shared" si="33"/>
        <v>0</v>
      </c>
    </row>
    <row r="183" spans="1:19">
      <c r="A183" s="150"/>
      <c r="B183" s="54"/>
      <c r="C183" s="21">
        <f t="shared" si="34"/>
        <v>1</v>
      </c>
      <c r="D183" s="667"/>
      <c r="E183" s="21">
        <f t="shared" si="35"/>
        <v>1</v>
      </c>
      <c r="F183" s="667"/>
      <c r="G183" s="21">
        <f t="shared" si="36"/>
        <v>1</v>
      </c>
      <c r="H183" s="667"/>
      <c r="I183" s="21">
        <f t="shared" si="37"/>
        <v>1</v>
      </c>
      <c r="J183" s="667"/>
      <c r="K183" s="21">
        <f t="shared" si="38"/>
        <v>1</v>
      </c>
      <c r="L183" s="667"/>
      <c r="M183" s="21">
        <f t="shared" si="39"/>
        <v>1</v>
      </c>
      <c r="N183" s="667"/>
      <c r="O183" s="21">
        <f t="shared" si="40"/>
        <v>1</v>
      </c>
      <c r="P183" s="667"/>
      <c r="Q183" s="21">
        <f t="shared" si="41"/>
        <v>1</v>
      </c>
      <c r="R183" s="663">
        <f t="shared" si="42"/>
        <v>0</v>
      </c>
      <c r="S183" s="316">
        <f t="shared" si="33"/>
        <v>0</v>
      </c>
    </row>
    <row r="184" spans="1:19">
      <c r="A184" s="150"/>
      <c r="B184" s="54"/>
      <c r="C184" s="21">
        <f t="shared" si="34"/>
        <v>1</v>
      </c>
      <c r="D184" s="667"/>
      <c r="E184" s="21">
        <f t="shared" si="35"/>
        <v>1</v>
      </c>
      <c r="F184" s="667"/>
      <c r="G184" s="21">
        <f t="shared" si="36"/>
        <v>1</v>
      </c>
      <c r="H184" s="667"/>
      <c r="I184" s="21">
        <f t="shared" si="37"/>
        <v>1</v>
      </c>
      <c r="J184" s="667"/>
      <c r="K184" s="21">
        <f t="shared" si="38"/>
        <v>1</v>
      </c>
      <c r="L184" s="667"/>
      <c r="M184" s="21">
        <f t="shared" si="39"/>
        <v>1</v>
      </c>
      <c r="N184" s="667"/>
      <c r="O184" s="21">
        <f t="shared" si="40"/>
        <v>1</v>
      </c>
      <c r="P184" s="667"/>
      <c r="Q184" s="21">
        <f t="shared" si="41"/>
        <v>1</v>
      </c>
      <c r="R184" s="663">
        <f t="shared" si="42"/>
        <v>0</v>
      </c>
      <c r="S184" s="316">
        <f t="shared" si="33"/>
        <v>0</v>
      </c>
    </row>
    <row r="185" spans="1:19">
      <c r="A185" s="150"/>
      <c r="B185" s="54"/>
      <c r="C185" s="21">
        <f t="shared" si="34"/>
        <v>1</v>
      </c>
      <c r="D185" s="667"/>
      <c r="E185" s="21">
        <f t="shared" si="35"/>
        <v>1</v>
      </c>
      <c r="F185" s="667"/>
      <c r="G185" s="21">
        <f t="shared" si="36"/>
        <v>1</v>
      </c>
      <c r="H185" s="667"/>
      <c r="I185" s="21">
        <f t="shared" si="37"/>
        <v>1</v>
      </c>
      <c r="J185" s="667"/>
      <c r="K185" s="21">
        <f t="shared" si="38"/>
        <v>1</v>
      </c>
      <c r="L185" s="667"/>
      <c r="M185" s="21">
        <f t="shared" si="39"/>
        <v>1</v>
      </c>
      <c r="N185" s="667"/>
      <c r="O185" s="21">
        <f t="shared" si="40"/>
        <v>1</v>
      </c>
      <c r="P185" s="667"/>
      <c r="Q185" s="21">
        <f t="shared" si="41"/>
        <v>1</v>
      </c>
      <c r="R185" s="663">
        <f t="shared" si="42"/>
        <v>0</v>
      </c>
      <c r="S185" s="316">
        <f t="shared" si="33"/>
        <v>0</v>
      </c>
    </row>
    <row r="186" spans="1:19">
      <c r="A186" s="150"/>
      <c r="B186" s="54"/>
      <c r="C186" s="21">
        <f t="shared" si="34"/>
        <v>1</v>
      </c>
      <c r="D186" s="667"/>
      <c r="E186" s="21">
        <f t="shared" si="35"/>
        <v>1</v>
      </c>
      <c r="F186" s="667"/>
      <c r="G186" s="21">
        <f t="shared" si="36"/>
        <v>1</v>
      </c>
      <c r="H186" s="667"/>
      <c r="I186" s="21">
        <f t="shared" si="37"/>
        <v>1</v>
      </c>
      <c r="J186" s="667"/>
      <c r="K186" s="21">
        <f t="shared" si="38"/>
        <v>1</v>
      </c>
      <c r="L186" s="667"/>
      <c r="M186" s="21">
        <f t="shared" si="39"/>
        <v>1</v>
      </c>
      <c r="N186" s="667"/>
      <c r="O186" s="21">
        <f t="shared" si="40"/>
        <v>1</v>
      </c>
      <c r="P186" s="667"/>
      <c r="Q186" s="21">
        <f t="shared" si="41"/>
        <v>1</v>
      </c>
      <c r="R186" s="663">
        <f t="shared" si="42"/>
        <v>0</v>
      </c>
      <c r="S186" s="316">
        <f t="shared" si="33"/>
        <v>0</v>
      </c>
    </row>
    <row r="187" spans="1:19">
      <c r="A187" s="150"/>
      <c r="B187" s="54"/>
      <c r="C187" s="21">
        <f t="shared" si="34"/>
        <v>1</v>
      </c>
      <c r="D187" s="667"/>
      <c r="E187" s="21">
        <f t="shared" si="35"/>
        <v>1</v>
      </c>
      <c r="F187" s="667"/>
      <c r="G187" s="21">
        <f t="shared" si="36"/>
        <v>1</v>
      </c>
      <c r="H187" s="667"/>
      <c r="I187" s="21">
        <f t="shared" si="37"/>
        <v>1</v>
      </c>
      <c r="J187" s="667"/>
      <c r="K187" s="21">
        <f t="shared" si="38"/>
        <v>1</v>
      </c>
      <c r="L187" s="667"/>
      <c r="M187" s="21">
        <f t="shared" si="39"/>
        <v>1</v>
      </c>
      <c r="N187" s="667"/>
      <c r="O187" s="21">
        <f t="shared" si="40"/>
        <v>1</v>
      </c>
      <c r="P187" s="667"/>
      <c r="Q187" s="21">
        <f t="shared" si="41"/>
        <v>1</v>
      </c>
      <c r="R187" s="663">
        <f t="shared" si="42"/>
        <v>0</v>
      </c>
      <c r="S187" s="316">
        <f t="shared" ref="S187:S222" si="43">ROUND(R187*B187/10000,0)</f>
        <v>0</v>
      </c>
    </row>
    <row r="188" spans="1:19">
      <c r="A188" s="150"/>
      <c r="B188" s="54"/>
      <c r="C188" s="21">
        <f t="shared" si="34"/>
        <v>1</v>
      </c>
      <c r="D188" s="667"/>
      <c r="E188" s="21">
        <f t="shared" si="35"/>
        <v>1</v>
      </c>
      <c r="F188" s="667"/>
      <c r="G188" s="21">
        <f t="shared" si="36"/>
        <v>1</v>
      </c>
      <c r="H188" s="667"/>
      <c r="I188" s="21">
        <f t="shared" si="37"/>
        <v>1</v>
      </c>
      <c r="J188" s="667"/>
      <c r="K188" s="21">
        <f t="shared" si="38"/>
        <v>1</v>
      </c>
      <c r="L188" s="667"/>
      <c r="M188" s="21">
        <f t="shared" si="39"/>
        <v>1</v>
      </c>
      <c r="N188" s="667"/>
      <c r="O188" s="21">
        <f t="shared" si="40"/>
        <v>1</v>
      </c>
      <c r="P188" s="667"/>
      <c r="Q188" s="21">
        <f t="shared" si="41"/>
        <v>1</v>
      </c>
      <c r="R188" s="663">
        <f t="shared" si="42"/>
        <v>0</v>
      </c>
      <c r="S188" s="316">
        <f t="shared" si="43"/>
        <v>0</v>
      </c>
    </row>
    <row r="189" spans="1:19">
      <c r="A189" s="150"/>
      <c r="B189" s="54"/>
      <c r="C189" s="21">
        <f t="shared" si="34"/>
        <v>1</v>
      </c>
      <c r="D189" s="667"/>
      <c r="E189" s="21">
        <f t="shared" si="35"/>
        <v>1</v>
      </c>
      <c r="F189" s="667"/>
      <c r="G189" s="21">
        <f t="shared" si="36"/>
        <v>1</v>
      </c>
      <c r="H189" s="667"/>
      <c r="I189" s="21">
        <f t="shared" si="37"/>
        <v>1</v>
      </c>
      <c r="J189" s="667"/>
      <c r="K189" s="21">
        <f t="shared" si="38"/>
        <v>1</v>
      </c>
      <c r="L189" s="667"/>
      <c r="M189" s="21">
        <f t="shared" si="39"/>
        <v>1</v>
      </c>
      <c r="N189" s="667"/>
      <c r="O189" s="21">
        <f t="shared" si="40"/>
        <v>1</v>
      </c>
      <c r="P189" s="667"/>
      <c r="Q189" s="21">
        <f t="shared" si="41"/>
        <v>1</v>
      </c>
      <c r="R189" s="663">
        <f t="shared" si="42"/>
        <v>0</v>
      </c>
      <c r="S189" s="316">
        <f t="shared" si="43"/>
        <v>0</v>
      </c>
    </row>
    <row r="190" spans="1:19">
      <c r="A190" s="150"/>
      <c r="B190" s="54"/>
      <c r="C190" s="21">
        <f t="shared" si="34"/>
        <v>1</v>
      </c>
      <c r="D190" s="667"/>
      <c r="E190" s="21">
        <f t="shared" si="35"/>
        <v>1</v>
      </c>
      <c r="F190" s="667"/>
      <c r="G190" s="21">
        <f t="shared" si="36"/>
        <v>1</v>
      </c>
      <c r="H190" s="667"/>
      <c r="I190" s="21">
        <f t="shared" si="37"/>
        <v>1</v>
      </c>
      <c r="J190" s="667"/>
      <c r="K190" s="21">
        <f t="shared" si="38"/>
        <v>1</v>
      </c>
      <c r="L190" s="667"/>
      <c r="M190" s="21">
        <f t="shared" si="39"/>
        <v>1</v>
      </c>
      <c r="N190" s="667"/>
      <c r="O190" s="21">
        <f t="shared" si="40"/>
        <v>1</v>
      </c>
      <c r="P190" s="667"/>
      <c r="Q190" s="21">
        <f t="shared" si="41"/>
        <v>1</v>
      </c>
      <c r="R190" s="663">
        <f t="shared" si="42"/>
        <v>0</v>
      </c>
      <c r="S190" s="316">
        <f t="shared" si="43"/>
        <v>0</v>
      </c>
    </row>
    <row r="191" spans="1:19">
      <c r="A191" s="150"/>
      <c r="B191" s="54"/>
      <c r="C191" s="21">
        <f t="shared" si="34"/>
        <v>1</v>
      </c>
      <c r="D191" s="667"/>
      <c r="E191" s="21">
        <f t="shared" si="35"/>
        <v>1</v>
      </c>
      <c r="F191" s="667"/>
      <c r="G191" s="21">
        <f t="shared" si="36"/>
        <v>1</v>
      </c>
      <c r="H191" s="667"/>
      <c r="I191" s="21">
        <f t="shared" si="37"/>
        <v>1</v>
      </c>
      <c r="J191" s="667"/>
      <c r="K191" s="21">
        <f t="shared" si="38"/>
        <v>1</v>
      </c>
      <c r="L191" s="667"/>
      <c r="M191" s="21">
        <f t="shared" si="39"/>
        <v>1</v>
      </c>
      <c r="N191" s="667"/>
      <c r="O191" s="21">
        <f t="shared" si="40"/>
        <v>1</v>
      </c>
      <c r="P191" s="667"/>
      <c r="Q191" s="21">
        <f t="shared" si="41"/>
        <v>1</v>
      </c>
      <c r="R191" s="663">
        <f t="shared" si="42"/>
        <v>0</v>
      </c>
      <c r="S191" s="316">
        <f t="shared" si="43"/>
        <v>0</v>
      </c>
    </row>
    <row r="192" spans="1:19">
      <c r="A192" s="150"/>
      <c r="B192" s="54"/>
      <c r="C192" s="21">
        <f t="shared" si="34"/>
        <v>1</v>
      </c>
      <c r="D192" s="667"/>
      <c r="E192" s="21">
        <f t="shared" si="35"/>
        <v>1</v>
      </c>
      <c r="F192" s="667"/>
      <c r="G192" s="21">
        <f t="shared" si="36"/>
        <v>1</v>
      </c>
      <c r="H192" s="667"/>
      <c r="I192" s="21">
        <f t="shared" si="37"/>
        <v>1</v>
      </c>
      <c r="J192" s="667"/>
      <c r="K192" s="21">
        <f t="shared" si="38"/>
        <v>1</v>
      </c>
      <c r="L192" s="667"/>
      <c r="M192" s="21">
        <f t="shared" si="39"/>
        <v>1</v>
      </c>
      <c r="N192" s="667"/>
      <c r="O192" s="21">
        <f t="shared" si="40"/>
        <v>1</v>
      </c>
      <c r="P192" s="667"/>
      <c r="Q192" s="21">
        <f t="shared" si="41"/>
        <v>1</v>
      </c>
      <c r="R192" s="663">
        <f t="shared" si="42"/>
        <v>0</v>
      </c>
      <c r="S192" s="316">
        <f t="shared" si="43"/>
        <v>0</v>
      </c>
    </row>
    <row r="193" spans="1:19">
      <c r="A193" s="150"/>
      <c r="B193" s="54"/>
      <c r="C193" s="21">
        <f t="shared" si="34"/>
        <v>1</v>
      </c>
      <c r="D193" s="667"/>
      <c r="E193" s="21">
        <f t="shared" si="35"/>
        <v>1</v>
      </c>
      <c r="F193" s="667"/>
      <c r="G193" s="21">
        <f t="shared" si="36"/>
        <v>1</v>
      </c>
      <c r="H193" s="667"/>
      <c r="I193" s="21">
        <f t="shared" si="37"/>
        <v>1</v>
      </c>
      <c r="J193" s="667"/>
      <c r="K193" s="21">
        <f t="shared" si="38"/>
        <v>1</v>
      </c>
      <c r="L193" s="667"/>
      <c r="M193" s="21">
        <f t="shared" si="39"/>
        <v>1</v>
      </c>
      <c r="N193" s="667"/>
      <c r="O193" s="21">
        <f t="shared" si="40"/>
        <v>1</v>
      </c>
      <c r="P193" s="667"/>
      <c r="Q193" s="21">
        <f t="shared" si="41"/>
        <v>1</v>
      </c>
      <c r="R193" s="663">
        <f t="shared" si="42"/>
        <v>0</v>
      </c>
      <c r="S193" s="316">
        <f t="shared" si="43"/>
        <v>0</v>
      </c>
    </row>
    <row r="194" spans="1:19">
      <c r="A194" s="150"/>
      <c r="B194" s="54"/>
      <c r="C194" s="21">
        <f t="shared" si="34"/>
        <v>1</v>
      </c>
      <c r="D194" s="667"/>
      <c r="E194" s="21">
        <f t="shared" si="35"/>
        <v>1</v>
      </c>
      <c r="F194" s="667"/>
      <c r="G194" s="21">
        <f t="shared" si="36"/>
        <v>1</v>
      </c>
      <c r="H194" s="667"/>
      <c r="I194" s="21">
        <f t="shared" si="37"/>
        <v>1</v>
      </c>
      <c r="J194" s="667"/>
      <c r="K194" s="21">
        <f t="shared" si="38"/>
        <v>1</v>
      </c>
      <c r="L194" s="667"/>
      <c r="M194" s="21">
        <f t="shared" si="39"/>
        <v>1</v>
      </c>
      <c r="N194" s="667"/>
      <c r="O194" s="21">
        <f t="shared" si="40"/>
        <v>1</v>
      </c>
      <c r="P194" s="667"/>
      <c r="Q194" s="21">
        <f t="shared" si="41"/>
        <v>1</v>
      </c>
      <c r="R194" s="663">
        <f t="shared" si="42"/>
        <v>0</v>
      </c>
      <c r="S194" s="316">
        <f t="shared" si="43"/>
        <v>0</v>
      </c>
    </row>
    <row r="195" spans="1:19">
      <c r="A195" s="150"/>
      <c r="B195" s="54"/>
      <c r="C195" s="21">
        <f t="shared" si="34"/>
        <v>1</v>
      </c>
      <c r="D195" s="667"/>
      <c r="E195" s="21">
        <f t="shared" si="35"/>
        <v>1</v>
      </c>
      <c r="F195" s="667"/>
      <c r="G195" s="21">
        <f t="shared" si="36"/>
        <v>1</v>
      </c>
      <c r="H195" s="667"/>
      <c r="I195" s="21">
        <f t="shared" si="37"/>
        <v>1</v>
      </c>
      <c r="J195" s="667"/>
      <c r="K195" s="21">
        <f t="shared" si="38"/>
        <v>1</v>
      </c>
      <c r="L195" s="667"/>
      <c r="M195" s="21">
        <f t="shared" si="39"/>
        <v>1</v>
      </c>
      <c r="N195" s="667"/>
      <c r="O195" s="21">
        <f t="shared" si="40"/>
        <v>1</v>
      </c>
      <c r="P195" s="667"/>
      <c r="Q195" s="21">
        <f t="shared" si="41"/>
        <v>1</v>
      </c>
      <c r="R195" s="663">
        <f t="shared" si="42"/>
        <v>0</v>
      </c>
      <c r="S195" s="316">
        <f t="shared" si="43"/>
        <v>0</v>
      </c>
    </row>
    <row r="196" spans="1:19">
      <c r="A196" s="150"/>
      <c r="B196" s="54"/>
      <c r="C196" s="21">
        <f t="shared" si="34"/>
        <v>1</v>
      </c>
      <c r="D196" s="667"/>
      <c r="E196" s="21">
        <f t="shared" si="35"/>
        <v>1</v>
      </c>
      <c r="F196" s="667"/>
      <c r="G196" s="21">
        <f t="shared" si="36"/>
        <v>1</v>
      </c>
      <c r="H196" s="667"/>
      <c r="I196" s="21">
        <f t="shared" si="37"/>
        <v>1</v>
      </c>
      <c r="J196" s="667"/>
      <c r="K196" s="21">
        <f t="shared" si="38"/>
        <v>1</v>
      </c>
      <c r="L196" s="667"/>
      <c r="M196" s="21">
        <f t="shared" si="39"/>
        <v>1</v>
      </c>
      <c r="N196" s="667"/>
      <c r="O196" s="21">
        <f t="shared" si="40"/>
        <v>1</v>
      </c>
      <c r="P196" s="667"/>
      <c r="Q196" s="21">
        <f t="shared" si="41"/>
        <v>1</v>
      </c>
      <c r="R196" s="663">
        <f t="shared" si="42"/>
        <v>0</v>
      </c>
      <c r="S196" s="316">
        <f t="shared" si="43"/>
        <v>0</v>
      </c>
    </row>
    <row r="197" spans="1:19">
      <c r="A197" s="150"/>
      <c r="B197" s="54"/>
      <c r="C197" s="21">
        <f t="shared" si="34"/>
        <v>1</v>
      </c>
      <c r="D197" s="667"/>
      <c r="E197" s="21">
        <f t="shared" si="35"/>
        <v>1</v>
      </c>
      <c r="F197" s="667"/>
      <c r="G197" s="21">
        <f t="shared" si="36"/>
        <v>1</v>
      </c>
      <c r="H197" s="667"/>
      <c r="I197" s="21">
        <f t="shared" si="37"/>
        <v>1</v>
      </c>
      <c r="J197" s="667"/>
      <c r="K197" s="21">
        <f t="shared" si="38"/>
        <v>1</v>
      </c>
      <c r="L197" s="667"/>
      <c r="M197" s="21">
        <f t="shared" si="39"/>
        <v>1</v>
      </c>
      <c r="N197" s="667"/>
      <c r="O197" s="21">
        <f t="shared" si="40"/>
        <v>1</v>
      </c>
      <c r="P197" s="667"/>
      <c r="Q197" s="21">
        <f t="shared" si="41"/>
        <v>1</v>
      </c>
      <c r="R197" s="663">
        <f t="shared" si="42"/>
        <v>0</v>
      </c>
      <c r="S197" s="316">
        <f t="shared" si="43"/>
        <v>0</v>
      </c>
    </row>
    <row r="198" spans="1:19">
      <c r="A198" s="150"/>
      <c r="B198" s="54"/>
      <c r="C198" s="21">
        <f t="shared" si="34"/>
        <v>1</v>
      </c>
      <c r="D198" s="667"/>
      <c r="E198" s="21">
        <f t="shared" si="35"/>
        <v>1</v>
      </c>
      <c r="F198" s="667"/>
      <c r="G198" s="21">
        <f t="shared" si="36"/>
        <v>1</v>
      </c>
      <c r="H198" s="667"/>
      <c r="I198" s="21">
        <f t="shared" si="37"/>
        <v>1</v>
      </c>
      <c r="J198" s="667"/>
      <c r="K198" s="21">
        <f t="shared" si="38"/>
        <v>1</v>
      </c>
      <c r="L198" s="667"/>
      <c r="M198" s="21">
        <f t="shared" si="39"/>
        <v>1</v>
      </c>
      <c r="N198" s="667"/>
      <c r="O198" s="21">
        <f t="shared" si="40"/>
        <v>1</v>
      </c>
      <c r="P198" s="667"/>
      <c r="Q198" s="21">
        <f t="shared" si="41"/>
        <v>1</v>
      </c>
      <c r="R198" s="663">
        <f t="shared" si="42"/>
        <v>0</v>
      </c>
      <c r="S198" s="316">
        <f t="shared" si="43"/>
        <v>0</v>
      </c>
    </row>
    <row r="199" spans="1:19">
      <c r="A199" s="150"/>
      <c r="B199" s="54"/>
      <c r="C199" s="21">
        <f t="shared" si="34"/>
        <v>1</v>
      </c>
      <c r="D199" s="667"/>
      <c r="E199" s="21">
        <f t="shared" si="35"/>
        <v>1</v>
      </c>
      <c r="F199" s="667"/>
      <c r="G199" s="21">
        <f t="shared" si="36"/>
        <v>1</v>
      </c>
      <c r="H199" s="667"/>
      <c r="I199" s="21">
        <f t="shared" si="37"/>
        <v>1</v>
      </c>
      <c r="J199" s="667"/>
      <c r="K199" s="21">
        <f t="shared" si="38"/>
        <v>1</v>
      </c>
      <c r="L199" s="667"/>
      <c r="M199" s="21">
        <f t="shared" si="39"/>
        <v>1</v>
      </c>
      <c r="N199" s="667"/>
      <c r="O199" s="21">
        <f t="shared" si="40"/>
        <v>1</v>
      </c>
      <c r="P199" s="667"/>
      <c r="Q199" s="21">
        <f t="shared" si="41"/>
        <v>1</v>
      </c>
      <c r="R199" s="663">
        <f t="shared" si="42"/>
        <v>0</v>
      </c>
      <c r="S199" s="316">
        <f t="shared" si="43"/>
        <v>0</v>
      </c>
    </row>
    <row r="200" spans="1:19">
      <c r="A200" s="150"/>
      <c r="B200" s="54"/>
      <c r="C200" s="21">
        <f t="shared" si="34"/>
        <v>1</v>
      </c>
      <c r="D200" s="667"/>
      <c r="E200" s="21">
        <f t="shared" si="35"/>
        <v>1</v>
      </c>
      <c r="F200" s="667"/>
      <c r="G200" s="21">
        <f t="shared" si="36"/>
        <v>1</v>
      </c>
      <c r="H200" s="667"/>
      <c r="I200" s="21">
        <f t="shared" si="37"/>
        <v>1</v>
      </c>
      <c r="J200" s="667"/>
      <c r="K200" s="21">
        <f t="shared" si="38"/>
        <v>1</v>
      </c>
      <c r="L200" s="667"/>
      <c r="M200" s="21">
        <f t="shared" si="39"/>
        <v>1</v>
      </c>
      <c r="N200" s="667"/>
      <c r="O200" s="21">
        <f t="shared" si="40"/>
        <v>1</v>
      </c>
      <c r="P200" s="667"/>
      <c r="Q200" s="21">
        <f t="shared" si="41"/>
        <v>1</v>
      </c>
      <c r="R200" s="663">
        <f t="shared" si="42"/>
        <v>0</v>
      </c>
      <c r="S200" s="316">
        <f t="shared" si="43"/>
        <v>0</v>
      </c>
    </row>
    <row r="201" spans="1:19">
      <c r="A201" s="150"/>
      <c r="B201" s="54"/>
      <c r="C201" s="21">
        <f t="shared" si="34"/>
        <v>1</v>
      </c>
      <c r="D201" s="667"/>
      <c r="E201" s="21">
        <f t="shared" si="35"/>
        <v>1</v>
      </c>
      <c r="F201" s="667"/>
      <c r="G201" s="21">
        <f t="shared" si="36"/>
        <v>1</v>
      </c>
      <c r="H201" s="667"/>
      <c r="I201" s="21">
        <f t="shared" si="37"/>
        <v>1</v>
      </c>
      <c r="J201" s="667"/>
      <c r="K201" s="21">
        <f t="shared" si="38"/>
        <v>1</v>
      </c>
      <c r="L201" s="667"/>
      <c r="M201" s="21">
        <f t="shared" si="39"/>
        <v>1</v>
      </c>
      <c r="N201" s="667"/>
      <c r="O201" s="21">
        <f t="shared" si="40"/>
        <v>1</v>
      </c>
      <c r="P201" s="667"/>
      <c r="Q201" s="21">
        <f t="shared" si="41"/>
        <v>1</v>
      </c>
      <c r="R201" s="663">
        <f t="shared" si="42"/>
        <v>0</v>
      </c>
      <c r="S201" s="316">
        <f t="shared" si="43"/>
        <v>0</v>
      </c>
    </row>
    <row r="202" spans="1:19">
      <c r="A202" s="150"/>
      <c r="B202" s="54"/>
      <c r="C202" s="21">
        <f t="shared" si="34"/>
        <v>1</v>
      </c>
      <c r="D202" s="667"/>
      <c r="E202" s="21">
        <f t="shared" si="35"/>
        <v>1</v>
      </c>
      <c r="F202" s="667"/>
      <c r="G202" s="21">
        <f t="shared" si="36"/>
        <v>1</v>
      </c>
      <c r="H202" s="667"/>
      <c r="I202" s="21">
        <f t="shared" si="37"/>
        <v>1</v>
      </c>
      <c r="J202" s="667"/>
      <c r="K202" s="21">
        <f t="shared" si="38"/>
        <v>1</v>
      </c>
      <c r="L202" s="667"/>
      <c r="M202" s="21">
        <f t="shared" si="39"/>
        <v>1</v>
      </c>
      <c r="N202" s="667"/>
      <c r="O202" s="21">
        <f t="shared" si="40"/>
        <v>1</v>
      </c>
      <c r="P202" s="667"/>
      <c r="Q202" s="21">
        <f t="shared" si="41"/>
        <v>1</v>
      </c>
      <c r="R202" s="663">
        <f t="shared" si="42"/>
        <v>0</v>
      </c>
      <c r="S202" s="316">
        <f t="shared" si="43"/>
        <v>0</v>
      </c>
    </row>
    <row r="203" spans="1:19">
      <c r="A203" s="150"/>
      <c r="B203" s="54"/>
      <c r="C203" s="21">
        <f t="shared" si="34"/>
        <v>1</v>
      </c>
      <c r="D203" s="667"/>
      <c r="E203" s="21">
        <f t="shared" si="35"/>
        <v>1</v>
      </c>
      <c r="F203" s="667"/>
      <c r="G203" s="21">
        <f t="shared" si="36"/>
        <v>1</v>
      </c>
      <c r="H203" s="667"/>
      <c r="I203" s="21">
        <f t="shared" si="37"/>
        <v>1</v>
      </c>
      <c r="J203" s="667"/>
      <c r="K203" s="21">
        <f t="shared" si="38"/>
        <v>1</v>
      </c>
      <c r="L203" s="667"/>
      <c r="M203" s="21">
        <f t="shared" si="39"/>
        <v>1</v>
      </c>
      <c r="N203" s="667"/>
      <c r="O203" s="21">
        <f t="shared" si="40"/>
        <v>1</v>
      </c>
      <c r="P203" s="667"/>
      <c r="Q203" s="21">
        <f t="shared" si="41"/>
        <v>1</v>
      </c>
      <c r="R203" s="663">
        <f t="shared" si="42"/>
        <v>0</v>
      </c>
      <c r="S203" s="316">
        <f t="shared" si="43"/>
        <v>0</v>
      </c>
    </row>
    <row r="204" spans="1:19">
      <c r="A204" s="150"/>
      <c r="B204" s="54"/>
      <c r="C204" s="21">
        <f t="shared" si="34"/>
        <v>1</v>
      </c>
      <c r="D204" s="667"/>
      <c r="E204" s="21">
        <f t="shared" si="35"/>
        <v>1</v>
      </c>
      <c r="F204" s="667"/>
      <c r="G204" s="21">
        <f t="shared" si="36"/>
        <v>1</v>
      </c>
      <c r="H204" s="667"/>
      <c r="I204" s="21">
        <f t="shared" si="37"/>
        <v>1</v>
      </c>
      <c r="J204" s="667"/>
      <c r="K204" s="21">
        <f t="shared" si="38"/>
        <v>1</v>
      </c>
      <c r="L204" s="667"/>
      <c r="M204" s="21">
        <f t="shared" si="39"/>
        <v>1</v>
      </c>
      <c r="N204" s="667"/>
      <c r="O204" s="21">
        <f t="shared" si="40"/>
        <v>1</v>
      </c>
      <c r="P204" s="667"/>
      <c r="Q204" s="21">
        <f t="shared" si="41"/>
        <v>1</v>
      </c>
      <c r="R204" s="663">
        <f t="shared" si="42"/>
        <v>0</v>
      </c>
      <c r="S204" s="316">
        <f t="shared" si="43"/>
        <v>0</v>
      </c>
    </row>
    <row r="205" spans="1:19">
      <c r="A205" s="150"/>
      <c r="B205" s="54"/>
      <c r="C205" s="21">
        <f t="shared" si="34"/>
        <v>1</v>
      </c>
      <c r="D205" s="667"/>
      <c r="E205" s="21">
        <f t="shared" si="35"/>
        <v>1</v>
      </c>
      <c r="F205" s="667"/>
      <c r="G205" s="21">
        <f t="shared" si="36"/>
        <v>1</v>
      </c>
      <c r="H205" s="667"/>
      <c r="I205" s="21">
        <f t="shared" si="37"/>
        <v>1</v>
      </c>
      <c r="J205" s="667"/>
      <c r="K205" s="21">
        <f t="shared" si="38"/>
        <v>1</v>
      </c>
      <c r="L205" s="667"/>
      <c r="M205" s="21">
        <f t="shared" si="39"/>
        <v>1</v>
      </c>
      <c r="N205" s="667"/>
      <c r="O205" s="21">
        <f t="shared" si="40"/>
        <v>1</v>
      </c>
      <c r="P205" s="667"/>
      <c r="Q205" s="21">
        <f t="shared" si="41"/>
        <v>1</v>
      </c>
      <c r="R205" s="663">
        <f t="shared" si="42"/>
        <v>0</v>
      </c>
      <c r="S205" s="316">
        <f t="shared" si="43"/>
        <v>0</v>
      </c>
    </row>
    <row r="206" spans="1:19">
      <c r="A206" s="150"/>
      <c r="B206" s="54"/>
      <c r="C206" s="21">
        <f t="shared" si="34"/>
        <v>1</v>
      </c>
      <c r="D206" s="667"/>
      <c r="E206" s="21">
        <f t="shared" si="35"/>
        <v>1</v>
      </c>
      <c r="F206" s="667"/>
      <c r="G206" s="21">
        <f t="shared" si="36"/>
        <v>1</v>
      </c>
      <c r="H206" s="667"/>
      <c r="I206" s="21">
        <f t="shared" si="37"/>
        <v>1</v>
      </c>
      <c r="J206" s="667"/>
      <c r="K206" s="21">
        <f t="shared" si="38"/>
        <v>1</v>
      </c>
      <c r="L206" s="667"/>
      <c r="M206" s="21">
        <f t="shared" si="39"/>
        <v>1</v>
      </c>
      <c r="N206" s="667"/>
      <c r="O206" s="21">
        <f t="shared" si="40"/>
        <v>1</v>
      </c>
      <c r="P206" s="667"/>
      <c r="Q206" s="21">
        <f t="shared" si="41"/>
        <v>1</v>
      </c>
      <c r="R206" s="663">
        <f t="shared" si="42"/>
        <v>0</v>
      </c>
      <c r="S206" s="316">
        <f t="shared" si="43"/>
        <v>0</v>
      </c>
    </row>
    <row r="207" spans="1:19">
      <c r="A207" s="150"/>
      <c r="B207" s="54"/>
      <c r="C207" s="21">
        <f t="shared" si="34"/>
        <v>1</v>
      </c>
      <c r="D207" s="667"/>
      <c r="E207" s="21">
        <f t="shared" si="35"/>
        <v>1</v>
      </c>
      <c r="F207" s="667"/>
      <c r="G207" s="21">
        <f t="shared" si="36"/>
        <v>1</v>
      </c>
      <c r="H207" s="667"/>
      <c r="I207" s="21">
        <f t="shared" si="37"/>
        <v>1</v>
      </c>
      <c r="J207" s="667"/>
      <c r="K207" s="21">
        <f t="shared" si="38"/>
        <v>1</v>
      </c>
      <c r="L207" s="667"/>
      <c r="M207" s="21">
        <f t="shared" si="39"/>
        <v>1</v>
      </c>
      <c r="N207" s="667"/>
      <c r="O207" s="21">
        <f t="shared" si="40"/>
        <v>1</v>
      </c>
      <c r="P207" s="667"/>
      <c r="Q207" s="21">
        <f t="shared" si="41"/>
        <v>1</v>
      </c>
      <c r="R207" s="663">
        <f t="shared" si="42"/>
        <v>0</v>
      </c>
      <c r="S207" s="316">
        <f t="shared" si="43"/>
        <v>0</v>
      </c>
    </row>
    <row r="208" spans="1:19">
      <c r="A208" s="150"/>
      <c r="B208" s="54"/>
      <c r="C208" s="21">
        <f t="shared" si="34"/>
        <v>1</v>
      </c>
      <c r="D208" s="667"/>
      <c r="E208" s="21">
        <f t="shared" si="35"/>
        <v>1</v>
      </c>
      <c r="F208" s="667"/>
      <c r="G208" s="21">
        <f t="shared" si="36"/>
        <v>1</v>
      </c>
      <c r="H208" s="667"/>
      <c r="I208" s="21">
        <f t="shared" si="37"/>
        <v>1</v>
      </c>
      <c r="J208" s="667"/>
      <c r="K208" s="21">
        <f t="shared" si="38"/>
        <v>1</v>
      </c>
      <c r="L208" s="667"/>
      <c r="M208" s="21">
        <f t="shared" si="39"/>
        <v>1</v>
      </c>
      <c r="N208" s="667"/>
      <c r="O208" s="21">
        <f t="shared" si="40"/>
        <v>1</v>
      </c>
      <c r="P208" s="667"/>
      <c r="Q208" s="21">
        <f t="shared" si="41"/>
        <v>1</v>
      </c>
      <c r="R208" s="663">
        <f t="shared" si="42"/>
        <v>0</v>
      </c>
      <c r="S208" s="316">
        <f t="shared" si="43"/>
        <v>0</v>
      </c>
    </row>
    <row r="209" spans="1:19">
      <c r="A209" s="150"/>
      <c r="B209" s="54"/>
      <c r="C209" s="21">
        <f t="shared" si="34"/>
        <v>1</v>
      </c>
      <c r="D209" s="667"/>
      <c r="E209" s="21">
        <f t="shared" si="35"/>
        <v>1</v>
      </c>
      <c r="F209" s="667"/>
      <c r="G209" s="21">
        <f t="shared" si="36"/>
        <v>1</v>
      </c>
      <c r="H209" s="667"/>
      <c r="I209" s="21">
        <f t="shared" si="37"/>
        <v>1</v>
      </c>
      <c r="J209" s="667"/>
      <c r="K209" s="21">
        <f t="shared" si="38"/>
        <v>1</v>
      </c>
      <c r="L209" s="667"/>
      <c r="M209" s="21">
        <f t="shared" si="39"/>
        <v>1</v>
      </c>
      <c r="N209" s="667"/>
      <c r="O209" s="21">
        <f t="shared" si="40"/>
        <v>1</v>
      </c>
      <c r="P209" s="667"/>
      <c r="Q209" s="21">
        <f t="shared" si="41"/>
        <v>1</v>
      </c>
      <c r="R209" s="663">
        <f t="shared" si="42"/>
        <v>0</v>
      </c>
      <c r="S209" s="316">
        <f t="shared" si="43"/>
        <v>0</v>
      </c>
    </row>
    <row r="210" spans="1:19">
      <c r="A210" s="150"/>
      <c r="B210" s="54"/>
      <c r="C210" s="21">
        <f t="shared" si="34"/>
        <v>1</v>
      </c>
      <c r="D210" s="667"/>
      <c r="E210" s="21">
        <f t="shared" si="35"/>
        <v>1</v>
      </c>
      <c r="F210" s="667"/>
      <c r="G210" s="21">
        <f t="shared" si="36"/>
        <v>1</v>
      </c>
      <c r="H210" s="667"/>
      <c r="I210" s="21">
        <f t="shared" si="37"/>
        <v>1</v>
      </c>
      <c r="J210" s="667"/>
      <c r="K210" s="21">
        <f t="shared" si="38"/>
        <v>1</v>
      </c>
      <c r="L210" s="667"/>
      <c r="M210" s="21">
        <f t="shared" si="39"/>
        <v>1</v>
      </c>
      <c r="N210" s="667"/>
      <c r="O210" s="21">
        <f t="shared" si="40"/>
        <v>1</v>
      </c>
      <c r="P210" s="667"/>
      <c r="Q210" s="21">
        <f t="shared" si="41"/>
        <v>1</v>
      </c>
      <c r="R210" s="663">
        <f t="shared" si="42"/>
        <v>0</v>
      </c>
      <c r="S210" s="316">
        <f t="shared" si="43"/>
        <v>0</v>
      </c>
    </row>
    <row r="211" spans="1:19">
      <c r="A211" s="150"/>
      <c r="B211" s="54"/>
      <c r="C211" s="21">
        <f t="shared" si="34"/>
        <v>1</v>
      </c>
      <c r="D211" s="667"/>
      <c r="E211" s="21">
        <f t="shared" si="35"/>
        <v>1</v>
      </c>
      <c r="F211" s="667"/>
      <c r="G211" s="21">
        <f t="shared" si="36"/>
        <v>1</v>
      </c>
      <c r="H211" s="667"/>
      <c r="I211" s="21">
        <f t="shared" si="37"/>
        <v>1</v>
      </c>
      <c r="J211" s="667"/>
      <c r="K211" s="21">
        <f t="shared" si="38"/>
        <v>1</v>
      </c>
      <c r="L211" s="667"/>
      <c r="M211" s="21">
        <f t="shared" si="39"/>
        <v>1</v>
      </c>
      <c r="N211" s="667"/>
      <c r="O211" s="21">
        <f t="shared" si="40"/>
        <v>1</v>
      </c>
      <c r="P211" s="667"/>
      <c r="Q211" s="21">
        <f t="shared" si="41"/>
        <v>1</v>
      </c>
      <c r="R211" s="663">
        <f t="shared" si="42"/>
        <v>0</v>
      </c>
      <c r="S211" s="316">
        <f t="shared" si="43"/>
        <v>0</v>
      </c>
    </row>
    <row r="212" spans="1:19">
      <c r="A212" s="150"/>
      <c r="B212" s="54"/>
      <c r="C212" s="21">
        <f t="shared" si="34"/>
        <v>1</v>
      </c>
      <c r="D212" s="667"/>
      <c r="E212" s="21">
        <f t="shared" si="35"/>
        <v>1</v>
      </c>
      <c r="F212" s="667"/>
      <c r="G212" s="21">
        <f t="shared" si="36"/>
        <v>1</v>
      </c>
      <c r="H212" s="667"/>
      <c r="I212" s="21">
        <f t="shared" si="37"/>
        <v>1</v>
      </c>
      <c r="J212" s="667"/>
      <c r="K212" s="21">
        <f t="shared" si="38"/>
        <v>1</v>
      </c>
      <c r="L212" s="667"/>
      <c r="M212" s="21">
        <f t="shared" si="39"/>
        <v>1</v>
      </c>
      <c r="N212" s="667"/>
      <c r="O212" s="21">
        <f t="shared" si="40"/>
        <v>1</v>
      </c>
      <c r="P212" s="667"/>
      <c r="Q212" s="21">
        <f t="shared" si="41"/>
        <v>1</v>
      </c>
      <c r="R212" s="663">
        <f t="shared" si="42"/>
        <v>0</v>
      </c>
      <c r="S212" s="316">
        <f t="shared" si="43"/>
        <v>0</v>
      </c>
    </row>
    <row r="213" spans="1:19">
      <c r="A213" s="150"/>
      <c r="B213" s="54"/>
      <c r="C213" s="21">
        <f t="shared" si="34"/>
        <v>1</v>
      </c>
      <c r="D213" s="667"/>
      <c r="E213" s="21">
        <f t="shared" si="35"/>
        <v>1</v>
      </c>
      <c r="F213" s="667"/>
      <c r="G213" s="21">
        <f t="shared" si="36"/>
        <v>1</v>
      </c>
      <c r="H213" s="667"/>
      <c r="I213" s="21">
        <f t="shared" si="37"/>
        <v>1</v>
      </c>
      <c r="J213" s="667"/>
      <c r="K213" s="21">
        <f t="shared" si="38"/>
        <v>1</v>
      </c>
      <c r="L213" s="667"/>
      <c r="M213" s="21">
        <f t="shared" si="39"/>
        <v>1</v>
      </c>
      <c r="N213" s="667"/>
      <c r="O213" s="21">
        <f t="shared" si="40"/>
        <v>1</v>
      </c>
      <c r="P213" s="667"/>
      <c r="Q213" s="21">
        <f t="shared" si="41"/>
        <v>1</v>
      </c>
      <c r="R213" s="663">
        <f t="shared" si="42"/>
        <v>0</v>
      </c>
      <c r="S213" s="316">
        <f t="shared" si="43"/>
        <v>0</v>
      </c>
    </row>
    <row r="214" spans="1:19">
      <c r="A214" s="150"/>
      <c r="B214" s="54"/>
      <c r="C214" s="21">
        <f t="shared" si="34"/>
        <v>1</v>
      </c>
      <c r="D214" s="667"/>
      <c r="E214" s="21">
        <f t="shared" si="35"/>
        <v>1</v>
      </c>
      <c r="F214" s="667"/>
      <c r="G214" s="21">
        <f t="shared" si="36"/>
        <v>1</v>
      </c>
      <c r="H214" s="667"/>
      <c r="I214" s="21">
        <f t="shared" si="37"/>
        <v>1</v>
      </c>
      <c r="J214" s="667"/>
      <c r="K214" s="21">
        <f t="shared" si="38"/>
        <v>1</v>
      </c>
      <c r="L214" s="667"/>
      <c r="M214" s="21">
        <f t="shared" si="39"/>
        <v>1</v>
      </c>
      <c r="N214" s="667"/>
      <c r="O214" s="21">
        <f t="shared" si="40"/>
        <v>1</v>
      </c>
      <c r="P214" s="667"/>
      <c r="Q214" s="21">
        <f t="shared" si="41"/>
        <v>1</v>
      </c>
      <c r="R214" s="663">
        <f t="shared" si="42"/>
        <v>0</v>
      </c>
      <c r="S214" s="316">
        <f t="shared" si="43"/>
        <v>0</v>
      </c>
    </row>
    <row r="215" spans="1:19">
      <c r="A215" s="150"/>
      <c r="B215" s="54"/>
      <c r="C215" s="21">
        <f t="shared" si="34"/>
        <v>1</v>
      </c>
      <c r="D215" s="667"/>
      <c r="E215" s="21">
        <f t="shared" si="35"/>
        <v>1</v>
      </c>
      <c r="F215" s="667"/>
      <c r="G215" s="21">
        <f t="shared" si="36"/>
        <v>1</v>
      </c>
      <c r="H215" s="667"/>
      <c r="I215" s="21">
        <f t="shared" si="37"/>
        <v>1</v>
      </c>
      <c r="J215" s="667"/>
      <c r="K215" s="21">
        <f t="shared" si="38"/>
        <v>1</v>
      </c>
      <c r="L215" s="667"/>
      <c r="M215" s="21">
        <f t="shared" si="39"/>
        <v>1</v>
      </c>
      <c r="N215" s="667"/>
      <c r="O215" s="21">
        <f t="shared" si="40"/>
        <v>1</v>
      </c>
      <c r="P215" s="667"/>
      <c r="Q215" s="21">
        <f t="shared" si="41"/>
        <v>1</v>
      </c>
      <c r="R215" s="663">
        <f t="shared" si="42"/>
        <v>0</v>
      </c>
      <c r="S215" s="316">
        <f t="shared" si="43"/>
        <v>0</v>
      </c>
    </row>
    <row r="216" spans="1:19">
      <c r="A216" s="150"/>
      <c r="B216" s="54"/>
      <c r="C216" s="21">
        <f t="shared" si="34"/>
        <v>1</v>
      </c>
      <c r="D216" s="667"/>
      <c r="E216" s="21">
        <f t="shared" si="35"/>
        <v>1</v>
      </c>
      <c r="F216" s="667"/>
      <c r="G216" s="21">
        <f t="shared" si="36"/>
        <v>1</v>
      </c>
      <c r="H216" s="667"/>
      <c r="I216" s="21">
        <f t="shared" si="37"/>
        <v>1</v>
      </c>
      <c r="J216" s="667"/>
      <c r="K216" s="21">
        <f t="shared" si="38"/>
        <v>1</v>
      </c>
      <c r="L216" s="667"/>
      <c r="M216" s="21">
        <f t="shared" si="39"/>
        <v>1</v>
      </c>
      <c r="N216" s="667"/>
      <c r="O216" s="21">
        <f t="shared" si="40"/>
        <v>1</v>
      </c>
      <c r="P216" s="667"/>
      <c r="Q216" s="21">
        <f t="shared" si="41"/>
        <v>1</v>
      </c>
      <c r="R216" s="663">
        <f t="shared" si="42"/>
        <v>0</v>
      </c>
      <c r="S216" s="316">
        <f t="shared" si="43"/>
        <v>0</v>
      </c>
    </row>
    <row r="217" spans="1:19">
      <c r="A217" s="150"/>
      <c r="B217" s="54"/>
      <c r="C217" s="21">
        <f t="shared" si="34"/>
        <v>1</v>
      </c>
      <c r="D217" s="667"/>
      <c r="E217" s="21">
        <f t="shared" si="35"/>
        <v>1</v>
      </c>
      <c r="F217" s="667"/>
      <c r="G217" s="21">
        <f t="shared" si="36"/>
        <v>1</v>
      </c>
      <c r="H217" s="667"/>
      <c r="I217" s="21">
        <f t="shared" si="37"/>
        <v>1</v>
      </c>
      <c r="J217" s="667"/>
      <c r="K217" s="21">
        <f t="shared" si="38"/>
        <v>1</v>
      </c>
      <c r="L217" s="667"/>
      <c r="M217" s="21">
        <f t="shared" si="39"/>
        <v>1</v>
      </c>
      <c r="N217" s="667"/>
      <c r="O217" s="21">
        <f t="shared" si="40"/>
        <v>1</v>
      </c>
      <c r="P217" s="667"/>
      <c r="Q217" s="21">
        <f t="shared" si="41"/>
        <v>1</v>
      </c>
      <c r="R217" s="663">
        <f t="shared" si="42"/>
        <v>0</v>
      </c>
      <c r="S217" s="316">
        <f t="shared" si="43"/>
        <v>0</v>
      </c>
    </row>
    <row r="218" spans="1:19">
      <c r="A218" s="150"/>
      <c r="B218" s="54"/>
      <c r="C218" s="21">
        <f t="shared" ref="C218:C281" si="44">IF(B218="",1,(LOOKUP(B218,$3:$3,$4:$4)-LOOKUP($B$24,$3:$3,$4:$4)+100)/100)</f>
        <v>1</v>
      </c>
      <c r="D218" s="667"/>
      <c r="E218" s="21">
        <f t="shared" ref="E218:E281" si="45">(SUMIF($5:$5,D218,$6:$6)-SUMIF($5:$5,$D$24,$6:$6)+100)/100</f>
        <v>1</v>
      </c>
      <c r="F218" s="667"/>
      <c r="G218" s="21">
        <f t="shared" ref="G218:G281" si="46">(SUMIF($7:$7,F218,$8:$8)-SUMIF($7:$7,$F$24,$8:$8)+100)/100</f>
        <v>1</v>
      </c>
      <c r="H218" s="667"/>
      <c r="I218" s="21">
        <f t="shared" ref="I218:I281" si="47">(SUMIF($9:$9,H218,$10:$10)-SUMIF($9:$9,$H$24,$10:$10)+100)/100</f>
        <v>1</v>
      </c>
      <c r="J218" s="667"/>
      <c r="K218" s="21">
        <f t="shared" ref="K218:K281" si="48">(SUMIF($11:$11,J218,$12:$12)-SUMIF($11:$11,$J$24,$12:$12)+100)/100</f>
        <v>1</v>
      </c>
      <c r="L218" s="667"/>
      <c r="M218" s="21">
        <f t="shared" ref="M218:M281" si="49">(SUMIF($13:$13,L218,$14:$14)-SUMIF($13:$13,$L$24,$14:$14)+100)/100</f>
        <v>1</v>
      </c>
      <c r="N218" s="667"/>
      <c r="O218" s="21">
        <f t="shared" ref="O218:O281" si="50">(SUMIF($15:$15,N218,$16:$16)-SUMIF($15:$15,$N$24,$16:$16)+100)/100</f>
        <v>1</v>
      </c>
      <c r="P218" s="667"/>
      <c r="Q218" s="21">
        <f t="shared" ref="Q218:Q281" si="51">(SUMIF($17:$17,P218,$18:$18)-SUMIF($17:$17,$P$24,$18:$18)+100)/100</f>
        <v>1</v>
      </c>
      <c r="R218" s="663">
        <f t="shared" ref="R218:R281" si="52">IF(B218="",0,ROUND($R$24*C218*E218*G218*I218*K218*M218*O218*Q218,0))</f>
        <v>0</v>
      </c>
      <c r="S218" s="316">
        <f t="shared" si="43"/>
        <v>0</v>
      </c>
    </row>
    <row r="219" spans="1:19">
      <c r="A219" s="150"/>
      <c r="B219" s="54"/>
      <c r="C219" s="21">
        <f t="shared" si="44"/>
        <v>1</v>
      </c>
      <c r="D219" s="667"/>
      <c r="E219" s="21">
        <f t="shared" si="45"/>
        <v>1</v>
      </c>
      <c r="F219" s="667"/>
      <c r="G219" s="21">
        <f t="shared" si="46"/>
        <v>1</v>
      </c>
      <c r="H219" s="667"/>
      <c r="I219" s="21">
        <f t="shared" si="47"/>
        <v>1</v>
      </c>
      <c r="J219" s="667"/>
      <c r="K219" s="21">
        <f t="shared" si="48"/>
        <v>1</v>
      </c>
      <c r="L219" s="667"/>
      <c r="M219" s="21">
        <f t="shared" si="49"/>
        <v>1</v>
      </c>
      <c r="N219" s="667"/>
      <c r="O219" s="21">
        <f t="shared" si="50"/>
        <v>1</v>
      </c>
      <c r="P219" s="667"/>
      <c r="Q219" s="21">
        <f t="shared" si="51"/>
        <v>1</v>
      </c>
      <c r="R219" s="663">
        <f t="shared" si="52"/>
        <v>0</v>
      </c>
      <c r="S219" s="316">
        <f t="shared" si="43"/>
        <v>0</v>
      </c>
    </row>
    <row r="220" spans="1:19">
      <c r="A220" s="150"/>
      <c r="B220" s="54"/>
      <c r="C220" s="21">
        <f t="shared" si="44"/>
        <v>1</v>
      </c>
      <c r="D220" s="667"/>
      <c r="E220" s="21">
        <f t="shared" si="45"/>
        <v>1</v>
      </c>
      <c r="F220" s="667"/>
      <c r="G220" s="21">
        <f t="shared" si="46"/>
        <v>1</v>
      </c>
      <c r="H220" s="667"/>
      <c r="I220" s="21">
        <f t="shared" si="47"/>
        <v>1</v>
      </c>
      <c r="J220" s="667"/>
      <c r="K220" s="21">
        <f t="shared" si="48"/>
        <v>1</v>
      </c>
      <c r="L220" s="667"/>
      <c r="M220" s="21">
        <f t="shared" si="49"/>
        <v>1</v>
      </c>
      <c r="N220" s="667"/>
      <c r="O220" s="21">
        <f t="shared" si="50"/>
        <v>1</v>
      </c>
      <c r="P220" s="667"/>
      <c r="Q220" s="21">
        <f t="shared" si="51"/>
        <v>1</v>
      </c>
      <c r="R220" s="663">
        <f t="shared" si="52"/>
        <v>0</v>
      </c>
      <c r="S220" s="316">
        <f t="shared" si="43"/>
        <v>0</v>
      </c>
    </row>
    <row r="221" spans="1:19">
      <c r="A221" s="150"/>
      <c r="B221" s="54"/>
      <c r="C221" s="21">
        <f t="shared" si="44"/>
        <v>1</v>
      </c>
      <c r="D221" s="667"/>
      <c r="E221" s="21">
        <f t="shared" si="45"/>
        <v>1</v>
      </c>
      <c r="F221" s="667"/>
      <c r="G221" s="21">
        <f t="shared" si="46"/>
        <v>1</v>
      </c>
      <c r="H221" s="667"/>
      <c r="I221" s="21">
        <f t="shared" si="47"/>
        <v>1</v>
      </c>
      <c r="J221" s="667"/>
      <c r="K221" s="21">
        <f t="shared" si="48"/>
        <v>1</v>
      </c>
      <c r="L221" s="667"/>
      <c r="M221" s="21">
        <f t="shared" si="49"/>
        <v>1</v>
      </c>
      <c r="N221" s="667"/>
      <c r="O221" s="21">
        <f t="shared" si="50"/>
        <v>1</v>
      </c>
      <c r="P221" s="667"/>
      <c r="Q221" s="21">
        <f t="shared" si="51"/>
        <v>1</v>
      </c>
      <c r="R221" s="663">
        <f t="shared" si="52"/>
        <v>0</v>
      </c>
      <c r="S221" s="316">
        <f t="shared" si="43"/>
        <v>0</v>
      </c>
    </row>
    <row r="222" spans="1:19">
      <c r="A222" s="150"/>
      <c r="B222" s="54"/>
      <c r="C222" s="21">
        <f t="shared" si="44"/>
        <v>1</v>
      </c>
      <c r="D222" s="667"/>
      <c r="E222" s="21">
        <f t="shared" si="45"/>
        <v>1</v>
      </c>
      <c r="F222" s="667"/>
      <c r="G222" s="21">
        <f t="shared" si="46"/>
        <v>1</v>
      </c>
      <c r="H222" s="667"/>
      <c r="I222" s="21">
        <f t="shared" si="47"/>
        <v>1</v>
      </c>
      <c r="J222" s="667"/>
      <c r="K222" s="21">
        <f t="shared" si="48"/>
        <v>1</v>
      </c>
      <c r="L222" s="667"/>
      <c r="M222" s="21">
        <f t="shared" si="49"/>
        <v>1</v>
      </c>
      <c r="N222" s="667"/>
      <c r="O222" s="21">
        <f t="shared" si="50"/>
        <v>1</v>
      </c>
      <c r="P222" s="667"/>
      <c r="Q222" s="21">
        <f t="shared" si="51"/>
        <v>1</v>
      </c>
      <c r="R222" s="663">
        <f t="shared" si="52"/>
        <v>0</v>
      </c>
      <c r="S222" s="316">
        <f t="shared" si="43"/>
        <v>0</v>
      </c>
    </row>
    <row r="223" spans="1:19">
      <c r="A223" s="150"/>
      <c r="B223" s="54"/>
      <c r="C223" s="21">
        <f t="shared" si="44"/>
        <v>1</v>
      </c>
      <c r="D223" s="667"/>
      <c r="E223" s="21">
        <f t="shared" si="45"/>
        <v>1</v>
      </c>
      <c r="F223" s="667"/>
      <c r="G223" s="21">
        <f t="shared" si="46"/>
        <v>1</v>
      </c>
      <c r="H223" s="667"/>
      <c r="I223" s="21">
        <f t="shared" si="47"/>
        <v>1</v>
      </c>
      <c r="J223" s="667"/>
      <c r="K223" s="21">
        <f t="shared" si="48"/>
        <v>1</v>
      </c>
      <c r="L223" s="667"/>
      <c r="M223" s="21">
        <f t="shared" si="49"/>
        <v>1</v>
      </c>
      <c r="N223" s="667"/>
      <c r="O223" s="21">
        <f t="shared" si="50"/>
        <v>1</v>
      </c>
      <c r="P223" s="667"/>
      <c r="Q223" s="21">
        <f t="shared" si="51"/>
        <v>1</v>
      </c>
      <c r="R223" s="663">
        <f t="shared" si="52"/>
        <v>0</v>
      </c>
      <c r="S223" s="316">
        <f t="shared" ref="S223:S286" si="53">ROUND(R223*B223/10000,0)</f>
        <v>0</v>
      </c>
    </row>
    <row r="224" spans="1:19">
      <c r="A224" s="150"/>
      <c r="B224" s="54"/>
      <c r="C224" s="21">
        <f t="shared" si="44"/>
        <v>1</v>
      </c>
      <c r="D224" s="667"/>
      <c r="E224" s="21">
        <f t="shared" si="45"/>
        <v>1</v>
      </c>
      <c r="F224" s="667"/>
      <c r="G224" s="21">
        <f t="shared" si="46"/>
        <v>1</v>
      </c>
      <c r="H224" s="667"/>
      <c r="I224" s="21">
        <f t="shared" si="47"/>
        <v>1</v>
      </c>
      <c r="J224" s="667"/>
      <c r="K224" s="21">
        <f t="shared" si="48"/>
        <v>1</v>
      </c>
      <c r="L224" s="667"/>
      <c r="M224" s="21">
        <f t="shared" si="49"/>
        <v>1</v>
      </c>
      <c r="N224" s="667"/>
      <c r="O224" s="21">
        <f t="shared" si="50"/>
        <v>1</v>
      </c>
      <c r="P224" s="667"/>
      <c r="Q224" s="21">
        <f t="shared" si="51"/>
        <v>1</v>
      </c>
      <c r="R224" s="663">
        <f t="shared" si="52"/>
        <v>0</v>
      </c>
      <c r="S224" s="316">
        <f t="shared" si="53"/>
        <v>0</v>
      </c>
    </row>
    <row r="225" spans="1:19">
      <c r="A225" s="150"/>
      <c r="B225" s="54"/>
      <c r="C225" s="21">
        <f t="shared" si="44"/>
        <v>1</v>
      </c>
      <c r="D225" s="667"/>
      <c r="E225" s="21">
        <f t="shared" si="45"/>
        <v>1</v>
      </c>
      <c r="F225" s="667"/>
      <c r="G225" s="21">
        <f t="shared" si="46"/>
        <v>1</v>
      </c>
      <c r="H225" s="667"/>
      <c r="I225" s="21">
        <f t="shared" si="47"/>
        <v>1</v>
      </c>
      <c r="J225" s="667"/>
      <c r="K225" s="21">
        <f t="shared" si="48"/>
        <v>1</v>
      </c>
      <c r="L225" s="667"/>
      <c r="M225" s="21">
        <f t="shared" si="49"/>
        <v>1</v>
      </c>
      <c r="N225" s="667"/>
      <c r="O225" s="21">
        <f t="shared" si="50"/>
        <v>1</v>
      </c>
      <c r="P225" s="667"/>
      <c r="Q225" s="21">
        <f t="shared" si="51"/>
        <v>1</v>
      </c>
      <c r="R225" s="663">
        <f t="shared" si="52"/>
        <v>0</v>
      </c>
      <c r="S225" s="316">
        <f t="shared" si="53"/>
        <v>0</v>
      </c>
    </row>
    <row r="226" spans="1:19">
      <c r="A226" s="150"/>
      <c r="B226" s="54"/>
      <c r="C226" s="21">
        <f t="shared" si="44"/>
        <v>1</v>
      </c>
      <c r="D226" s="667"/>
      <c r="E226" s="21">
        <f t="shared" si="45"/>
        <v>1</v>
      </c>
      <c r="F226" s="667"/>
      <c r="G226" s="21">
        <f t="shared" si="46"/>
        <v>1</v>
      </c>
      <c r="H226" s="667"/>
      <c r="I226" s="21">
        <f t="shared" si="47"/>
        <v>1</v>
      </c>
      <c r="J226" s="667"/>
      <c r="K226" s="21">
        <f t="shared" si="48"/>
        <v>1</v>
      </c>
      <c r="L226" s="667"/>
      <c r="M226" s="21">
        <f t="shared" si="49"/>
        <v>1</v>
      </c>
      <c r="N226" s="667"/>
      <c r="O226" s="21">
        <f t="shared" si="50"/>
        <v>1</v>
      </c>
      <c r="P226" s="667"/>
      <c r="Q226" s="21">
        <f t="shared" si="51"/>
        <v>1</v>
      </c>
      <c r="R226" s="663">
        <f t="shared" si="52"/>
        <v>0</v>
      </c>
      <c r="S226" s="316">
        <f t="shared" si="53"/>
        <v>0</v>
      </c>
    </row>
    <row r="227" spans="1:19">
      <c r="A227" s="150"/>
      <c r="B227" s="54"/>
      <c r="C227" s="21">
        <f t="shared" si="44"/>
        <v>1</v>
      </c>
      <c r="D227" s="667"/>
      <c r="E227" s="21">
        <f t="shared" si="45"/>
        <v>1</v>
      </c>
      <c r="F227" s="667"/>
      <c r="G227" s="21">
        <f t="shared" si="46"/>
        <v>1</v>
      </c>
      <c r="H227" s="667"/>
      <c r="I227" s="21">
        <f t="shared" si="47"/>
        <v>1</v>
      </c>
      <c r="J227" s="667"/>
      <c r="K227" s="21">
        <f t="shared" si="48"/>
        <v>1</v>
      </c>
      <c r="L227" s="667"/>
      <c r="M227" s="21">
        <f t="shared" si="49"/>
        <v>1</v>
      </c>
      <c r="N227" s="667"/>
      <c r="O227" s="21">
        <f t="shared" si="50"/>
        <v>1</v>
      </c>
      <c r="P227" s="667"/>
      <c r="Q227" s="21">
        <f t="shared" si="51"/>
        <v>1</v>
      </c>
      <c r="R227" s="663">
        <f t="shared" si="52"/>
        <v>0</v>
      </c>
      <c r="S227" s="316">
        <f t="shared" si="53"/>
        <v>0</v>
      </c>
    </row>
    <row r="228" spans="1:19">
      <c r="A228" s="150"/>
      <c r="B228" s="54"/>
      <c r="C228" s="21">
        <f t="shared" si="44"/>
        <v>1</v>
      </c>
      <c r="D228" s="667"/>
      <c r="E228" s="21">
        <f t="shared" si="45"/>
        <v>1</v>
      </c>
      <c r="F228" s="667"/>
      <c r="G228" s="21">
        <f t="shared" si="46"/>
        <v>1</v>
      </c>
      <c r="H228" s="667"/>
      <c r="I228" s="21">
        <f t="shared" si="47"/>
        <v>1</v>
      </c>
      <c r="J228" s="667"/>
      <c r="K228" s="21">
        <f t="shared" si="48"/>
        <v>1</v>
      </c>
      <c r="L228" s="667"/>
      <c r="M228" s="21">
        <f t="shared" si="49"/>
        <v>1</v>
      </c>
      <c r="N228" s="667"/>
      <c r="O228" s="21">
        <f t="shared" si="50"/>
        <v>1</v>
      </c>
      <c r="P228" s="667"/>
      <c r="Q228" s="21">
        <f t="shared" si="51"/>
        <v>1</v>
      </c>
      <c r="R228" s="663">
        <f t="shared" si="52"/>
        <v>0</v>
      </c>
      <c r="S228" s="316">
        <f t="shared" si="53"/>
        <v>0</v>
      </c>
    </row>
    <row r="229" spans="1:19">
      <c r="A229" s="150"/>
      <c r="B229" s="54"/>
      <c r="C229" s="21">
        <f t="shared" si="44"/>
        <v>1</v>
      </c>
      <c r="D229" s="667"/>
      <c r="E229" s="21">
        <f t="shared" si="45"/>
        <v>1</v>
      </c>
      <c r="F229" s="667"/>
      <c r="G229" s="21">
        <f t="shared" si="46"/>
        <v>1</v>
      </c>
      <c r="H229" s="667"/>
      <c r="I229" s="21">
        <f t="shared" si="47"/>
        <v>1</v>
      </c>
      <c r="J229" s="667"/>
      <c r="K229" s="21">
        <f t="shared" si="48"/>
        <v>1</v>
      </c>
      <c r="L229" s="667"/>
      <c r="M229" s="21">
        <f t="shared" si="49"/>
        <v>1</v>
      </c>
      <c r="N229" s="667"/>
      <c r="O229" s="21">
        <f t="shared" si="50"/>
        <v>1</v>
      </c>
      <c r="P229" s="667"/>
      <c r="Q229" s="21">
        <f t="shared" si="51"/>
        <v>1</v>
      </c>
      <c r="R229" s="663">
        <f t="shared" si="52"/>
        <v>0</v>
      </c>
      <c r="S229" s="316">
        <f t="shared" si="53"/>
        <v>0</v>
      </c>
    </row>
    <row r="230" spans="1:19">
      <c r="A230" s="150"/>
      <c r="B230" s="54"/>
      <c r="C230" s="21">
        <f t="shared" si="44"/>
        <v>1</v>
      </c>
      <c r="D230" s="667"/>
      <c r="E230" s="21">
        <f t="shared" si="45"/>
        <v>1</v>
      </c>
      <c r="F230" s="667"/>
      <c r="G230" s="21">
        <f t="shared" si="46"/>
        <v>1</v>
      </c>
      <c r="H230" s="667"/>
      <c r="I230" s="21">
        <f t="shared" si="47"/>
        <v>1</v>
      </c>
      <c r="J230" s="667"/>
      <c r="K230" s="21">
        <f t="shared" si="48"/>
        <v>1</v>
      </c>
      <c r="L230" s="667"/>
      <c r="M230" s="21">
        <f t="shared" si="49"/>
        <v>1</v>
      </c>
      <c r="N230" s="667"/>
      <c r="O230" s="21">
        <f t="shared" si="50"/>
        <v>1</v>
      </c>
      <c r="P230" s="667"/>
      <c r="Q230" s="21">
        <f t="shared" si="51"/>
        <v>1</v>
      </c>
      <c r="R230" s="663">
        <f t="shared" si="52"/>
        <v>0</v>
      </c>
      <c r="S230" s="316">
        <f t="shared" si="53"/>
        <v>0</v>
      </c>
    </row>
    <row r="231" spans="1:19">
      <c r="A231" s="150"/>
      <c r="B231" s="54"/>
      <c r="C231" s="21">
        <f t="shared" si="44"/>
        <v>1</v>
      </c>
      <c r="D231" s="667"/>
      <c r="E231" s="21">
        <f t="shared" si="45"/>
        <v>1</v>
      </c>
      <c r="F231" s="667"/>
      <c r="G231" s="21">
        <f t="shared" si="46"/>
        <v>1</v>
      </c>
      <c r="H231" s="667"/>
      <c r="I231" s="21">
        <f t="shared" si="47"/>
        <v>1</v>
      </c>
      <c r="J231" s="667"/>
      <c r="K231" s="21">
        <f t="shared" si="48"/>
        <v>1</v>
      </c>
      <c r="L231" s="667"/>
      <c r="M231" s="21">
        <f t="shared" si="49"/>
        <v>1</v>
      </c>
      <c r="N231" s="667"/>
      <c r="O231" s="21">
        <f t="shared" si="50"/>
        <v>1</v>
      </c>
      <c r="P231" s="667"/>
      <c r="Q231" s="21">
        <f t="shared" si="51"/>
        <v>1</v>
      </c>
      <c r="R231" s="663">
        <f t="shared" si="52"/>
        <v>0</v>
      </c>
      <c r="S231" s="316">
        <f t="shared" si="53"/>
        <v>0</v>
      </c>
    </row>
    <row r="232" spans="1:19">
      <c r="A232" s="150"/>
      <c r="B232" s="54"/>
      <c r="C232" s="21">
        <f t="shared" si="44"/>
        <v>1</v>
      </c>
      <c r="D232" s="667"/>
      <c r="E232" s="21">
        <f t="shared" si="45"/>
        <v>1</v>
      </c>
      <c r="F232" s="667"/>
      <c r="G232" s="21">
        <f t="shared" si="46"/>
        <v>1</v>
      </c>
      <c r="H232" s="667"/>
      <c r="I232" s="21">
        <f t="shared" si="47"/>
        <v>1</v>
      </c>
      <c r="J232" s="667"/>
      <c r="K232" s="21">
        <f t="shared" si="48"/>
        <v>1</v>
      </c>
      <c r="L232" s="667"/>
      <c r="M232" s="21">
        <f t="shared" si="49"/>
        <v>1</v>
      </c>
      <c r="N232" s="667"/>
      <c r="O232" s="21">
        <f t="shared" si="50"/>
        <v>1</v>
      </c>
      <c r="P232" s="667"/>
      <c r="Q232" s="21">
        <f t="shared" si="51"/>
        <v>1</v>
      </c>
      <c r="R232" s="663">
        <f t="shared" si="52"/>
        <v>0</v>
      </c>
      <c r="S232" s="316">
        <f t="shared" si="53"/>
        <v>0</v>
      </c>
    </row>
    <row r="233" spans="1:19">
      <c r="A233" s="150"/>
      <c r="B233" s="54"/>
      <c r="C233" s="21">
        <f t="shared" si="44"/>
        <v>1</v>
      </c>
      <c r="D233" s="667"/>
      <c r="E233" s="21">
        <f t="shared" si="45"/>
        <v>1</v>
      </c>
      <c r="F233" s="667"/>
      <c r="G233" s="21">
        <f t="shared" si="46"/>
        <v>1</v>
      </c>
      <c r="H233" s="667"/>
      <c r="I233" s="21">
        <f t="shared" si="47"/>
        <v>1</v>
      </c>
      <c r="J233" s="667"/>
      <c r="K233" s="21">
        <f t="shared" si="48"/>
        <v>1</v>
      </c>
      <c r="L233" s="667"/>
      <c r="M233" s="21">
        <f t="shared" si="49"/>
        <v>1</v>
      </c>
      <c r="N233" s="667"/>
      <c r="O233" s="21">
        <f t="shared" si="50"/>
        <v>1</v>
      </c>
      <c r="P233" s="667"/>
      <c r="Q233" s="21">
        <f t="shared" si="51"/>
        <v>1</v>
      </c>
      <c r="R233" s="663">
        <f t="shared" si="52"/>
        <v>0</v>
      </c>
      <c r="S233" s="316">
        <f t="shared" si="53"/>
        <v>0</v>
      </c>
    </row>
    <row r="234" spans="1:19">
      <c r="A234" s="150"/>
      <c r="B234" s="54"/>
      <c r="C234" s="21">
        <f t="shared" si="44"/>
        <v>1</v>
      </c>
      <c r="D234" s="667"/>
      <c r="E234" s="21">
        <f t="shared" si="45"/>
        <v>1</v>
      </c>
      <c r="F234" s="667"/>
      <c r="G234" s="21">
        <f t="shared" si="46"/>
        <v>1</v>
      </c>
      <c r="H234" s="667"/>
      <c r="I234" s="21">
        <f t="shared" si="47"/>
        <v>1</v>
      </c>
      <c r="J234" s="667"/>
      <c r="K234" s="21">
        <f t="shared" si="48"/>
        <v>1</v>
      </c>
      <c r="L234" s="667"/>
      <c r="M234" s="21">
        <f t="shared" si="49"/>
        <v>1</v>
      </c>
      <c r="N234" s="667"/>
      <c r="O234" s="21">
        <f t="shared" si="50"/>
        <v>1</v>
      </c>
      <c r="P234" s="667"/>
      <c r="Q234" s="21">
        <f t="shared" si="51"/>
        <v>1</v>
      </c>
      <c r="R234" s="663">
        <f t="shared" si="52"/>
        <v>0</v>
      </c>
      <c r="S234" s="316">
        <f t="shared" si="53"/>
        <v>0</v>
      </c>
    </row>
    <row r="235" spans="1:19">
      <c r="A235" s="150"/>
      <c r="B235" s="54"/>
      <c r="C235" s="21">
        <f t="shared" si="44"/>
        <v>1</v>
      </c>
      <c r="D235" s="667"/>
      <c r="E235" s="21">
        <f t="shared" si="45"/>
        <v>1</v>
      </c>
      <c r="F235" s="667"/>
      <c r="G235" s="21">
        <f t="shared" si="46"/>
        <v>1</v>
      </c>
      <c r="H235" s="667"/>
      <c r="I235" s="21">
        <f t="shared" si="47"/>
        <v>1</v>
      </c>
      <c r="J235" s="667"/>
      <c r="K235" s="21">
        <f t="shared" si="48"/>
        <v>1</v>
      </c>
      <c r="L235" s="667"/>
      <c r="M235" s="21">
        <f t="shared" si="49"/>
        <v>1</v>
      </c>
      <c r="N235" s="667"/>
      <c r="O235" s="21">
        <f t="shared" si="50"/>
        <v>1</v>
      </c>
      <c r="P235" s="667"/>
      <c r="Q235" s="21">
        <f t="shared" si="51"/>
        <v>1</v>
      </c>
      <c r="R235" s="663">
        <f t="shared" si="52"/>
        <v>0</v>
      </c>
      <c r="S235" s="316">
        <f t="shared" si="53"/>
        <v>0</v>
      </c>
    </row>
    <row r="236" spans="1:19">
      <c r="A236" s="150"/>
      <c r="B236" s="54"/>
      <c r="C236" s="21">
        <f t="shared" si="44"/>
        <v>1</v>
      </c>
      <c r="D236" s="667"/>
      <c r="E236" s="21">
        <f t="shared" si="45"/>
        <v>1</v>
      </c>
      <c r="F236" s="667"/>
      <c r="G236" s="21">
        <f t="shared" si="46"/>
        <v>1</v>
      </c>
      <c r="H236" s="667"/>
      <c r="I236" s="21">
        <f t="shared" si="47"/>
        <v>1</v>
      </c>
      <c r="J236" s="667"/>
      <c r="K236" s="21">
        <f t="shared" si="48"/>
        <v>1</v>
      </c>
      <c r="L236" s="667"/>
      <c r="M236" s="21">
        <f t="shared" si="49"/>
        <v>1</v>
      </c>
      <c r="N236" s="667"/>
      <c r="O236" s="21">
        <f t="shared" si="50"/>
        <v>1</v>
      </c>
      <c r="P236" s="667"/>
      <c r="Q236" s="21">
        <f t="shared" si="51"/>
        <v>1</v>
      </c>
      <c r="R236" s="663">
        <f t="shared" si="52"/>
        <v>0</v>
      </c>
      <c r="S236" s="316">
        <f t="shared" si="53"/>
        <v>0</v>
      </c>
    </row>
    <row r="237" spans="1:19">
      <c r="A237" s="150"/>
      <c r="B237" s="54"/>
      <c r="C237" s="21">
        <f t="shared" si="44"/>
        <v>1</v>
      </c>
      <c r="D237" s="667"/>
      <c r="E237" s="21">
        <f t="shared" si="45"/>
        <v>1</v>
      </c>
      <c r="F237" s="667"/>
      <c r="G237" s="21">
        <f t="shared" si="46"/>
        <v>1</v>
      </c>
      <c r="H237" s="667"/>
      <c r="I237" s="21">
        <f t="shared" si="47"/>
        <v>1</v>
      </c>
      <c r="J237" s="667"/>
      <c r="K237" s="21">
        <f t="shared" si="48"/>
        <v>1</v>
      </c>
      <c r="L237" s="667"/>
      <c r="M237" s="21">
        <f t="shared" si="49"/>
        <v>1</v>
      </c>
      <c r="N237" s="667"/>
      <c r="O237" s="21">
        <f t="shared" si="50"/>
        <v>1</v>
      </c>
      <c r="P237" s="667"/>
      <c r="Q237" s="21">
        <f t="shared" si="51"/>
        <v>1</v>
      </c>
      <c r="R237" s="663">
        <f t="shared" si="52"/>
        <v>0</v>
      </c>
      <c r="S237" s="316">
        <f t="shared" si="53"/>
        <v>0</v>
      </c>
    </row>
    <row r="238" spans="1:19">
      <c r="A238" s="150"/>
      <c r="B238" s="54"/>
      <c r="C238" s="21">
        <f t="shared" si="44"/>
        <v>1</v>
      </c>
      <c r="D238" s="667"/>
      <c r="E238" s="21">
        <f t="shared" si="45"/>
        <v>1</v>
      </c>
      <c r="F238" s="667"/>
      <c r="G238" s="21">
        <f t="shared" si="46"/>
        <v>1</v>
      </c>
      <c r="H238" s="667"/>
      <c r="I238" s="21">
        <f t="shared" si="47"/>
        <v>1</v>
      </c>
      <c r="J238" s="667"/>
      <c r="K238" s="21">
        <f t="shared" si="48"/>
        <v>1</v>
      </c>
      <c r="L238" s="667"/>
      <c r="M238" s="21">
        <f t="shared" si="49"/>
        <v>1</v>
      </c>
      <c r="N238" s="667"/>
      <c r="O238" s="21">
        <f t="shared" si="50"/>
        <v>1</v>
      </c>
      <c r="P238" s="667"/>
      <c r="Q238" s="21">
        <f t="shared" si="51"/>
        <v>1</v>
      </c>
      <c r="R238" s="663">
        <f t="shared" si="52"/>
        <v>0</v>
      </c>
      <c r="S238" s="316">
        <f t="shared" si="53"/>
        <v>0</v>
      </c>
    </row>
    <row r="239" spans="1:19">
      <c r="A239" s="150"/>
      <c r="B239" s="54"/>
      <c r="C239" s="21">
        <f t="shared" si="44"/>
        <v>1</v>
      </c>
      <c r="D239" s="667"/>
      <c r="E239" s="21">
        <f t="shared" si="45"/>
        <v>1</v>
      </c>
      <c r="F239" s="667"/>
      <c r="G239" s="21">
        <f t="shared" si="46"/>
        <v>1</v>
      </c>
      <c r="H239" s="667"/>
      <c r="I239" s="21">
        <f t="shared" si="47"/>
        <v>1</v>
      </c>
      <c r="J239" s="667"/>
      <c r="K239" s="21">
        <f t="shared" si="48"/>
        <v>1</v>
      </c>
      <c r="L239" s="667"/>
      <c r="M239" s="21">
        <f t="shared" si="49"/>
        <v>1</v>
      </c>
      <c r="N239" s="667"/>
      <c r="O239" s="21">
        <f t="shared" si="50"/>
        <v>1</v>
      </c>
      <c r="P239" s="667"/>
      <c r="Q239" s="21">
        <f t="shared" si="51"/>
        <v>1</v>
      </c>
      <c r="R239" s="663">
        <f t="shared" si="52"/>
        <v>0</v>
      </c>
      <c r="S239" s="316">
        <f t="shared" si="53"/>
        <v>0</v>
      </c>
    </row>
    <row r="240" spans="1:19">
      <c r="A240" s="150"/>
      <c r="B240" s="54"/>
      <c r="C240" s="21">
        <f t="shared" si="44"/>
        <v>1</v>
      </c>
      <c r="D240" s="667"/>
      <c r="E240" s="21">
        <f t="shared" si="45"/>
        <v>1</v>
      </c>
      <c r="F240" s="667"/>
      <c r="G240" s="21">
        <f t="shared" si="46"/>
        <v>1</v>
      </c>
      <c r="H240" s="667"/>
      <c r="I240" s="21">
        <f t="shared" si="47"/>
        <v>1</v>
      </c>
      <c r="J240" s="667"/>
      <c r="K240" s="21">
        <f t="shared" si="48"/>
        <v>1</v>
      </c>
      <c r="L240" s="667"/>
      <c r="M240" s="21">
        <f t="shared" si="49"/>
        <v>1</v>
      </c>
      <c r="N240" s="667"/>
      <c r="O240" s="21">
        <f t="shared" si="50"/>
        <v>1</v>
      </c>
      <c r="P240" s="667"/>
      <c r="Q240" s="21">
        <f t="shared" si="51"/>
        <v>1</v>
      </c>
      <c r="R240" s="663">
        <f t="shared" si="52"/>
        <v>0</v>
      </c>
      <c r="S240" s="316">
        <f t="shared" si="53"/>
        <v>0</v>
      </c>
    </row>
    <row r="241" spans="1:19">
      <c r="A241" s="150"/>
      <c r="B241" s="54"/>
      <c r="C241" s="21">
        <f t="shared" si="44"/>
        <v>1</v>
      </c>
      <c r="D241" s="667"/>
      <c r="E241" s="21">
        <f t="shared" si="45"/>
        <v>1</v>
      </c>
      <c r="F241" s="667"/>
      <c r="G241" s="21">
        <f t="shared" si="46"/>
        <v>1</v>
      </c>
      <c r="H241" s="667"/>
      <c r="I241" s="21">
        <f t="shared" si="47"/>
        <v>1</v>
      </c>
      <c r="J241" s="667"/>
      <c r="K241" s="21">
        <f t="shared" si="48"/>
        <v>1</v>
      </c>
      <c r="L241" s="667"/>
      <c r="M241" s="21">
        <f t="shared" si="49"/>
        <v>1</v>
      </c>
      <c r="N241" s="667"/>
      <c r="O241" s="21">
        <f t="shared" si="50"/>
        <v>1</v>
      </c>
      <c r="P241" s="667"/>
      <c r="Q241" s="21">
        <f t="shared" si="51"/>
        <v>1</v>
      </c>
      <c r="R241" s="663">
        <f t="shared" si="52"/>
        <v>0</v>
      </c>
      <c r="S241" s="316">
        <f t="shared" si="53"/>
        <v>0</v>
      </c>
    </row>
    <row r="242" spans="1:19">
      <c r="A242" s="150"/>
      <c r="B242" s="54"/>
      <c r="C242" s="21">
        <f t="shared" si="44"/>
        <v>1</v>
      </c>
      <c r="D242" s="667"/>
      <c r="E242" s="21">
        <f t="shared" si="45"/>
        <v>1</v>
      </c>
      <c r="F242" s="667"/>
      <c r="G242" s="21">
        <f t="shared" si="46"/>
        <v>1</v>
      </c>
      <c r="H242" s="667"/>
      <c r="I242" s="21">
        <f t="shared" si="47"/>
        <v>1</v>
      </c>
      <c r="J242" s="667"/>
      <c r="K242" s="21">
        <f t="shared" si="48"/>
        <v>1</v>
      </c>
      <c r="L242" s="667"/>
      <c r="M242" s="21">
        <f t="shared" si="49"/>
        <v>1</v>
      </c>
      <c r="N242" s="667"/>
      <c r="O242" s="21">
        <f t="shared" si="50"/>
        <v>1</v>
      </c>
      <c r="P242" s="667"/>
      <c r="Q242" s="21">
        <f t="shared" si="51"/>
        <v>1</v>
      </c>
      <c r="R242" s="663">
        <f t="shared" si="52"/>
        <v>0</v>
      </c>
      <c r="S242" s="316">
        <f t="shared" si="53"/>
        <v>0</v>
      </c>
    </row>
    <row r="243" spans="1:19">
      <c r="A243" s="150"/>
      <c r="B243" s="54"/>
      <c r="C243" s="21">
        <f t="shared" si="44"/>
        <v>1</v>
      </c>
      <c r="D243" s="667"/>
      <c r="E243" s="21">
        <f t="shared" si="45"/>
        <v>1</v>
      </c>
      <c r="F243" s="667"/>
      <c r="G243" s="21">
        <f t="shared" si="46"/>
        <v>1</v>
      </c>
      <c r="H243" s="667"/>
      <c r="I243" s="21">
        <f t="shared" si="47"/>
        <v>1</v>
      </c>
      <c r="J243" s="667"/>
      <c r="K243" s="21">
        <f t="shared" si="48"/>
        <v>1</v>
      </c>
      <c r="L243" s="667"/>
      <c r="M243" s="21">
        <f t="shared" si="49"/>
        <v>1</v>
      </c>
      <c r="N243" s="667"/>
      <c r="O243" s="21">
        <f t="shared" si="50"/>
        <v>1</v>
      </c>
      <c r="P243" s="667"/>
      <c r="Q243" s="21">
        <f t="shared" si="51"/>
        <v>1</v>
      </c>
      <c r="R243" s="663">
        <f t="shared" si="52"/>
        <v>0</v>
      </c>
      <c r="S243" s="316">
        <f t="shared" si="53"/>
        <v>0</v>
      </c>
    </row>
    <row r="244" spans="1:19">
      <c r="A244" s="150"/>
      <c r="B244" s="54"/>
      <c r="C244" s="21">
        <f t="shared" si="44"/>
        <v>1</v>
      </c>
      <c r="D244" s="667"/>
      <c r="E244" s="21">
        <f t="shared" si="45"/>
        <v>1</v>
      </c>
      <c r="F244" s="667"/>
      <c r="G244" s="21">
        <f t="shared" si="46"/>
        <v>1</v>
      </c>
      <c r="H244" s="667"/>
      <c r="I244" s="21">
        <f t="shared" si="47"/>
        <v>1</v>
      </c>
      <c r="J244" s="667"/>
      <c r="K244" s="21">
        <f t="shared" si="48"/>
        <v>1</v>
      </c>
      <c r="L244" s="667"/>
      <c r="M244" s="21">
        <f t="shared" si="49"/>
        <v>1</v>
      </c>
      <c r="N244" s="667"/>
      <c r="O244" s="21">
        <f t="shared" si="50"/>
        <v>1</v>
      </c>
      <c r="P244" s="667"/>
      <c r="Q244" s="21">
        <f t="shared" si="51"/>
        <v>1</v>
      </c>
      <c r="R244" s="663">
        <f t="shared" si="52"/>
        <v>0</v>
      </c>
      <c r="S244" s="316">
        <f t="shared" si="53"/>
        <v>0</v>
      </c>
    </row>
    <row r="245" spans="1:19">
      <c r="A245" s="150"/>
      <c r="B245" s="54"/>
      <c r="C245" s="21">
        <f t="shared" si="44"/>
        <v>1</v>
      </c>
      <c r="D245" s="667"/>
      <c r="E245" s="21">
        <f t="shared" si="45"/>
        <v>1</v>
      </c>
      <c r="F245" s="667"/>
      <c r="G245" s="21">
        <f t="shared" si="46"/>
        <v>1</v>
      </c>
      <c r="H245" s="667"/>
      <c r="I245" s="21">
        <f t="shared" si="47"/>
        <v>1</v>
      </c>
      <c r="J245" s="667"/>
      <c r="K245" s="21">
        <f t="shared" si="48"/>
        <v>1</v>
      </c>
      <c r="L245" s="667"/>
      <c r="M245" s="21">
        <f t="shared" si="49"/>
        <v>1</v>
      </c>
      <c r="N245" s="667"/>
      <c r="O245" s="21">
        <f t="shared" si="50"/>
        <v>1</v>
      </c>
      <c r="P245" s="667"/>
      <c r="Q245" s="21">
        <f t="shared" si="51"/>
        <v>1</v>
      </c>
      <c r="R245" s="663">
        <f t="shared" si="52"/>
        <v>0</v>
      </c>
      <c r="S245" s="316">
        <f t="shared" si="53"/>
        <v>0</v>
      </c>
    </row>
    <row r="246" spans="1:19">
      <c r="A246" s="150"/>
      <c r="B246" s="54"/>
      <c r="C246" s="21">
        <f t="shared" si="44"/>
        <v>1</v>
      </c>
      <c r="D246" s="667"/>
      <c r="E246" s="21">
        <f t="shared" si="45"/>
        <v>1</v>
      </c>
      <c r="F246" s="667"/>
      <c r="G246" s="21">
        <f t="shared" si="46"/>
        <v>1</v>
      </c>
      <c r="H246" s="667"/>
      <c r="I246" s="21">
        <f t="shared" si="47"/>
        <v>1</v>
      </c>
      <c r="J246" s="667"/>
      <c r="K246" s="21">
        <f t="shared" si="48"/>
        <v>1</v>
      </c>
      <c r="L246" s="667"/>
      <c r="M246" s="21">
        <f t="shared" si="49"/>
        <v>1</v>
      </c>
      <c r="N246" s="667"/>
      <c r="O246" s="21">
        <f t="shared" si="50"/>
        <v>1</v>
      </c>
      <c r="P246" s="667"/>
      <c r="Q246" s="21">
        <f t="shared" si="51"/>
        <v>1</v>
      </c>
      <c r="R246" s="663">
        <f t="shared" si="52"/>
        <v>0</v>
      </c>
      <c r="S246" s="316">
        <f t="shared" si="53"/>
        <v>0</v>
      </c>
    </row>
    <row r="247" spans="1:19">
      <c r="A247" s="150"/>
      <c r="B247" s="54"/>
      <c r="C247" s="21">
        <f t="shared" si="44"/>
        <v>1</v>
      </c>
      <c r="D247" s="667"/>
      <c r="E247" s="21">
        <f t="shared" si="45"/>
        <v>1</v>
      </c>
      <c r="F247" s="667"/>
      <c r="G247" s="21">
        <f t="shared" si="46"/>
        <v>1</v>
      </c>
      <c r="H247" s="667"/>
      <c r="I247" s="21">
        <f t="shared" si="47"/>
        <v>1</v>
      </c>
      <c r="J247" s="667"/>
      <c r="K247" s="21">
        <f t="shared" si="48"/>
        <v>1</v>
      </c>
      <c r="L247" s="667"/>
      <c r="M247" s="21">
        <f t="shared" si="49"/>
        <v>1</v>
      </c>
      <c r="N247" s="667"/>
      <c r="O247" s="21">
        <f t="shared" si="50"/>
        <v>1</v>
      </c>
      <c r="P247" s="667"/>
      <c r="Q247" s="21">
        <f t="shared" si="51"/>
        <v>1</v>
      </c>
      <c r="R247" s="663">
        <f t="shared" si="52"/>
        <v>0</v>
      </c>
      <c r="S247" s="316">
        <f t="shared" si="53"/>
        <v>0</v>
      </c>
    </row>
    <row r="248" spans="1:19">
      <c r="A248" s="150"/>
      <c r="B248" s="54"/>
      <c r="C248" s="21">
        <f t="shared" si="44"/>
        <v>1</v>
      </c>
      <c r="D248" s="667"/>
      <c r="E248" s="21">
        <f t="shared" si="45"/>
        <v>1</v>
      </c>
      <c r="F248" s="667"/>
      <c r="G248" s="21">
        <f t="shared" si="46"/>
        <v>1</v>
      </c>
      <c r="H248" s="667"/>
      <c r="I248" s="21">
        <f t="shared" si="47"/>
        <v>1</v>
      </c>
      <c r="J248" s="667"/>
      <c r="K248" s="21">
        <f t="shared" si="48"/>
        <v>1</v>
      </c>
      <c r="L248" s="667"/>
      <c r="M248" s="21">
        <f t="shared" si="49"/>
        <v>1</v>
      </c>
      <c r="N248" s="667"/>
      <c r="O248" s="21">
        <f t="shared" si="50"/>
        <v>1</v>
      </c>
      <c r="P248" s="667"/>
      <c r="Q248" s="21">
        <f t="shared" si="51"/>
        <v>1</v>
      </c>
      <c r="R248" s="663">
        <f t="shared" si="52"/>
        <v>0</v>
      </c>
      <c r="S248" s="316">
        <f t="shared" si="53"/>
        <v>0</v>
      </c>
    </row>
    <row r="249" spans="1:19">
      <c r="A249" s="150"/>
      <c r="B249" s="54"/>
      <c r="C249" s="21">
        <f t="shared" si="44"/>
        <v>1</v>
      </c>
      <c r="D249" s="667"/>
      <c r="E249" s="21">
        <f t="shared" si="45"/>
        <v>1</v>
      </c>
      <c r="F249" s="667"/>
      <c r="G249" s="21">
        <f t="shared" si="46"/>
        <v>1</v>
      </c>
      <c r="H249" s="667"/>
      <c r="I249" s="21">
        <f t="shared" si="47"/>
        <v>1</v>
      </c>
      <c r="J249" s="667"/>
      <c r="K249" s="21">
        <f t="shared" si="48"/>
        <v>1</v>
      </c>
      <c r="L249" s="667"/>
      <c r="M249" s="21">
        <f t="shared" si="49"/>
        <v>1</v>
      </c>
      <c r="N249" s="667"/>
      <c r="O249" s="21">
        <f t="shared" si="50"/>
        <v>1</v>
      </c>
      <c r="P249" s="667"/>
      <c r="Q249" s="21">
        <f t="shared" si="51"/>
        <v>1</v>
      </c>
      <c r="R249" s="663">
        <f t="shared" si="52"/>
        <v>0</v>
      </c>
      <c r="S249" s="316">
        <f t="shared" si="53"/>
        <v>0</v>
      </c>
    </row>
    <row r="250" spans="1:19">
      <c r="A250" s="150"/>
      <c r="B250" s="54"/>
      <c r="C250" s="21">
        <f t="shared" si="44"/>
        <v>1</v>
      </c>
      <c r="D250" s="667"/>
      <c r="E250" s="21">
        <f t="shared" si="45"/>
        <v>1</v>
      </c>
      <c r="F250" s="667"/>
      <c r="G250" s="21">
        <f t="shared" si="46"/>
        <v>1</v>
      </c>
      <c r="H250" s="667"/>
      <c r="I250" s="21">
        <f t="shared" si="47"/>
        <v>1</v>
      </c>
      <c r="J250" s="667"/>
      <c r="K250" s="21">
        <f t="shared" si="48"/>
        <v>1</v>
      </c>
      <c r="L250" s="667"/>
      <c r="M250" s="21">
        <f t="shared" si="49"/>
        <v>1</v>
      </c>
      <c r="N250" s="667"/>
      <c r="O250" s="21">
        <f t="shared" si="50"/>
        <v>1</v>
      </c>
      <c r="P250" s="667"/>
      <c r="Q250" s="21">
        <f t="shared" si="51"/>
        <v>1</v>
      </c>
      <c r="R250" s="663">
        <f t="shared" si="52"/>
        <v>0</v>
      </c>
      <c r="S250" s="316">
        <f t="shared" si="53"/>
        <v>0</v>
      </c>
    </row>
    <row r="251" spans="1:19">
      <c r="A251" s="150"/>
      <c r="B251" s="54"/>
      <c r="C251" s="21">
        <f t="shared" si="44"/>
        <v>1</v>
      </c>
      <c r="D251" s="667"/>
      <c r="E251" s="21">
        <f t="shared" si="45"/>
        <v>1</v>
      </c>
      <c r="F251" s="667"/>
      <c r="G251" s="21">
        <f t="shared" si="46"/>
        <v>1</v>
      </c>
      <c r="H251" s="667"/>
      <c r="I251" s="21">
        <f t="shared" si="47"/>
        <v>1</v>
      </c>
      <c r="J251" s="667"/>
      <c r="K251" s="21">
        <f t="shared" si="48"/>
        <v>1</v>
      </c>
      <c r="L251" s="667"/>
      <c r="M251" s="21">
        <f t="shared" si="49"/>
        <v>1</v>
      </c>
      <c r="N251" s="667"/>
      <c r="O251" s="21">
        <f t="shared" si="50"/>
        <v>1</v>
      </c>
      <c r="P251" s="667"/>
      <c r="Q251" s="21">
        <f t="shared" si="51"/>
        <v>1</v>
      </c>
      <c r="R251" s="663">
        <f t="shared" si="52"/>
        <v>0</v>
      </c>
      <c r="S251" s="316">
        <f t="shared" si="53"/>
        <v>0</v>
      </c>
    </row>
    <row r="252" spans="1:19">
      <c r="A252" s="150"/>
      <c r="B252" s="54"/>
      <c r="C252" s="21">
        <f t="shared" si="44"/>
        <v>1</v>
      </c>
      <c r="D252" s="667"/>
      <c r="E252" s="21">
        <f t="shared" si="45"/>
        <v>1</v>
      </c>
      <c r="F252" s="667"/>
      <c r="G252" s="21">
        <f t="shared" si="46"/>
        <v>1</v>
      </c>
      <c r="H252" s="667"/>
      <c r="I252" s="21">
        <f t="shared" si="47"/>
        <v>1</v>
      </c>
      <c r="J252" s="667"/>
      <c r="K252" s="21">
        <f t="shared" si="48"/>
        <v>1</v>
      </c>
      <c r="L252" s="667"/>
      <c r="M252" s="21">
        <f t="shared" si="49"/>
        <v>1</v>
      </c>
      <c r="N252" s="667"/>
      <c r="O252" s="21">
        <f t="shared" si="50"/>
        <v>1</v>
      </c>
      <c r="P252" s="667"/>
      <c r="Q252" s="21">
        <f t="shared" si="51"/>
        <v>1</v>
      </c>
      <c r="R252" s="663">
        <f t="shared" si="52"/>
        <v>0</v>
      </c>
      <c r="S252" s="316">
        <f t="shared" si="53"/>
        <v>0</v>
      </c>
    </row>
    <row r="253" spans="1:19">
      <c r="A253" s="150"/>
      <c r="B253" s="54"/>
      <c r="C253" s="21">
        <f t="shared" si="44"/>
        <v>1</v>
      </c>
      <c r="D253" s="667"/>
      <c r="E253" s="21">
        <f t="shared" si="45"/>
        <v>1</v>
      </c>
      <c r="F253" s="667"/>
      <c r="G253" s="21">
        <f t="shared" si="46"/>
        <v>1</v>
      </c>
      <c r="H253" s="667"/>
      <c r="I253" s="21">
        <f t="shared" si="47"/>
        <v>1</v>
      </c>
      <c r="J253" s="667"/>
      <c r="K253" s="21">
        <f t="shared" si="48"/>
        <v>1</v>
      </c>
      <c r="L253" s="667"/>
      <c r="M253" s="21">
        <f t="shared" si="49"/>
        <v>1</v>
      </c>
      <c r="N253" s="667"/>
      <c r="O253" s="21">
        <f t="shared" si="50"/>
        <v>1</v>
      </c>
      <c r="P253" s="667"/>
      <c r="Q253" s="21">
        <f t="shared" si="51"/>
        <v>1</v>
      </c>
      <c r="R253" s="663">
        <f t="shared" si="52"/>
        <v>0</v>
      </c>
      <c r="S253" s="316">
        <f t="shared" si="53"/>
        <v>0</v>
      </c>
    </row>
    <row r="254" spans="1:19">
      <c r="A254" s="150"/>
      <c r="B254" s="54"/>
      <c r="C254" s="21">
        <f t="shared" si="44"/>
        <v>1</v>
      </c>
      <c r="D254" s="667"/>
      <c r="E254" s="21">
        <f t="shared" si="45"/>
        <v>1</v>
      </c>
      <c r="F254" s="667"/>
      <c r="G254" s="21">
        <f t="shared" si="46"/>
        <v>1</v>
      </c>
      <c r="H254" s="667"/>
      <c r="I254" s="21">
        <f t="shared" si="47"/>
        <v>1</v>
      </c>
      <c r="J254" s="667"/>
      <c r="K254" s="21">
        <f t="shared" si="48"/>
        <v>1</v>
      </c>
      <c r="L254" s="667"/>
      <c r="M254" s="21">
        <f t="shared" si="49"/>
        <v>1</v>
      </c>
      <c r="N254" s="667"/>
      <c r="O254" s="21">
        <f t="shared" si="50"/>
        <v>1</v>
      </c>
      <c r="P254" s="667"/>
      <c r="Q254" s="21">
        <f t="shared" si="51"/>
        <v>1</v>
      </c>
      <c r="R254" s="663">
        <f t="shared" si="52"/>
        <v>0</v>
      </c>
      <c r="S254" s="316">
        <f t="shared" si="53"/>
        <v>0</v>
      </c>
    </row>
    <row r="255" spans="1:19">
      <c r="A255" s="150"/>
      <c r="B255" s="54"/>
      <c r="C255" s="21">
        <f t="shared" si="44"/>
        <v>1</v>
      </c>
      <c r="D255" s="667"/>
      <c r="E255" s="21">
        <f t="shared" si="45"/>
        <v>1</v>
      </c>
      <c r="F255" s="667"/>
      <c r="G255" s="21">
        <f t="shared" si="46"/>
        <v>1</v>
      </c>
      <c r="H255" s="667"/>
      <c r="I255" s="21">
        <f t="shared" si="47"/>
        <v>1</v>
      </c>
      <c r="J255" s="667"/>
      <c r="K255" s="21">
        <f t="shared" si="48"/>
        <v>1</v>
      </c>
      <c r="L255" s="667"/>
      <c r="M255" s="21">
        <f t="shared" si="49"/>
        <v>1</v>
      </c>
      <c r="N255" s="667"/>
      <c r="O255" s="21">
        <f t="shared" si="50"/>
        <v>1</v>
      </c>
      <c r="P255" s="667"/>
      <c r="Q255" s="21">
        <f t="shared" si="51"/>
        <v>1</v>
      </c>
      <c r="R255" s="663">
        <f t="shared" si="52"/>
        <v>0</v>
      </c>
      <c r="S255" s="316">
        <f t="shared" si="53"/>
        <v>0</v>
      </c>
    </row>
    <row r="256" spans="1:19">
      <c r="A256" s="150"/>
      <c r="B256" s="54"/>
      <c r="C256" s="21">
        <f t="shared" si="44"/>
        <v>1</v>
      </c>
      <c r="D256" s="667"/>
      <c r="E256" s="21">
        <f t="shared" si="45"/>
        <v>1</v>
      </c>
      <c r="F256" s="667"/>
      <c r="G256" s="21">
        <f t="shared" si="46"/>
        <v>1</v>
      </c>
      <c r="H256" s="667"/>
      <c r="I256" s="21">
        <f t="shared" si="47"/>
        <v>1</v>
      </c>
      <c r="J256" s="667"/>
      <c r="K256" s="21">
        <f t="shared" si="48"/>
        <v>1</v>
      </c>
      <c r="L256" s="667"/>
      <c r="M256" s="21">
        <f t="shared" si="49"/>
        <v>1</v>
      </c>
      <c r="N256" s="667"/>
      <c r="O256" s="21">
        <f t="shared" si="50"/>
        <v>1</v>
      </c>
      <c r="P256" s="667"/>
      <c r="Q256" s="21">
        <f t="shared" si="51"/>
        <v>1</v>
      </c>
      <c r="R256" s="663">
        <f t="shared" si="52"/>
        <v>0</v>
      </c>
      <c r="S256" s="316">
        <f t="shared" si="53"/>
        <v>0</v>
      </c>
    </row>
    <row r="257" spans="1:19">
      <c r="A257" s="150"/>
      <c r="B257" s="54"/>
      <c r="C257" s="21">
        <f t="shared" si="44"/>
        <v>1</v>
      </c>
      <c r="D257" s="667"/>
      <c r="E257" s="21">
        <f t="shared" si="45"/>
        <v>1</v>
      </c>
      <c r="F257" s="667"/>
      <c r="G257" s="21">
        <f t="shared" si="46"/>
        <v>1</v>
      </c>
      <c r="H257" s="667"/>
      <c r="I257" s="21">
        <f t="shared" si="47"/>
        <v>1</v>
      </c>
      <c r="J257" s="667"/>
      <c r="K257" s="21">
        <f t="shared" si="48"/>
        <v>1</v>
      </c>
      <c r="L257" s="667"/>
      <c r="M257" s="21">
        <f t="shared" si="49"/>
        <v>1</v>
      </c>
      <c r="N257" s="667"/>
      <c r="O257" s="21">
        <f t="shared" si="50"/>
        <v>1</v>
      </c>
      <c r="P257" s="667"/>
      <c r="Q257" s="21">
        <f t="shared" si="51"/>
        <v>1</v>
      </c>
      <c r="R257" s="663">
        <f t="shared" si="52"/>
        <v>0</v>
      </c>
      <c r="S257" s="316">
        <f t="shared" si="53"/>
        <v>0</v>
      </c>
    </row>
    <row r="258" spans="1:19">
      <c r="A258" s="150"/>
      <c r="B258" s="54"/>
      <c r="C258" s="21">
        <f t="shared" si="44"/>
        <v>1</v>
      </c>
      <c r="D258" s="667"/>
      <c r="E258" s="21">
        <f t="shared" si="45"/>
        <v>1</v>
      </c>
      <c r="F258" s="667"/>
      <c r="G258" s="21">
        <f t="shared" si="46"/>
        <v>1</v>
      </c>
      <c r="H258" s="667"/>
      <c r="I258" s="21">
        <f t="shared" si="47"/>
        <v>1</v>
      </c>
      <c r="J258" s="667"/>
      <c r="K258" s="21">
        <f t="shared" si="48"/>
        <v>1</v>
      </c>
      <c r="L258" s="667"/>
      <c r="M258" s="21">
        <f t="shared" si="49"/>
        <v>1</v>
      </c>
      <c r="N258" s="667"/>
      <c r="O258" s="21">
        <f t="shared" si="50"/>
        <v>1</v>
      </c>
      <c r="P258" s="667"/>
      <c r="Q258" s="21">
        <f t="shared" si="51"/>
        <v>1</v>
      </c>
      <c r="R258" s="663">
        <f t="shared" si="52"/>
        <v>0</v>
      </c>
      <c r="S258" s="316">
        <f t="shared" si="53"/>
        <v>0</v>
      </c>
    </row>
    <row r="259" spans="1:19">
      <c r="A259" s="150"/>
      <c r="B259" s="54"/>
      <c r="C259" s="21">
        <f t="shared" si="44"/>
        <v>1</v>
      </c>
      <c r="D259" s="667"/>
      <c r="E259" s="21">
        <f t="shared" si="45"/>
        <v>1</v>
      </c>
      <c r="F259" s="667"/>
      <c r="G259" s="21">
        <f t="shared" si="46"/>
        <v>1</v>
      </c>
      <c r="H259" s="667"/>
      <c r="I259" s="21">
        <f t="shared" si="47"/>
        <v>1</v>
      </c>
      <c r="J259" s="667"/>
      <c r="K259" s="21">
        <f t="shared" si="48"/>
        <v>1</v>
      </c>
      <c r="L259" s="667"/>
      <c r="M259" s="21">
        <f t="shared" si="49"/>
        <v>1</v>
      </c>
      <c r="N259" s="667"/>
      <c r="O259" s="21">
        <f t="shared" si="50"/>
        <v>1</v>
      </c>
      <c r="P259" s="667"/>
      <c r="Q259" s="21">
        <f t="shared" si="51"/>
        <v>1</v>
      </c>
      <c r="R259" s="663">
        <f t="shared" si="52"/>
        <v>0</v>
      </c>
      <c r="S259" s="316">
        <f t="shared" si="53"/>
        <v>0</v>
      </c>
    </row>
    <row r="260" spans="1:19">
      <c r="A260" s="150"/>
      <c r="B260" s="54"/>
      <c r="C260" s="21">
        <f t="shared" si="44"/>
        <v>1</v>
      </c>
      <c r="D260" s="667"/>
      <c r="E260" s="21">
        <f t="shared" si="45"/>
        <v>1</v>
      </c>
      <c r="F260" s="667"/>
      <c r="G260" s="21">
        <f t="shared" si="46"/>
        <v>1</v>
      </c>
      <c r="H260" s="667"/>
      <c r="I260" s="21">
        <f t="shared" si="47"/>
        <v>1</v>
      </c>
      <c r="J260" s="667"/>
      <c r="K260" s="21">
        <f t="shared" si="48"/>
        <v>1</v>
      </c>
      <c r="L260" s="667"/>
      <c r="M260" s="21">
        <f t="shared" si="49"/>
        <v>1</v>
      </c>
      <c r="N260" s="667"/>
      <c r="O260" s="21">
        <f t="shared" si="50"/>
        <v>1</v>
      </c>
      <c r="P260" s="667"/>
      <c r="Q260" s="21">
        <f t="shared" si="51"/>
        <v>1</v>
      </c>
      <c r="R260" s="663">
        <f t="shared" si="52"/>
        <v>0</v>
      </c>
      <c r="S260" s="316">
        <f t="shared" si="53"/>
        <v>0</v>
      </c>
    </row>
    <row r="261" spans="1:19">
      <c r="A261" s="150"/>
      <c r="B261" s="54"/>
      <c r="C261" s="21">
        <f t="shared" si="44"/>
        <v>1</v>
      </c>
      <c r="D261" s="667"/>
      <c r="E261" s="21">
        <f t="shared" si="45"/>
        <v>1</v>
      </c>
      <c r="F261" s="667"/>
      <c r="G261" s="21">
        <f t="shared" si="46"/>
        <v>1</v>
      </c>
      <c r="H261" s="667"/>
      <c r="I261" s="21">
        <f t="shared" si="47"/>
        <v>1</v>
      </c>
      <c r="J261" s="667"/>
      <c r="K261" s="21">
        <f t="shared" si="48"/>
        <v>1</v>
      </c>
      <c r="L261" s="667"/>
      <c r="M261" s="21">
        <f t="shared" si="49"/>
        <v>1</v>
      </c>
      <c r="N261" s="667"/>
      <c r="O261" s="21">
        <f t="shared" si="50"/>
        <v>1</v>
      </c>
      <c r="P261" s="667"/>
      <c r="Q261" s="21">
        <f t="shared" si="51"/>
        <v>1</v>
      </c>
      <c r="R261" s="663">
        <f t="shared" si="52"/>
        <v>0</v>
      </c>
      <c r="S261" s="316">
        <f t="shared" si="53"/>
        <v>0</v>
      </c>
    </row>
    <row r="262" spans="1:19">
      <c r="A262" s="150"/>
      <c r="B262" s="54"/>
      <c r="C262" s="21">
        <f t="shared" si="44"/>
        <v>1</v>
      </c>
      <c r="D262" s="667"/>
      <c r="E262" s="21">
        <f t="shared" si="45"/>
        <v>1</v>
      </c>
      <c r="F262" s="667"/>
      <c r="G262" s="21">
        <f t="shared" si="46"/>
        <v>1</v>
      </c>
      <c r="H262" s="667"/>
      <c r="I262" s="21">
        <f t="shared" si="47"/>
        <v>1</v>
      </c>
      <c r="J262" s="667"/>
      <c r="K262" s="21">
        <f t="shared" si="48"/>
        <v>1</v>
      </c>
      <c r="L262" s="667"/>
      <c r="M262" s="21">
        <f t="shared" si="49"/>
        <v>1</v>
      </c>
      <c r="N262" s="667"/>
      <c r="O262" s="21">
        <f t="shared" si="50"/>
        <v>1</v>
      </c>
      <c r="P262" s="667"/>
      <c r="Q262" s="21">
        <f t="shared" si="51"/>
        <v>1</v>
      </c>
      <c r="R262" s="663">
        <f t="shared" si="52"/>
        <v>0</v>
      </c>
      <c r="S262" s="316">
        <f t="shared" si="53"/>
        <v>0</v>
      </c>
    </row>
    <row r="263" spans="1:19">
      <c r="A263" s="150"/>
      <c r="B263" s="54"/>
      <c r="C263" s="21">
        <f t="shared" si="44"/>
        <v>1</v>
      </c>
      <c r="D263" s="667"/>
      <c r="E263" s="21">
        <f t="shared" si="45"/>
        <v>1</v>
      </c>
      <c r="F263" s="667"/>
      <c r="G263" s="21">
        <f t="shared" si="46"/>
        <v>1</v>
      </c>
      <c r="H263" s="667"/>
      <c r="I263" s="21">
        <f t="shared" si="47"/>
        <v>1</v>
      </c>
      <c r="J263" s="667"/>
      <c r="K263" s="21">
        <f t="shared" si="48"/>
        <v>1</v>
      </c>
      <c r="L263" s="667"/>
      <c r="M263" s="21">
        <f t="shared" si="49"/>
        <v>1</v>
      </c>
      <c r="N263" s="667"/>
      <c r="O263" s="21">
        <f t="shared" si="50"/>
        <v>1</v>
      </c>
      <c r="P263" s="667"/>
      <c r="Q263" s="21">
        <f t="shared" si="51"/>
        <v>1</v>
      </c>
      <c r="R263" s="663">
        <f t="shared" si="52"/>
        <v>0</v>
      </c>
      <c r="S263" s="316">
        <f t="shared" si="53"/>
        <v>0</v>
      </c>
    </row>
    <row r="264" spans="1:19">
      <c r="A264" s="150"/>
      <c r="B264" s="54"/>
      <c r="C264" s="21">
        <f t="shared" si="44"/>
        <v>1</v>
      </c>
      <c r="D264" s="667"/>
      <c r="E264" s="21">
        <f t="shared" si="45"/>
        <v>1</v>
      </c>
      <c r="F264" s="667"/>
      <c r="G264" s="21">
        <f t="shared" si="46"/>
        <v>1</v>
      </c>
      <c r="H264" s="667"/>
      <c r="I264" s="21">
        <f t="shared" si="47"/>
        <v>1</v>
      </c>
      <c r="J264" s="667"/>
      <c r="K264" s="21">
        <f t="shared" si="48"/>
        <v>1</v>
      </c>
      <c r="L264" s="667"/>
      <c r="M264" s="21">
        <f t="shared" si="49"/>
        <v>1</v>
      </c>
      <c r="N264" s="667"/>
      <c r="O264" s="21">
        <f t="shared" si="50"/>
        <v>1</v>
      </c>
      <c r="P264" s="667"/>
      <c r="Q264" s="21">
        <f t="shared" si="51"/>
        <v>1</v>
      </c>
      <c r="R264" s="663">
        <f t="shared" si="52"/>
        <v>0</v>
      </c>
      <c r="S264" s="316">
        <f t="shared" si="53"/>
        <v>0</v>
      </c>
    </row>
    <row r="265" spans="1:19">
      <c r="A265" s="150"/>
      <c r="B265" s="54"/>
      <c r="C265" s="21">
        <f t="shared" si="44"/>
        <v>1</v>
      </c>
      <c r="D265" s="667"/>
      <c r="E265" s="21">
        <f t="shared" si="45"/>
        <v>1</v>
      </c>
      <c r="F265" s="667"/>
      <c r="G265" s="21">
        <f t="shared" si="46"/>
        <v>1</v>
      </c>
      <c r="H265" s="667"/>
      <c r="I265" s="21">
        <f t="shared" si="47"/>
        <v>1</v>
      </c>
      <c r="J265" s="667"/>
      <c r="K265" s="21">
        <f t="shared" si="48"/>
        <v>1</v>
      </c>
      <c r="L265" s="667"/>
      <c r="M265" s="21">
        <f t="shared" si="49"/>
        <v>1</v>
      </c>
      <c r="N265" s="667"/>
      <c r="O265" s="21">
        <f t="shared" si="50"/>
        <v>1</v>
      </c>
      <c r="P265" s="667"/>
      <c r="Q265" s="21">
        <f t="shared" si="51"/>
        <v>1</v>
      </c>
      <c r="R265" s="663">
        <f t="shared" si="52"/>
        <v>0</v>
      </c>
      <c r="S265" s="316">
        <f t="shared" si="53"/>
        <v>0</v>
      </c>
    </row>
    <row r="266" spans="1:19">
      <c r="A266" s="150"/>
      <c r="B266" s="54"/>
      <c r="C266" s="21">
        <f t="shared" si="44"/>
        <v>1</v>
      </c>
      <c r="D266" s="667"/>
      <c r="E266" s="21">
        <f t="shared" si="45"/>
        <v>1</v>
      </c>
      <c r="F266" s="667"/>
      <c r="G266" s="21">
        <f t="shared" si="46"/>
        <v>1</v>
      </c>
      <c r="H266" s="667"/>
      <c r="I266" s="21">
        <f t="shared" si="47"/>
        <v>1</v>
      </c>
      <c r="J266" s="667"/>
      <c r="K266" s="21">
        <f t="shared" si="48"/>
        <v>1</v>
      </c>
      <c r="L266" s="667"/>
      <c r="M266" s="21">
        <f t="shared" si="49"/>
        <v>1</v>
      </c>
      <c r="N266" s="667"/>
      <c r="O266" s="21">
        <f t="shared" si="50"/>
        <v>1</v>
      </c>
      <c r="P266" s="667"/>
      <c r="Q266" s="21">
        <f t="shared" si="51"/>
        <v>1</v>
      </c>
      <c r="R266" s="663">
        <f t="shared" si="52"/>
        <v>0</v>
      </c>
      <c r="S266" s="316">
        <f t="shared" si="53"/>
        <v>0</v>
      </c>
    </row>
    <row r="267" spans="1:19">
      <c r="A267" s="150"/>
      <c r="B267" s="54"/>
      <c r="C267" s="21">
        <f t="shared" si="44"/>
        <v>1</v>
      </c>
      <c r="D267" s="667"/>
      <c r="E267" s="21">
        <f t="shared" si="45"/>
        <v>1</v>
      </c>
      <c r="F267" s="667"/>
      <c r="G267" s="21">
        <f t="shared" si="46"/>
        <v>1</v>
      </c>
      <c r="H267" s="667"/>
      <c r="I267" s="21">
        <f t="shared" si="47"/>
        <v>1</v>
      </c>
      <c r="J267" s="667"/>
      <c r="K267" s="21">
        <f t="shared" si="48"/>
        <v>1</v>
      </c>
      <c r="L267" s="667"/>
      <c r="M267" s="21">
        <f t="shared" si="49"/>
        <v>1</v>
      </c>
      <c r="N267" s="667"/>
      <c r="O267" s="21">
        <f t="shared" si="50"/>
        <v>1</v>
      </c>
      <c r="P267" s="667"/>
      <c r="Q267" s="21">
        <f t="shared" si="51"/>
        <v>1</v>
      </c>
      <c r="R267" s="663">
        <f t="shared" si="52"/>
        <v>0</v>
      </c>
      <c r="S267" s="316">
        <f t="shared" si="53"/>
        <v>0</v>
      </c>
    </row>
    <row r="268" spans="1:19">
      <c r="A268" s="150"/>
      <c r="B268" s="54"/>
      <c r="C268" s="21">
        <f t="shared" si="44"/>
        <v>1</v>
      </c>
      <c r="D268" s="667"/>
      <c r="E268" s="21">
        <f t="shared" si="45"/>
        <v>1</v>
      </c>
      <c r="F268" s="667"/>
      <c r="G268" s="21">
        <f t="shared" si="46"/>
        <v>1</v>
      </c>
      <c r="H268" s="667"/>
      <c r="I268" s="21">
        <f t="shared" si="47"/>
        <v>1</v>
      </c>
      <c r="J268" s="667"/>
      <c r="K268" s="21">
        <f t="shared" si="48"/>
        <v>1</v>
      </c>
      <c r="L268" s="667"/>
      <c r="M268" s="21">
        <f t="shared" si="49"/>
        <v>1</v>
      </c>
      <c r="N268" s="667"/>
      <c r="O268" s="21">
        <f t="shared" si="50"/>
        <v>1</v>
      </c>
      <c r="P268" s="667"/>
      <c r="Q268" s="21">
        <f t="shared" si="51"/>
        <v>1</v>
      </c>
      <c r="R268" s="663">
        <f t="shared" si="52"/>
        <v>0</v>
      </c>
      <c r="S268" s="316">
        <f t="shared" si="53"/>
        <v>0</v>
      </c>
    </row>
    <row r="269" spans="1:19">
      <c r="A269" s="150"/>
      <c r="B269" s="54"/>
      <c r="C269" s="21">
        <f t="shared" si="44"/>
        <v>1</v>
      </c>
      <c r="D269" s="667"/>
      <c r="E269" s="21">
        <f t="shared" si="45"/>
        <v>1</v>
      </c>
      <c r="F269" s="667"/>
      <c r="G269" s="21">
        <f t="shared" si="46"/>
        <v>1</v>
      </c>
      <c r="H269" s="667"/>
      <c r="I269" s="21">
        <f t="shared" si="47"/>
        <v>1</v>
      </c>
      <c r="J269" s="667"/>
      <c r="K269" s="21">
        <f t="shared" si="48"/>
        <v>1</v>
      </c>
      <c r="L269" s="667"/>
      <c r="M269" s="21">
        <f t="shared" si="49"/>
        <v>1</v>
      </c>
      <c r="N269" s="667"/>
      <c r="O269" s="21">
        <f t="shared" si="50"/>
        <v>1</v>
      </c>
      <c r="P269" s="667"/>
      <c r="Q269" s="21">
        <f t="shared" si="51"/>
        <v>1</v>
      </c>
      <c r="R269" s="663">
        <f t="shared" si="52"/>
        <v>0</v>
      </c>
      <c r="S269" s="316">
        <f t="shared" si="53"/>
        <v>0</v>
      </c>
    </row>
    <row r="270" spans="1:19">
      <c r="A270" s="150"/>
      <c r="B270" s="54"/>
      <c r="C270" s="21">
        <f t="shared" si="44"/>
        <v>1</v>
      </c>
      <c r="D270" s="667"/>
      <c r="E270" s="21">
        <f t="shared" si="45"/>
        <v>1</v>
      </c>
      <c r="F270" s="667"/>
      <c r="G270" s="21">
        <f t="shared" si="46"/>
        <v>1</v>
      </c>
      <c r="H270" s="667"/>
      <c r="I270" s="21">
        <f t="shared" si="47"/>
        <v>1</v>
      </c>
      <c r="J270" s="667"/>
      <c r="K270" s="21">
        <f t="shared" si="48"/>
        <v>1</v>
      </c>
      <c r="L270" s="667"/>
      <c r="M270" s="21">
        <f t="shared" si="49"/>
        <v>1</v>
      </c>
      <c r="N270" s="667"/>
      <c r="O270" s="21">
        <f t="shared" si="50"/>
        <v>1</v>
      </c>
      <c r="P270" s="667"/>
      <c r="Q270" s="21">
        <f t="shared" si="51"/>
        <v>1</v>
      </c>
      <c r="R270" s="663">
        <f t="shared" si="52"/>
        <v>0</v>
      </c>
      <c r="S270" s="316">
        <f t="shared" si="53"/>
        <v>0</v>
      </c>
    </row>
    <row r="271" spans="1:19">
      <c r="A271" s="150"/>
      <c r="B271" s="54"/>
      <c r="C271" s="21">
        <f t="shared" si="44"/>
        <v>1</v>
      </c>
      <c r="D271" s="667"/>
      <c r="E271" s="21">
        <f t="shared" si="45"/>
        <v>1</v>
      </c>
      <c r="F271" s="667"/>
      <c r="G271" s="21">
        <f t="shared" si="46"/>
        <v>1</v>
      </c>
      <c r="H271" s="667"/>
      <c r="I271" s="21">
        <f t="shared" si="47"/>
        <v>1</v>
      </c>
      <c r="J271" s="667"/>
      <c r="K271" s="21">
        <f t="shared" si="48"/>
        <v>1</v>
      </c>
      <c r="L271" s="667"/>
      <c r="M271" s="21">
        <f t="shared" si="49"/>
        <v>1</v>
      </c>
      <c r="N271" s="667"/>
      <c r="O271" s="21">
        <f t="shared" si="50"/>
        <v>1</v>
      </c>
      <c r="P271" s="667"/>
      <c r="Q271" s="21">
        <f t="shared" si="51"/>
        <v>1</v>
      </c>
      <c r="R271" s="663">
        <f t="shared" si="52"/>
        <v>0</v>
      </c>
      <c r="S271" s="316">
        <f t="shared" si="53"/>
        <v>0</v>
      </c>
    </row>
    <row r="272" spans="1:19">
      <c r="A272" s="150"/>
      <c r="B272" s="54"/>
      <c r="C272" s="21">
        <f t="shared" si="44"/>
        <v>1</v>
      </c>
      <c r="D272" s="667"/>
      <c r="E272" s="21">
        <f t="shared" si="45"/>
        <v>1</v>
      </c>
      <c r="F272" s="667"/>
      <c r="G272" s="21">
        <f t="shared" si="46"/>
        <v>1</v>
      </c>
      <c r="H272" s="667"/>
      <c r="I272" s="21">
        <f t="shared" si="47"/>
        <v>1</v>
      </c>
      <c r="J272" s="667"/>
      <c r="K272" s="21">
        <f t="shared" si="48"/>
        <v>1</v>
      </c>
      <c r="L272" s="667"/>
      <c r="M272" s="21">
        <f t="shared" si="49"/>
        <v>1</v>
      </c>
      <c r="N272" s="667"/>
      <c r="O272" s="21">
        <f t="shared" si="50"/>
        <v>1</v>
      </c>
      <c r="P272" s="667"/>
      <c r="Q272" s="21">
        <f t="shared" si="51"/>
        <v>1</v>
      </c>
      <c r="R272" s="663">
        <f t="shared" si="52"/>
        <v>0</v>
      </c>
      <c r="S272" s="316">
        <f t="shared" si="53"/>
        <v>0</v>
      </c>
    </row>
    <row r="273" spans="1:19">
      <c r="A273" s="150"/>
      <c r="B273" s="54"/>
      <c r="C273" s="21">
        <f t="shared" si="44"/>
        <v>1</v>
      </c>
      <c r="D273" s="667"/>
      <c r="E273" s="21">
        <f t="shared" si="45"/>
        <v>1</v>
      </c>
      <c r="F273" s="667"/>
      <c r="G273" s="21">
        <f t="shared" si="46"/>
        <v>1</v>
      </c>
      <c r="H273" s="667"/>
      <c r="I273" s="21">
        <f t="shared" si="47"/>
        <v>1</v>
      </c>
      <c r="J273" s="667"/>
      <c r="K273" s="21">
        <f t="shared" si="48"/>
        <v>1</v>
      </c>
      <c r="L273" s="667"/>
      <c r="M273" s="21">
        <f t="shared" si="49"/>
        <v>1</v>
      </c>
      <c r="N273" s="667"/>
      <c r="O273" s="21">
        <f t="shared" si="50"/>
        <v>1</v>
      </c>
      <c r="P273" s="667"/>
      <c r="Q273" s="21">
        <f t="shared" si="51"/>
        <v>1</v>
      </c>
      <c r="R273" s="663">
        <f t="shared" si="52"/>
        <v>0</v>
      </c>
      <c r="S273" s="316">
        <f t="shared" si="53"/>
        <v>0</v>
      </c>
    </row>
    <row r="274" spans="1:19">
      <c r="A274" s="150"/>
      <c r="B274" s="54"/>
      <c r="C274" s="21">
        <f t="shared" si="44"/>
        <v>1</v>
      </c>
      <c r="D274" s="667"/>
      <c r="E274" s="21">
        <f t="shared" si="45"/>
        <v>1</v>
      </c>
      <c r="F274" s="667"/>
      <c r="G274" s="21">
        <f t="shared" si="46"/>
        <v>1</v>
      </c>
      <c r="H274" s="667"/>
      <c r="I274" s="21">
        <f t="shared" si="47"/>
        <v>1</v>
      </c>
      <c r="J274" s="667"/>
      <c r="K274" s="21">
        <f t="shared" si="48"/>
        <v>1</v>
      </c>
      <c r="L274" s="667"/>
      <c r="M274" s="21">
        <f t="shared" si="49"/>
        <v>1</v>
      </c>
      <c r="N274" s="667"/>
      <c r="O274" s="21">
        <f t="shared" si="50"/>
        <v>1</v>
      </c>
      <c r="P274" s="667"/>
      <c r="Q274" s="21">
        <f t="shared" si="51"/>
        <v>1</v>
      </c>
      <c r="R274" s="663">
        <f t="shared" si="52"/>
        <v>0</v>
      </c>
      <c r="S274" s="316">
        <f t="shared" si="53"/>
        <v>0</v>
      </c>
    </row>
    <row r="275" spans="1:19">
      <c r="A275" s="150"/>
      <c r="B275" s="54"/>
      <c r="C275" s="21">
        <f t="shared" si="44"/>
        <v>1</v>
      </c>
      <c r="D275" s="667"/>
      <c r="E275" s="21">
        <f t="shared" si="45"/>
        <v>1</v>
      </c>
      <c r="F275" s="667"/>
      <c r="G275" s="21">
        <f t="shared" si="46"/>
        <v>1</v>
      </c>
      <c r="H275" s="667"/>
      <c r="I275" s="21">
        <f t="shared" si="47"/>
        <v>1</v>
      </c>
      <c r="J275" s="667"/>
      <c r="K275" s="21">
        <f t="shared" si="48"/>
        <v>1</v>
      </c>
      <c r="L275" s="667"/>
      <c r="M275" s="21">
        <f t="shared" si="49"/>
        <v>1</v>
      </c>
      <c r="N275" s="667"/>
      <c r="O275" s="21">
        <f t="shared" si="50"/>
        <v>1</v>
      </c>
      <c r="P275" s="667"/>
      <c r="Q275" s="21">
        <f t="shared" si="51"/>
        <v>1</v>
      </c>
      <c r="R275" s="663">
        <f t="shared" si="52"/>
        <v>0</v>
      </c>
      <c r="S275" s="316">
        <f t="shared" si="53"/>
        <v>0</v>
      </c>
    </row>
    <row r="276" spans="1:19">
      <c r="A276" s="150"/>
      <c r="B276" s="54"/>
      <c r="C276" s="21">
        <f t="shared" si="44"/>
        <v>1</v>
      </c>
      <c r="D276" s="667"/>
      <c r="E276" s="21">
        <f t="shared" si="45"/>
        <v>1</v>
      </c>
      <c r="F276" s="667"/>
      <c r="G276" s="21">
        <f t="shared" si="46"/>
        <v>1</v>
      </c>
      <c r="H276" s="667"/>
      <c r="I276" s="21">
        <f t="shared" si="47"/>
        <v>1</v>
      </c>
      <c r="J276" s="667"/>
      <c r="K276" s="21">
        <f t="shared" si="48"/>
        <v>1</v>
      </c>
      <c r="L276" s="667"/>
      <c r="M276" s="21">
        <f t="shared" si="49"/>
        <v>1</v>
      </c>
      <c r="N276" s="667"/>
      <c r="O276" s="21">
        <f t="shared" si="50"/>
        <v>1</v>
      </c>
      <c r="P276" s="667"/>
      <c r="Q276" s="21">
        <f t="shared" si="51"/>
        <v>1</v>
      </c>
      <c r="R276" s="663">
        <f t="shared" si="52"/>
        <v>0</v>
      </c>
      <c r="S276" s="316">
        <f t="shared" si="53"/>
        <v>0</v>
      </c>
    </row>
    <row r="277" spans="1:19">
      <c r="A277" s="150"/>
      <c r="B277" s="54"/>
      <c r="C277" s="21">
        <f t="shared" si="44"/>
        <v>1</v>
      </c>
      <c r="D277" s="667"/>
      <c r="E277" s="21">
        <f t="shared" si="45"/>
        <v>1</v>
      </c>
      <c r="F277" s="667"/>
      <c r="G277" s="21">
        <f t="shared" si="46"/>
        <v>1</v>
      </c>
      <c r="H277" s="667"/>
      <c r="I277" s="21">
        <f t="shared" si="47"/>
        <v>1</v>
      </c>
      <c r="J277" s="667"/>
      <c r="K277" s="21">
        <f t="shared" si="48"/>
        <v>1</v>
      </c>
      <c r="L277" s="667"/>
      <c r="M277" s="21">
        <f t="shared" si="49"/>
        <v>1</v>
      </c>
      <c r="N277" s="667"/>
      <c r="O277" s="21">
        <f t="shared" si="50"/>
        <v>1</v>
      </c>
      <c r="P277" s="667"/>
      <c r="Q277" s="21">
        <f t="shared" si="51"/>
        <v>1</v>
      </c>
      <c r="R277" s="663">
        <f t="shared" si="52"/>
        <v>0</v>
      </c>
      <c r="S277" s="316">
        <f t="shared" si="53"/>
        <v>0</v>
      </c>
    </row>
    <row r="278" spans="1:19">
      <c r="A278" s="150"/>
      <c r="B278" s="54"/>
      <c r="C278" s="21">
        <f t="shared" si="44"/>
        <v>1</v>
      </c>
      <c r="D278" s="667"/>
      <c r="E278" s="21">
        <f t="shared" si="45"/>
        <v>1</v>
      </c>
      <c r="F278" s="667"/>
      <c r="G278" s="21">
        <f t="shared" si="46"/>
        <v>1</v>
      </c>
      <c r="H278" s="667"/>
      <c r="I278" s="21">
        <f t="shared" si="47"/>
        <v>1</v>
      </c>
      <c r="J278" s="667"/>
      <c r="K278" s="21">
        <f t="shared" si="48"/>
        <v>1</v>
      </c>
      <c r="L278" s="667"/>
      <c r="M278" s="21">
        <f t="shared" si="49"/>
        <v>1</v>
      </c>
      <c r="N278" s="667"/>
      <c r="O278" s="21">
        <f t="shared" si="50"/>
        <v>1</v>
      </c>
      <c r="P278" s="667"/>
      <c r="Q278" s="21">
        <f t="shared" si="51"/>
        <v>1</v>
      </c>
      <c r="R278" s="663">
        <f t="shared" si="52"/>
        <v>0</v>
      </c>
      <c r="S278" s="316">
        <f t="shared" si="53"/>
        <v>0</v>
      </c>
    </row>
    <row r="279" spans="1:19">
      <c r="A279" s="150"/>
      <c r="B279" s="54"/>
      <c r="C279" s="21">
        <f t="shared" si="44"/>
        <v>1</v>
      </c>
      <c r="D279" s="667"/>
      <c r="E279" s="21">
        <f t="shared" si="45"/>
        <v>1</v>
      </c>
      <c r="F279" s="667"/>
      <c r="G279" s="21">
        <f t="shared" si="46"/>
        <v>1</v>
      </c>
      <c r="H279" s="667"/>
      <c r="I279" s="21">
        <f t="shared" si="47"/>
        <v>1</v>
      </c>
      <c r="J279" s="667"/>
      <c r="K279" s="21">
        <f t="shared" si="48"/>
        <v>1</v>
      </c>
      <c r="L279" s="667"/>
      <c r="M279" s="21">
        <f t="shared" si="49"/>
        <v>1</v>
      </c>
      <c r="N279" s="667"/>
      <c r="O279" s="21">
        <f t="shared" si="50"/>
        <v>1</v>
      </c>
      <c r="P279" s="667"/>
      <c r="Q279" s="21">
        <f t="shared" si="51"/>
        <v>1</v>
      </c>
      <c r="R279" s="663">
        <f t="shared" si="52"/>
        <v>0</v>
      </c>
      <c r="S279" s="316">
        <f t="shared" si="53"/>
        <v>0</v>
      </c>
    </row>
    <row r="280" spans="1:19">
      <c r="A280" s="150"/>
      <c r="B280" s="54"/>
      <c r="C280" s="21">
        <f t="shared" si="44"/>
        <v>1</v>
      </c>
      <c r="D280" s="667"/>
      <c r="E280" s="21">
        <f t="shared" si="45"/>
        <v>1</v>
      </c>
      <c r="F280" s="667"/>
      <c r="G280" s="21">
        <f t="shared" si="46"/>
        <v>1</v>
      </c>
      <c r="H280" s="667"/>
      <c r="I280" s="21">
        <f t="shared" si="47"/>
        <v>1</v>
      </c>
      <c r="J280" s="667"/>
      <c r="K280" s="21">
        <f t="shared" si="48"/>
        <v>1</v>
      </c>
      <c r="L280" s="667"/>
      <c r="M280" s="21">
        <f t="shared" si="49"/>
        <v>1</v>
      </c>
      <c r="N280" s="667"/>
      <c r="O280" s="21">
        <f t="shared" si="50"/>
        <v>1</v>
      </c>
      <c r="P280" s="667"/>
      <c r="Q280" s="21">
        <f t="shared" si="51"/>
        <v>1</v>
      </c>
      <c r="R280" s="663">
        <f t="shared" si="52"/>
        <v>0</v>
      </c>
      <c r="S280" s="316">
        <f t="shared" si="53"/>
        <v>0</v>
      </c>
    </row>
    <row r="281" spans="1:19">
      <c r="A281" s="150"/>
      <c r="B281" s="54"/>
      <c r="C281" s="21">
        <f t="shared" si="44"/>
        <v>1</v>
      </c>
      <c r="D281" s="667"/>
      <c r="E281" s="21">
        <f t="shared" si="45"/>
        <v>1</v>
      </c>
      <c r="F281" s="667"/>
      <c r="G281" s="21">
        <f t="shared" si="46"/>
        <v>1</v>
      </c>
      <c r="H281" s="667"/>
      <c r="I281" s="21">
        <f t="shared" si="47"/>
        <v>1</v>
      </c>
      <c r="J281" s="667"/>
      <c r="K281" s="21">
        <f t="shared" si="48"/>
        <v>1</v>
      </c>
      <c r="L281" s="667"/>
      <c r="M281" s="21">
        <f t="shared" si="49"/>
        <v>1</v>
      </c>
      <c r="N281" s="667"/>
      <c r="O281" s="21">
        <f t="shared" si="50"/>
        <v>1</v>
      </c>
      <c r="P281" s="667"/>
      <c r="Q281" s="21">
        <f t="shared" si="51"/>
        <v>1</v>
      </c>
      <c r="R281" s="663">
        <f t="shared" si="52"/>
        <v>0</v>
      </c>
      <c r="S281" s="316">
        <f t="shared" si="53"/>
        <v>0</v>
      </c>
    </row>
    <row r="282" spans="1:19">
      <c r="A282" s="150"/>
      <c r="B282" s="54"/>
      <c r="C282" s="21">
        <f t="shared" ref="C282:C345" si="54">IF(B282="",1,(LOOKUP(B282,$3:$3,$4:$4)-LOOKUP($B$24,$3:$3,$4:$4)+100)/100)</f>
        <v>1</v>
      </c>
      <c r="D282" s="667"/>
      <c r="E282" s="21">
        <f t="shared" ref="E282:E345" si="55">(SUMIF($5:$5,D282,$6:$6)-SUMIF($5:$5,$D$24,$6:$6)+100)/100</f>
        <v>1</v>
      </c>
      <c r="F282" s="667"/>
      <c r="G282" s="21">
        <f t="shared" ref="G282:G345" si="56">(SUMIF($7:$7,F282,$8:$8)-SUMIF($7:$7,$F$24,$8:$8)+100)/100</f>
        <v>1</v>
      </c>
      <c r="H282" s="667"/>
      <c r="I282" s="21">
        <f t="shared" ref="I282:I345" si="57">(SUMIF($9:$9,H282,$10:$10)-SUMIF($9:$9,$H$24,$10:$10)+100)/100</f>
        <v>1</v>
      </c>
      <c r="J282" s="667"/>
      <c r="K282" s="21">
        <f t="shared" ref="K282:K345" si="58">(SUMIF($11:$11,J282,$12:$12)-SUMIF($11:$11,$J$24,$12:$12)+100)/100</f>
        <v>1</v>
      </c>
      <c r="L282" s="667"/>
      <c r="M282" s="21">
        <f t="shared" ref="M282:M345" si="59">(SUMIF($13:$13,L282,$14:$14)-SUMIF($13:$13,$L$24,$14:$14)+100)/100</f>
        <v>1</v>
      </c>
      <c r="N282" s="667"/>
      <c r="O282" s="21">
        <f t="shared" ref="O282:O345" si="60">(SUMIF($15:$15,N282,$16:$16)-SUMIF($15:$15,$N$24,$16:$16)+100)/100</f>
        <v>1</v>
      </c>
      <c r="P282" s="667"/>
      <c r="Q282" s="21">
        <f t="shared" ref="Q282:Q345" si="61">(SUMIF($17:$17,P282,$18:$18)-SUMIF($17:$17,$P$24,$18:$18)+100)/100</f>
        <v>1</v>
      </c>
      <c r="R282" s="663">
        <f t="shared" ref="R282:R345" si="62">IF(B282="",0,ROUND($R$24*C282*E282*G282*I282*K282*M282*O282*Q282,0))</f>
        <v>0</v>
      </c>
      <c r="S282" s="316">
        <f t="shared" si="53"/>
        <v>0</v>
      </c>
    </row>
    <row r="283" spans="1:19">
      <c r="A283" s="150"/>
      <c r="B283" s="54"/>
      <c r="C283" s="21">
        <f t="shared" si="54"/>
        <v>1</v>
      </c>
      <c r="D283" s="667"/>
      <c r="E283" s="21">
        <f t="shared" si="55"/>
        <v>1</v>
      </c>
      <c r="F283" s="667"/>
      <c r="G283" s="21">
        <f t="shared" si="56"/>
        <v>1</v>
      </c>
      <c r="H283" s="667"/>
      <c r="I283" s="21">
        <f t="shared" si="57"/>
        <v>1</v>
      </c>
      <c r="J283" s="667"/>
      <c r="K283" s="21">
        <f t="shared" si="58"/>
        <v>1</v>
      </c>
      <c r="L283" s="667"/>
      <c r="M283" s="21">
        <f t="shared" si="59"/>
        <v>1</v>
      </c>
      <c r="N283" s="667"/>
      <c r="O283" s="21">
        <f t="shared" si="60"/>
        <v>1</v>
      </c>
      <c r="P283" s="667"/>
      <c r="Q283" s="21">
        <f t="shared" si="61"/>
        <v>1</v>
      </c>
      <c r="R283" s="663">
        <f t="shared" si="62"/>
        <v>0</v>
      </c>
      <c r="S283" s="316">
        <f t="shared" si="53"/>
        <v>0</v>
      </c>
    </row>
    <row r="284" spans="1:19">
      <c r="A284" s="150"/>
      <c r="B284" s="54"/>
      <c r="C284" s="21">
        <f t="shared" si="54"/>
        <v>1</v>
      </c>
      <c r="D284" s="667"/>
      <c r="E284" s="21">
        <f t="shared" si="55"/>
        <v>1</v>
      </c>
      <c r="F284" s="667"/>
      <c r="G284" s="21">
        <f t="shared" si="56"/>
        <v>1</v>
      </c>
      <c r="H284" s="667"/>
      <c r="I284" s="21">
        <f t="shared" si="57"/>
        <v>1</v>
      </c>
      <c r="J284" s="667"/>
      <c r="K284" s="21">
        <f t="shared" si="58"/>
        <v>1</v>
      </c>
      <c r="L284" s="667"/>
      <c r="M284" s="21">
        <f t="shared" si="59"/>
        <v>1</v>
      </c>
      <c r="N284" s="667"/>
      <c r="O284" s="21">
        <f t="shared" si="60"/>
        <v>1</v>
      </c>
      <c r="P284" s="667"/>
      <c r="Q284" s="21">
        <f t="shared" si="61"/>
        <v>1</v>
      </c>
      <c r="R284" s="663">
        <f t="shared" si="62"/>
        <v>0</v>
      </c>
      <c r="S284" s="316">
        <f t="shared" si="53"/>
        <v>0</v>
      </c>
    </row>
    <row r="285" spans="1:19">
      <c r="A285" s="150"/>
      <c r="B285" s="54"/>
      <c r="C285" s="21">
        <f t="shared" si="54"/>
        <v>1</v>
      </c>
      <c r="D285" s="667"/>
      <c r="E285" s="21">
        <f t="shared" si="55"/>
        <v>1</v>
      </c>
      <c r="F285" s="667"/>
      <c r="G285" s="21">
        <f t="shared" si="56"/>
        <v>1</v>
      </c>
      <c r="H285" s="667"/>
      <c r="I285" s="21">
        <f t="shared" si="57"/>
        <v>1</v>
      </c>
      <c r="J285" s="667"/>
      <c r="K285" s="21">
        <f t="shared" si="58"/>
        <v>1</v>
      </c>
      <c r="L285" s="667"/>
      <c r="M285" s="21">
        <f t="shared" si="59"/>
        <v>1</v>
      </c>
      <c r="N285" s="667"/>
      <c r="O285" s="21">
        <f t="shared" si="60"/>
        <v>1</v>
      </c>
      <c r="P285" s="667"/>
      <c r="Q285" s="21">
        <f t="shared" si="61"/>
        <v>1</v>
      </c>
      <c r="R285" s="663">
        <f t="shared" si="62"/>
        <v>0</v>
      </c>
      <c r="S285" s="316">
        <f t="shared" si="53"/>
        <v>0</v>
      </c>
    </row>
    <row r="286" spans="1:19">
      <c r="A286" s="150"/>
      <c r="B286" s="54"/>
      <c r="C286" s="21">
        <f t="shared" si="54"/>
        <v>1</v>
      </c>
      <c r="D286" s="667"/>
      <c r="E286" s="21">
        <f t="shared" si="55"/>
        <v>1</v>
      </c>
      <c r="F286" s="667"/>
      <c r="G286" s="21">
        <f t="shared" si="56"/>
        <v>1</v>
      </c>
      <c r="H286" s="667"/>
      <c r="I286" s="21">
        <f t="shared" si="57"/>
        <v>1</v>
      </c>
      <c r="J286" s="667"/>
      <c r="K286" s="21">
        <f t="shared" si="58"/>
        <v>1</v>
      </c>
      <c r="L286" s="667"/>
      <c r="M286" s="21">
        <f t="shared" si="59"/>
        <v>1</v>
      </c>
      <c r="N286" s="667"/>
      <c r="O286" s="21">
        <f t="shared" si="60"/>
        <v>1</v>
      </c>
      <c r="P286" s="667"/>
      <c r="Q286" s="21">
        <f t="shared" si="61"/>
        <v>1</v>
      </c>
      <c r="R286" s="663">
        <f t="shared" si="62"/>
        <v>0</v>
      </c>
      <c r="S286" s="316">
        <f t="shared" si="53"/>
        <v>0</v>
      </c>
    </row>
    <row r="287" spans="1:19">
      <c r="A287" s="150"/>
      <c r="B287" s="54"/>
      <c r="C287" s="21">
        <f t="shared" si="54"/>
        <v>1</v>
      </c>
      <c r="D287" s="667"/>
      <c r="E287" s="21">
        <f t="shared" si="55"/>
        <v>1</v>
      </c>
      <c r="F287" s="667"/>
      <c r="G287" s="21">
        <f t="shared" si="56"/>
        <v>1</v>
      </c>
      <c r="H287" s="667"/>
      <c r="I287" s="21">
        <f t="shared" si="57"/>
        <v>1</v>
      </c>
      <c r="J287" s="667"/>
      <c r="K287" s="21">
        <f t="shared" si="58"/>
        <v>1</v>
      </c>
      <c r="L287" s="667"/>
      <c r="M287" s="21">
        <f t="shared" si="59"/>
        <v>1</v>
      </c>
      <c r="N287" s="667"/>
      <c r="O287" s="21">
        <f t="shared" si="60"/>
        <v>1</v>
      </c>
      <c r="P287" s="667"/>
      <c r="Q287" s="21">
        <f t="shared" si="61"/>
        <v>1</v>
      </c>
      <c r="R287" s="663">
        <f t="shared" si="62"/>
        <v>0</v>
      </c>
      <c r="S287" s="316">
        <f t="shared" ref="S287:S320" si="63">ROUND(R287*B287/10000,0)</f>
        <v>0</v>
      </c>
    </row>
    <row r="288" spans="1:19">
      <c r="A288" s="150"/>
      <c r="B288" s="54"/>
      <c r="C288" s="21">
        <f t="shared" si="54"/>
        <v>1</v>
      </c>
      <c r="D288" s="667"/>
      <c r="E288" s="21">
        <f t="shared" si="55"/>
        <v>1</v>
      </c>
      <c r="F288" s="667"/>
      <c r="G288" s="21">
        <f t="shared" si="56"/>
        <v>1</v>
      </c>
      <c r="H288" s="667"/>
      <c r="I288" s="21">
        <f t="shared" si="57"/>
        <v>1</v>
      </c>
      <c r="J288" s="667"/>
      <c r="K288" s="21">
        <f t="shared" si="58"/>
        <v>1</v>
      </c>
      <c r="L288" s="667"/>
      <c r="M288" s="21">
        <f t="shared" si="59"/>
        <v>1</v>
      </c>
      <c r="N288" s="667"/>
      <c r="O288" s="21">
        <f t="shared" si="60"/>
        <v>1</v>
      </c>
      <c r="P288" s="667"/>
      <c r="Q288" s="21">
        <f t="shared" si="61"/>
        <v>1</v>
      </c>
      <c r="R288" s="663">
        <f t="shared" si="62"/>
        <v>0</v>
      </c>
      <c r="S288" s="316">
        <f t="shared" si="63"/>
        <v>0</v>
      </c>
    </row>
    <row r="289" spans="1:19">
      <c r="A289" s="150"/>
      <c r="B289" s="54"/>
      <c r="C289" s="21">
        <f t="shared" si="54"/>
        <v>1</v>
      </c>
      <c r="D289" s="667"/>
      <c r="E289" s="21">
        <f t="shared" si="55"/>
        <v>1</v>
      </c>
      <c r="F289" s="667"/>
      <c r="G289" s="21">
        <f t="shared" si="56"/>
        <v>1</v>
      </c>
      <c r="H289" s="667"/>
      <c r="I289" s="21">
        <f t="shared" si="57"/>
        <v>1</v>
      </c>
      <c r="J289" s="667"/>
      <c r="K289" s="21">
        <f t="shared" si="58"/>
        <v>1</v>
      </c>
      <c r="L289" s="667"/>
      <c r="M289" s="21">
        <f t="shared" si="59"/>
        <v>1</v>
      </c>
      <c r="N289" s="667"/>
      <c r="O289" s="21">
        <f t="shared" si="60"/>
        <v>1</v>
      </c>
      <c r="P289" s="667"/>
      <c r="Q289" s="21">
        <f t="shared" si="61"/>
        <v>1</v>
      </c>
      <c r="R289" s="663">
        <f t="shared" si="62"/>
        <v>0</v>
      </c>
      <c r="S289" s="316">
        <f t="shared" si="63"/>
        <v>0</v>
      </c>
    </row>
    <row r="290" spans="1:19">
      <c r="A290" s="150"/>
      <c r="B290" s="54"/>
      <c r="C290" s="21">
        <f t="shared" si="54"/>
        <v>1</v>
      </c>
      <c r="D290" s="667"/>
      <c r="E290" s="21">
        <f t="shared" si="55"/>
        <v>1</v>
      </c>
      <c r="F290" s="667"/>
      <c r="G290" s="21">
        <f t="shared" si="56"/>
        <v>1</v>
      </c>
      <c r="H290" s="667"/>
      <c r="I290" s="21">
        <f t="shared" si="57"/>
        <v>1</v>
      </c>
      <c r="J290" s="667"/>
      <c r="K290" s="21">
        <f t="shared" si="58"/>
        <v>1</v>
      </c>
      <c r="L290" s="667"/>
      <c r="M290" s="21">
        <f t="shared" si="59"/>
        <v>1</v>
      </c>
      <c r="N290" s="667"/>
      <c r="O290" s="21">
        <f t="shared" si="60"/>
        <v>1</v>
      </c>
      <c r="P290" s="667"/>
      <c r="Q290" s="21">
        <f t="shared" si="61"/>
        <v>1</v>
      </c>
      <c r="R290" s="663">
        <f t="shared" si="62"/>
        <v>0</v>
      </c>
      <c r="S290" s="316">
        <f t="shared" si="63"/>
        <v>0</v>
      </c>
    </row>
    <row r="291" spans="1:19">
      <c r="A291" s="150"/>
      <c r="B291" s="54"/>
      <c r="C291" s="21">
        <f t="shared" si="54"/>
        <v>1</v>
      </c>
      <c r="D291" s="667"/>
      <c r="E291" s="21">
        <f t="shared" si="55"/>
        <v>1</v>
      </c>
      <c r="F291" s="667"/>
      <c r="G291" s="21">
        <f t="shared" si="56"/>
        <v>1</v>
      </c>
      <c r="H291" s="667"/>
      <c r="I291" s="21">
        <f t="shared" si="57"/>
        <v>1</v>
      </c>
      <c r="J291" s="667"/>
      <c r="K291" s="21">
        <f t="shared" si="58"/>
        <v>1</v>
      </c>
      <c r="L291" s="667"/>
      <c r="M291" s="21">
        <f t="shared" si="59"/>
        <v>1</v>
      </c>
      <c r="N291" s="667"/>
      <c r="O291" s="21">
        <f t="shared" si="60"/>
        <v>1</v>
      </c>
      <c r="P291" s="667"/>
      <c r="Q291" s="21">
        <f t="shared" si="61"/>
        <v>1</v>
      </c>
      <c r="R291" s="663">
        <f t="shared" si="62"/>
        <v>0</v>
      </c>
      <c r="S291" s="316">
        <f t="shared" si="63"/>
        <v>0</v>
      </c>
    </row>
    <row r="292" spans="1:19">
      <c r="A292" s="150"/>
      <c r="B292" s="54"/>
      <c r="C292" s="21">
        <f t="shared" si="54"/>
        <v>1</v>
      </c>
      <c r="D292" s="667"/>
      <c r="E292" s="21">
        <f t="shared" si="55"/>
        <v>1</v>
      </c>
      <c r="F292" s="667"/>
      <c r="G292" s="21">
        <f t="shared" si="56"/>
        <v>1</v>
      </c>
      <c r="H292" s="667"/>
      <c r="I292" s="21">
        <f t="shared" si="57"/>
        <v>1</v>
      </c>
      <c r="J292" s="667"/>
      <c r="K292" s="21">
        <f t="shared" si="58"/>
        <v>1</v>
      </c>
      <c r="L292" s="667"/>
      <c r="M292" s="21">
        <f t="shared" si="59"/>
        <v>1</v>
      </c>
      <c r="N292" s="667"/>
      <c r="O292" s="21">
        <f t="shared" si="60"/>
        <v>1</v>
      </c>
      <c r="P292" s="667"/>
      <c r="Q292" s="21">
        <f t="shared" si="61"/>
        <v>1</v>
      </c>
      <c r="R292" s="663">
        <f t="shared" si="62"/>
        <v>0</v>
      </c>
      <c r="S292" s="316">
        <f t="shared" si="63"/>
        <v>0</v>
      </c>
    </row>
    <row r="293" spans="1:19">
      <c r="A293" s="150"/>
      <c r="B293" s="54"/>
      <c r="C293" s="21">
        <f t="shared" si="54"/>
        <v>1</v>
      </c>
      <c r="D293" s="667"/>
      <c r="E293" s="21">
        <f t="shared" si="55"/>
        <v>1</v>
      </c>
      <c r="F293" s="667"/>
      <c r="G293" s="21">
        <f t="shared" si="56"/>
        <v>1</v>
      </c>
      <c r="H293" s="667"/>
      <c r="I293" s="21">
        <f t="shared" si="57"/>
        <v>1</v>
      </c>
      <c r="J293" s="667"/>
      <c r="K293" s="21">
        <f t="shared" si="58"/>
        <v>1</v>
      </c>
      <c r="L293" s="667"/>
      <c r="M293" s="21">
        <f t="shared" si="59"/>
        <v>1</v>
      </c>
      <c r="N293" s="667"/>
      <c r="O293" s="21">
        <f t="shared" si="60"/>
        <v>1</v>
      </c>
      <c r="P293" s="667"/>
      <c r="Q293" s="21">
        <f t="shared" si="61"/>
        <v>1</v>
      </c>
      <c r="R293" s="663">
        <f t="shared" si="62"/>
        <v>0</v>
      </c>
      <c r="S293" s="316">
        <f t="shared" si="63"/>
        <v>0</v>
      </c>
    </row>
    <row r="294" spans="1:19">
      <c r="A294" s="150"/>
      <c r="B294" s="54"/>
      <c r="C294" s="21">
        <f t="shared" si="54"/>
        <v>1</v>
      </c>
      <c r="D294" s="667"/>
      <c r="E294" s="21">
        <f t="shared" si="55"/>
        <v>1</v>
      </c>
      <c r="F294" s="667"/>
      <c r="G294" s="21">
        <f t="shared" si="56"/>
        <v>1</v>
      </c>
      <c r="H294" s="667"/>
      <c r="I294" s="21">
        <f t="shared" si="57"/>
        <v>1</v>
      </c>
      <c r="J294" s="667"/>
      <c r="K294" s="21">
        <f t="shared" si="58"/>
        <v>1</v>
      </c>
      <c r="L294" s="667"/>
      <c r="M294" s="21">
        <f t="shared" si="59"/>
        <v>1</v>
      </c>
      <c r="N294" s="667"/>
      <c r="O294" s="21">
        <f t="shared" si="60"/>
        <v>1</v>
      </c>
      <c r="P294" s="667"/>
      <c r="Q294" s="21">
        <f t="shared" si="61"/>
        <v>1</v>
      </c>
      <c r="R294" s="663">
        <f t="shared" si="62"/>
        <v>0</v>
      </c>
      <c r="S294" s="316">
        <f t="shared" si="63"/>
        <v>0</v>
      </c>
    </row>
    <row r="295" spans="1:19">
      <c r="A295" s="150"/>
      <c r="B295" s="54"/>
      <c r="C295" s="21">
        <f t="shared" si="54"/>
        <v>1</v>
      </c>
      <c r="D295" s="667"/>
      <c r="E295" s="21">
        <f t="shared" si="55"/>
        <v>1</v>
      </c>
      <c r="F295" s="667"/>
      <c r="G295" s="21">
        <f t="shared" si="56"/>
        <v>1</v>
      </c>
      <c r="H295" s="667"/>
      <c r="I295" s="21">
        <f t="shared" si="57"/>
        <v>1</v>
      </c>
      <c r="J295" s="667"/>
      <c r="K295" s="21">
        <f t="shared" si="58"/>
        <v>1</v>
      </c>
      <c r="L295" s="667"/>
      <c r="M295" s="21">
        <f t="shared" si="59"/>
        <v>1</v>
      </c>
      <c r="N295" s="667"/>
      <c r="O295" s="21">
        <f t="shared" si="60"/>
        <v>1</v>
      </c>
      <c r="P295" s="667"/>
      <c r="Q295" s="21">
        <f t="shared" si="61"/>
        <v>1</v>
      </c>
      <c r="R295" s="663">
        <f t="shared" si="62"/>
        <v>0</v>
      </c>
      <c r="S295" s="316">
        <f t="shared" si="63"/>
        <v>0</v>
      </c>
    </row>
    <row r="296" spans="1:19">
      <c r="A296" s="150"/>
      <c r="B296" s="54"/>
      <c r="C296" s="21">
        <f t="shared" si="54"/>
        <v>1</v>
      </c>
      <c r="D296" s="667"/>
      <c r="E296" s="21">
        <f t="shared" si="55"/>
        <v>1</v>
      </c>
      <c r="F296" s="667"/>
      <c r="G296" s="21">
        <f t="shared" si="56"/>
        <v>1</v>
      </c>
      <c r="H296" s="667"/>
      <c r="I296" s="21">
        <f t="shared" si="57"/>
        <v>1</v>
      </c>
      <c r="J296" s="667"/>
      <c r="K296" s="21">
        <f t="shared" si="58"/>
        <v>1</v>
      </c>
      <c r="L296" s="667"/>
      <c r="M296" s="21">
        <f t="shared" si="59"/>
        <v>1</v>
      </c>
      <c r="N296" s="667"/>
      <c r="O296" s="21">
        <f t="shared" si="60"/>
        <v>1</v>
      </c>
      <c r="P296" s="667"/>
      <c r="Q296" s="21">
        <f t="shared" si="61"/>
        <v>1</v>
      </c>
      <c r="R296" s="663">
        <f t="shared" si="62"/>
        <v>0</v>
      </c>
      <c r="S296" s="316">
        <f t="shared" si="63"/>
        <v>0</v>
      </c>
    </row>
    <row r="297" spans="1:19">
      <c r="A297" s="150"/>
      <c r="B297" s="54"/>
      <c r="C297" s="21">
        <f t="shared" si="54"/>
        <v>1</v>
      </c>
      <c r="D297" s="667"/>
      <c r="E297" s="21">
        <f t="shared" si="55"/>
        <v>1</v>
      </c>
      <c r="F297" s="667"/>
      <c r="G297" s="21">
        <f t="shared" si="56"/>
        <v>1</v>
      </c>
      <c r="H297" s="667"/>
      <c r="I297" s="21">
        <f t="shared" si="57"/>
        <v>1</v>
      </c>
      <c r="J297" s="667"/>
      <c r="K297" s="21">
        <f t="shared" si="58"/>
        <v>1</v>
      </c>
      <c r="L297" s="667"/>
      <c r="M297" s="21">
        <f t="shared" si="59"/>
        <v>1</v>
      </c>
      <c r="N297" s="667"/>
      <c r="O297" s="21">
        <f t="shared" si="60"/>
        <v>1</v>
      </c>
      <c r="P297" s="667"/>
      <c r="Q297" s="21">
        <f t="shared" si="61"/>
        <v>1</v>
      </c>
      <c r="R297" s="663">
        <f t="shared" si="62"/>
        <v>0</v>
      </c>
      <c r="S297" s="316">
        <f t="shared" si="63"/>
        <v>0</v>
      </c>
    </row>
    <row r="298" spans="1:19">
      <c r="A298" s="150"/>
      <c r="B298" s="54"/>
      <c r="C298" s="21">
        <f t="shared" si="54"/>
        <v>1</v>
      </c>
      <c r="D298" s="667"/>
      <c r="E298" s="21">
        <f t="shared" si="55"/>
        <v>1</v>
      </c>
      <c r="F298" s="667"/>
      <c r="G298" s="21">
        <f t="shared" si="56"/>
        <v>1</v>
      </c>
      <c r="H298" s="667"/>
      <c r="I298" s="21">
        <f t="shared" si="57"/>
        <v>1</v>
      </c>
      <c r="J298" s="667"/>
      <c r="K298" s="21">
        <f t="shared" si="58"/>
        <v>1</v>
      </c>
      <c r="L298" s="667"/>
      <c r="M298" s="21">
        <f t="shared" si="59"/>
        <v>1</v>
      </c>
      <c r="N298" s="667"/>
      <c r="O298" s="21">
        <f t="shared" si="60"/>
        <v>1</v>
      </c>
      <c r="P298" s="667"/>
      <c r="Q298" s="21">
        <f t="shared" si="61"/>
        <v>1</v>
      </c>
      <c r="R298" s="663">
        <f t="shared" si="62"/>
        <v>0</v>
      </c>
      <c r="S298" s="316">
        <f t="shared" si="63"/>
        <v>0</v>
      </c>
    </row>
    <row r="299" spans="1:19">
      <c r="A299" s="150"/>
      <c r="B299" s="54"/>
      <c r="C299" s="21">
        <f t="shared" si="54"/>
        <v>1</v>
      </c>
      <c r="D299" s="667"/>
      <c r="E299" s="21">
        <f t="shared" si="55"/>
        <v>1</v>
      </c>
      <c r="F299" s="667"/>
      <c r="G299" s="21">
        <f t="shared" si="56"/>
        <v>1</v>
      </c>
      <c r="H299" s="667"/>
      <c r="I299" s="21">
        <f t="shared" si="57"/>
        <v>1</v>
      </c>
      <c r="J299" s="667"/>
      <c r="K299" s="21">
        <f t="shared" si="58"/>
        <v>1</v>
      </c>
      <c r="L299" s="667"/>
      <c r="M299" s="21">
        <f t="shared" si="59"/>
        <v>1</v>
      </c>
      <c r="N299" s="667"/>
      <c r="O299" s="21">
        <f t="shared" si="60"/>
        <v>1</v>
      </c>
      <c r="P299" s="667"/>
      <c r="Q299" s="21">
        <f t="shared" si="61"/>
        <v>1</v>
      </c>
      <c r="R299" s="663">
        <f t="shared" si="62"/>
        <v>0</v>
      </c>
      <c r="S299" s="316">
        <f t="shared" si="63"/>
        <v>0</v>
      </c>
    </row>
    <row r="300" spans="1:19">
      <c r="A300" s="150"/>
      <c r="B300" s="54"/>
      <c r="C300" s="21">
        <f t="shared" si="54"/>
        <v>1</v>
      </c>
      <c r="D300" s="667"/>
      <c r="E300" s="21">
        <f t="shared" si="55"/>
        <v>1</v>
      </c>
      <c r="F300" s="667"/>
      <c r="G300" s="21">
        <f t="shared" si="56"/>
        <v>1</v>
      </c>
      <c r="H300" s="667"/>
      <c r="I300" s="21">
        <f t="shared" si="57"/>
        <v>1</v>
      </c>
      <c r="J300" s="667"/>
      <c r="K300" s="21">
        <f t="shared" si="58"/>
        <v>1</v>
      </c>
      <c r="L300" s="667"/>
      <c r="M300" s="21">
        <f t="shared" si="59"/>
        <v>1</v>
      </c>
      <c r="N300" s="667"/>
      <c r="O300" s="21">
        <f t="shared" si="60"/>
        <v>1</v>
      </c>
      <c r="P300" s="667"/>
      <c r="Q300" s="21">
        <f t="shared" si="61"/>
        <v>1</v>
      </c>
      <c r="R300" s="663">
        <f t="shared" si="62"/>
        <v>0</v>
      </c>
      <c r="S300" s="316">
        <f t="shared" si="63"/>
        <v>0</v>
      </c>
    </row>
    <row r="301" spans="1:19">
      <c r="A301" s="150"/>
      <c r="B301" s="54"/>
      <c r="C301" s="21">
        <f t="shared" si="54"/>
        <v>1</v>
      </c>
      <c r="D301" s="667"/>
      <c r="E301" s="21">
        <f t="shared" si="55"/>
        <v>1</v>
      </c>
      <c r="F301" s="667"/>
      <c r="G301" s="21">
        <f t="shared" si="56"/>
        <v>1</v>
      </c>
      <c r="H301" s="667"/>
      <c r="I301" s="21">
        <f t="shared" si="57"/>
        <v>1</v>
      </c>
      <c r="J301" s="667"/>
      <c r="K301" s="21">
        <f t="shared" si="58"/>
        <v>1</v>
      </c>
      <c r="L301" s="667"/>
      <c r="M301" s="21">
        <f t="shared" si="59"/>
        <v>1</v>
      </c>
      <c r="N301" s="667"/>
      <c r="O301" s="21">
        <f t="shared" si="60"/>
        <v>1</v>
      </c>
      <c r="P301" s="667"/>
      <c r="Q301" s="21">
        <f t="shared" si="61"/>
        <v>1</v>
      </c>
      <c r="R301" s="663">
        <f t="shared" si="62"/>
        <v>0</v>
      </c>
      <c r="S301" s="316">
        <f t="shared" si="63"/>
        <v>0</v>
      </c>
    </row>
    <row r="302" spans="1:19">
      <c r="A302" s="150"/>
      <c r="B302" s="54"/>
      <c r="C302" s="21">
        <f t="shared" si="54"/>
        <v>1</v>
      </c>
      <c r="D302" s="667"/>
      <c r="E302" s="21">
        <f t="shared" si="55"/>
        <v>1</v>
      </c>
      <c r="F302" s="667"/>
      <c r="G302" s="21">
        <f t="shared" si="56"/>
        <v>1</v>
      </c>
      <c r="H302" s="667"/>
      <c r="I302" s="21">
        <f t="shared" si="57"/>
        <v>1</v>
      </c>
      <c r="J302" s="667"/>
      <c r="K302" s="21">
        <f t="shared" si="58"/>
        <v>1</v>
      </c>
      <c r="L302" s="667"/>
      <c r="M302" s="21">
        <f t="shared" si="59"/>
        <v>1</v>
      </c>
      <c r="N302" s="667"/>
      <c r="O302" s="21">
        <f t="shared" si="60"/>
        <v>1</v>
      </c>
      <c r="P302" s="667"/>
      <c r="Q302" s="21">
        <f t="shared" si="61"/>
        <v>1</v>
      </c>
      <c r="R302" s="663">
        <f t="shared" si="62"/>
        <v>0</v>
      </c>
      <c r="S302" s="316">
        <f t="shared" si="63"/>
        <v>0</v>
      </c>
    </row>
    <row r="303" spans="1:19">
      <c r="A303" s="150"/>
      <c r="B303" s="54"/>
      <c r="C303" s="21">
        <f t="shared" si="54"/>
        <v>1</v>
      </c>
      <c r="D303" s="667"/>
      <c r="E303" s="21">
        <f t="shared" si="55"/>
        <v>1</v>
      </c>
      <c r="F303" s="667"/>
      <c r="G303" s="21">
        <f t="shared" si="56"/>
        <v>1</v>
      </c>
      <c r="H303" s="667"/>
      <c r="I303" s="21">
        <f t="shared" si="57"/>
        <v>1</v>
      </c>
      <c r="J303" s="667"/>
      <c r="K303" s="21">
        <f t="shared" si="58"/>
        <v>1</v>
      </c>
      <c r="L303" s="667"/>
      <c r="M303" s="21">
        <f t="shared" si="59"/>
        <v>1</v>
      </c>
      <c r="N303" s="667"/>
      <c r="O303" s="21">
        <f t="shared" si="60"/>
        <v>1</v>
      </c>
      <c r="P303" s="667"/>
      <c r="Q303" s="21">
        <f t="shared" si="61"/>
        <v>1</v>
      </c>
      <c r="R303" s="663">
        <f t="shared" si="62"/>
        <v>0</v>
      </c>
      <c r="S303" s="316">
        <f t="shared" si="63"/>
        <v>0</v>
      </c>
    </row>
    <row r="304" spans="1:19">
      <c r="A304" s="150"/>
      <c r="B304" s="54"/>
      <c r="C304" s="21">
        <f t="shared" si="54"/>
        <v>1</v>
      </c>
      <c r="D304" s="667"/>
      <c r="E304" s="21">
        <f t="shared" si="55"/>
        <v>1</v>
      </c>
      <c r="F304" s="667"/>
      <c r="G304" s="21">
        <f t="shared" si="56"/>
        <v>1</v>
      </c>
      <c r="H304" s="667"/>
      <c r="I304" s="21">
        <f t="shared" si="57"/>
        <v>1</v>
      </c>
      <c r="J304" s="667"/>
      <c r="K304" s="21">
        <f t="shared" si="58"/>
        <v>1</v>
      </c>
      <c r="L304" s="667"/>
      <c r="M304" s="21">
        <f t="shared" si="59"/>
        <v>1</v>
      </c>
      <c r="N304" s="667"/>
      <c r="O304" s="21">
        <f t="shared" si="60"/>
        <v>1</v>
      </c>
      <c r="P304" s="667"/>
      <c r="Q304" s="21">
        <f t="shared" si="61"/>
        <v>1</v>
      </c>
      <c r="R304" s="663">
        <f t="shared" si="62"/>
        <v>0</v>
      </c>
      <c r="S304" s="316">
        <f t="shared" si="63"/>
        <v>0</v>
      </c>
    </row>
    <row r="305" spans="1:19">
      <c r="A305" s="150"/>
      <c r="B305" s="54"/>
      <c r="C305" s="21">
        <f t="shared" si="54"/>
        <v>1</v>
      </c>
      <c r="D305" s="667"/>
      <c r="E305" s="21">
        <f t="shared" si="55"/>
        <v>1</v>
      </c>
      <c r="F305" s="667"/>
      <c r="G305" s="21">
        <f t="shared" si="56"/>
        <v>1</v>
      </c>
      <c r="H305" s="667"/>
      <c r="I305" s="21">
        <f t="shared" si="57"/>
        <v>1</v>
      </c>
      <c r="J305" s="667"/>
      <c r="K305" s="21">
        <f t="shared" si="58"/>
        <v>1</v>
      </c>
      <c r="L305" s="667"/>
      <c r="M305" s="21">
        <f t="shared" si="59"/>
        <v>1</v>
      </c>
      <c r="N305" s="667"/>
      <c r="O305" s="21">
        <f t="shared" si="60"/>
        <v>1</v>
      </c>
      <c r="P305" s="667"/>
      <c r="Q305" s="21">
        <f t="shared" si="61"/>
        <v>1</v>
      </c>
      <c r="R305" s="663">
        <f t="shared" si="62"/>
        <v>0</v>
      </c>
      <c r="S305" s="316">
        <f t="shared" si="63"/>
        <v>0</v>
      </c>
    </row>
    <row r="306" spans="1:19">
      <c r="A306" s="150"/>
      <c r="B306" s="54"/>
      <c r="C306" s="21">
        <f t="shared" si="54"/>
        <v>1</v>
      </c>
      <c r="D306" s="667"/>
      <c r="E306" s="21">
        <f t="shared" si="55"/>
        <v>1</v>
      </c>
      <c r="F306" s="667"/>
      <c r="G306" s="21">
        <f t="shared" si="56"/>
        <v>1</v>
      </c>
      <c r="H306" s="667"/>
      <c r="I306" s="21">
        <f t="shared" si="57"/>
        <v>1</v>
      </c>
      <c r="J306" s="667"/>
      <c r="K306" s="21">
        <f t="shared" si="58"/>
        <v>1</v>
      </c>
      <c r="L306" s="667"/>
      <c r="M306" s="21">
        <f t="shared" si="59"/>
        <v>1</v>
      </c>
      <c r="N306" s="667"/>
      <c r="O306" s="21">
        <f t="shared" si="60"/>
        <v>1</v>
      </c>
      <c r="P306" s="667"/>
      <c r="Q306" s="21">
        <f t="shared" si="61"/>
        <v>1</v>
      </c>
      <c r="R306" s="663">
        <f t="shared" si="62"/>
        <v>0</v>
      </c>
      <c r="S306" s="316">
        <f t="shared" si="63"/>
        <v>0</v>
      </c>
    </row>
    <row r="307" spans="1:19">
      <c r="A307" s="150"/>
      <c r="B307" s="54"/>
      <c r="C307" s="21">
        <f t="shared" si="54"/>
        <v>1</v>
      </c>
      <c r="D307" s="667"/>
      <c r="E307" s="21">
        <f t="shared" si="55"/>
        <v>1</v>
      </c>
      <c r="F307" s="667"/>
      <c r="G307" s="21">
        <f t="shared" si="56"/>
        <v>1</v>
      </c>
      <c r="H307" s="667"/>
      <c r="I307" s="21">
        <f t="shared" si="57"/>
        <v>1</v>
      </c>
      <c r="J307" s="667"/>
      <c r="K307" s="21">
        <f t="shared" si="58"/>
        <v>1</v>
      </c>
      <c r="L307" s="667"/>
      <c r="M307" s="21">
        <f t="shared" si="59"/>
        <v>1</v>
      </c>
      <c r="N307" s="667"/>
      <c r="O307" s="21">
        <f t="shared" si="60"/>
        <v>1</v>
      </c>
      <c r="P307" s="667"/>
      <c r="Q307" s="21">
        <f t="shared" si="61"/>
        <v>1</v>
      </c>
      <c r="R307" s="663">
        <f t="shared" si="62"/>
        <v>0</v>
      </c>
      <c r="S307" s="316">
        <f t="shared" si="63"/>
        <v>0</v>
      </c>
    </row>
    <row r="308" spans="1:19">
      <c r="A308" s="150"/>
      <c r="B308" s="54"/>
      <c r="C308" s="21">
        <f t="shared" si="54"/>
        <v>1</v>
      </c>
      <c r="D308" s="667"/>
      <c r="E308" s="21">
        <f t="shared" si="55"/>
        <v>1</v>
      </c>
      <c r="F308" s="667"/>
      <c r="G308" s="21">
        <f t="shared" si="56"/>
        <v>1</v>
      </c>
      <c r="H308" s="667"/>
      <c r="I308" s="21">
        <f t="shared" si="57"/>
        <v>1</v>
      </c>
      <c r="J308" s="667"/>
      <c r="K308" s="21">
        <f t="shared" si="58"/>
        <v>1</v>
      </c>
      <c r="L308" s="667"/>
      <c r="M308" s="21">
        <f t="shared" si="59"/>
        <v>1</v>
      </c>
      <c r="N308" s="667"/>
      <c r="O308" s="21">
        <f t="shared" si="60"/>
        <v>1</v>
      </c>
      <c r="P308" s="667"/>
      <c r="Q308" s="21">
        <f t="shared" si="61"/>
        <v>1</v>
      </c>
      <c r="R308" s="663">
        <f t="shared" si="62"/>
        <v>0</v>
      </c>
      <c r="S308" s="316">
        <f t="shared" si="63"/>
        <v>0</v>
      </c>
    </row>
    <row r="309" spans="1:19">
      <c r="A309" s="150"/>
      <c r="B309" s="54"/>
      <c r="C309" s="21">
        <f t="shared" si="54"/>
        <v>1</v>
      </c>
      <c r="D309" s="667"/>
      <c r="E309" s="21">
        <f t="shared" si="55"/>
        <v>1</v>
      </c>
      <c r="F309" s="667"/>
      <c r="G309" s="21">
        <f t="shared" si="56"/>
        <v>1</v>
      </c>
      <c r="H309" s="667"/>
      <c r="I309" s="21">
        <f t="shared" si="57"/>
        <v>1</v>
      </c>
      <c r="J309" s="667"/>
      <c r="K309" s="21">
        <f t="shared" si="58"/>
        <v>1</v>
      </c>
      <c r="L309" s="667"/>
      <c r="M309" s="21">
        <f t="shared" si="59"/>
        <v>1</v>
      </c>
      <c r="N309" s="667"/>
      <c r="O309" s="21">
        <f t="shared" si="60"/>
        <v>1</v>
      </c>
      <c r="P309" s="667"/>
      <c r="Q309" s="21">
        <f t="shared" si="61"/>
        <v>1</v>
      </c>
      <c r="R309" s="663">
        <f t="shared" si="62"/>
        <v>0</v>
      </c>
      <c r="S309" s="316">
        <f t="shared" si="63"/>
        <v>0</v>
      </c>
    </row>
    <row r="310" spans="1:19">
      <c r="A310" s="150"/>
      <c r="B310" s="54"/>
      <c r="C310" s="21">
        <f t="shared" si="54"/>
        <v>1</v>
      </c>
      <c r="D310" s="667"/>
      <c r="E310" s="21">
        <f t="shared" si="55"/>
        <v>1</v>
      </c>
      <c r="F310" s="667"/>
      <c r="G310" s="21">
        <f t="shared" si="56"/>
        <v>1</v>
      </c>
      <c r="H310" s="667"/>
      <c r="I310" s="21">
        <f t="shared" si="57"/>
        <v>1</v>
      </c>
      <c r="J310" s="667"/>
      <c r="K310" s="21">
        <f t="shared" si="58"/>
        <v>1</v>
      </c>
      <c r="L310" s="667"/>
      <c r="M310" s="21">
        <f t="shared" si="59"/>
        <v>1</v>
      </c>
      <c r="N310" s="667"/>
      <c r="O310" s="21">
        <f t="shared" si="60"/>
        <v>1</v>
      </c>
      <c r="P310" s="667"/>
      <c r="Q310" s="21">
        <f t="shared" si="61"/>
        <v>1</v>
      </c>
      <c r="R310" s="663">
        <f t="shared" si="62"/>
        <v>0</v>
      </c>
      <c r="S310" s="316">
        <f t="shared" si="63"/>
        <v>0</v>
      </c>
    </row>
    <row r="311" spans="1:19">
      <c r="A311" s="150"/>
      <c r="B311" s="54"/>
      <c r="C311" s="21">
        <f t="shared" si="54"/>
        <v>1</v>
      </c>
      <c r="D311" s="667"/>
      <c r="E311" s="21">
        <f t="shared" si="55"/>
        <v>1</v>
      </c>
      <c r="F311" s="667"/>
      <c r="G311" s="21">
        <f t="shared" si="56"/>
        <v>1</v>
      </c>
      <c r="H311" s="667"/>
      <c r="I311" s="21">
        <f t="shared" si="57"/>
        <v>1</v>
      </c>
      <c r="J311" s="667"/>
      <c r="K311" s="21">
        <f t="shared" si="58"/>
        <v>1</v>
      </c>
      <c r="L311" s="667"/>
      <c r="M311" s="21">
        <f t="shared" si="59"/>
        <v>1</v>
      </c>
      <c r="N311" s="667"/>
      <c r="O311" s="21">
        <f t="shared" si="60"/>
        <v>1</v>
      </c>
      <c r="P311" s="667"/>
      <c r="Q311" s="21">
        <f t="shared" si="61"/>
        <v>1</v>
      </c>
      <c r="R311" s="663">
        <f t="shared" si="62"/>
        <v>0</v>
      </c>
      <c r="S311" s="316">
        <f t="shared" si="63"/>
        <v>0</v>
      </c>
    </row>
    <row r="312" spans="1:19">
      <c r="A312" s="150"/>
      <c r="B312" s="54"/>
      <c r="C312" s="21">
        <f t="shared" si="54"/>
        <v>1</v>
      </c>
      <c r="D312" s="667"/>
      <c r="E312" s="21">
        <f t="shared" si="55"/>
        <v>1</v>
      </c>
      <c r="F312" s="667"/>
      <c r="G312" s="21">
        <f t="shared" si="56"/>
        <v>1</v>
      </c>
      <c r="H312" s="667"/>
      <c r="I312" s="21">
        <f t="shared" si="57"/>
        <v>1</v>
      </c>
      <c r="J312" s="667"/>
      <c r="K312" s="21">
        <f t="shared" si="58"/>
        <v>1</v>
      </c>
      <c r="L312" s="667"/>
      <c r="M312" s="21">
        <f t="shared" si="59"/>
        <v>1</v>
      </c>
      <c r="N312" s="667"/>
      <c r="O312" s="21">
        <f t="shared" si="60"/>
        <v>1</v>
      </c>
      <c r="P312" s="667"/>
      <c r="Q312" s="21">
        <f t="shared" si="61"/>
        <v>1</v>
      </c>
      <c r="R312" s="663">
        <f t="shared" si="62"/>
        <v>0</v>
      </c>
      <c r="S312" s="316">
        <f t="shared" si="63"/>
        <v>0</v>
      </c>
    </row>
    <row r="313" spans="1:19">
      <c r="A313" s="150"/>
      <c r="B313" s="54"/>
      <c r="C313" s="21">
        <f t="shared" si="54"/>
        <v>1</v>
      </c>
      <c r="D313" s="667"/>
      <c r="E313" s="21">
        <f t="shared" si="55"/>
        <v>1</v>
      </c>
      <c r="F313" s="667"/>
      <c r="G313" s="21">
        <f t="shared" si="56"/>
        <v>1</v>
      </c>
      <c r="H313" s="667"/>
      <c r="I313" s="21">
        <f t="shared" si="57"/>
        <v>1</v>
      </c>
      <c r="J313" s="667"/>
      <c r="K313" s="21">
        <f t="shared" si="58"/>
        <v>1</v>
      </c>
      <c r="L313" s="667"/>
      <c r="M313" s="21">
        <f t="shared" si="59"/>
        <v>1</v>
      </c>
      <c r="N313" s="667"/>
      <c r="O313" s="21">
        <f t="shared" si="60"/>
        <v>1</v>
      </c>
      <c r="P313" s="667"/>
      <c r="Q313" s="21">
        <f t="shared" si="61"/>
        <v>1</v>
      </c>
      <c r="R313" s="663">
        <f t="shared" si="62"/>
        <v>0</v>
      </c>
      <c r="S313" s="316">
        <f t="shared" si="63"/>
        <v>0</v>
      </c>
    </row>
    <row r="314" spans="1:19">
      <c r="A314" s="150"/>
      <c r="B314" s="54"/>
      <c r="C314" s="21">
        <f t="shared" si="54"/>
        <v>1</v>
      </c>
      <c r="D314" s="667"/>
      <c r="E314" s="21">
        <f t="shared" si="55"/>
        <v>1</v>
      </c>
      <c r="F314" s="667"/>
      <c r="G314" s="21">
        <f t="shared" si="56"/>
        <v>1</v>
      </c>
      <c r="H314" s="667"/>
      <c r="I314" s="21">
        <f t="shared" si="57"/>
        <v>1</v>
      </c>
      <c r="J314" s="667"/>
      <c r="K314" s="21">
        <f t="shared" si="58"/>
        <v>1</v>
      </c>
      <c r="L314" s="667"/>
      <c r="M314" s="21">
        <f t="shared" si="59"/>
        <v>1</v>
      </c>
      <c r="N314" s="667"/>
      <c r="O314" s="21">
        <f t="shared" si="60"/>
        <v>1</v>
      </c>
      <c r="P314" s="667"/>
      <c r="Q314" s="21">
        <f t="shared" si="61"/>
        <v>1</v>
      </c>
      <c r="R314" s="663">
        <f t="shared" si="62"/>
        <v>0</v>
      </c>
      <c r="S314" s="316">
        <f t="shared" si="63"/>
        <v>0</v>
      </c>
    </row>
    <row r="315" spans="1:19">
      <c r="A315" s="150"/>
      <c r="B315" s="54"/>
      <c r="C315" s="21">
        <f t="shared" si="54"/>
        <v>1</v>
      </c>
      <c r="D315" s="667"/>
      <c r="E315" s="21">
        <f t="shared" si="55"/>
        <v>1</v>
      </c>
      <c r="F315" s="667"/>
      <c r="G315" s="21">
        <f t="shared" si="56"/>
        <v>1</v>
      </c>
      <c r="H315" s="667"/>
      <c r="I315" s="21">
        <f t="shared" si="57"/>
        <v>1</v>
      </c>
      <c r="J315" s="667"/>
      <c r="K315" s="21">
        <f t="shared" si="58"/>
        <v>1</v>
      </c>
      <c r="L315" s="667"/>
      <c r="M315" s="21">
        <f t="shared" si="59"/>
        <v>1</v>
      </c>
      <c r="N315" s="667"/>
      <c r="O315" s="21">
        <f t="shared" si="60"/>
        <v>1</v>
      </c>
      <c r="P315" s="667"/>
      <c r="Q315" s="21">
        <f t="shared" si="61"/>
        <v>1</v>
      </c>
      <c r="R315" s="663">
        <f t="shared" si="62"/>
        <v>0</v>
      </c>
      <c r="S315" s="316">
        <f t="shared" si="63"/>
        <v>0</v>
      </c>
    </row>
    <row r="316" spans="1:19">
      <c r="A316" s="150"/>
      <c r="B316" s="54"/>
      <c r="C316" s="21">
        <f t="shared" si="54"/>
        <v>1</v>
      </c>
      <c r="D316" s="667"/>
      <c r="E316" s="21">
        <f t="shared" si="55"/>
        <v>1</v>
      </c>
      <c r="F316" s="667"/>
      <c r="G316" s="21">
        <f t="shared" si="56"/>
        <v>1</v>
      </c>
      <c r="H316" s="667"/>
      <c r="I316" s="21">
        <f t="shared" si="57"/>
        <v>1</v>
      </c>
      <c r="J316" s="667"/>
      <c r="K316" s="21">
        <f t="shared" si="58"/>
        <v>1</v>
      </c>
      <c r="L316" s="667"/>
      <c r="M316" s="21">
        <f t="shared" si="59"/>
        <v>1</v>
      </c>
      <c r="N316" s="667"/>
      <c r="O316" s="21">
        <f t="shared" si="60"/>
        <v>1</v>
      </c>
      <c r="P316" s="667"/>
      <c r="Q316" s="21">
        <f t="shared" si="61"/>
        <v>1</v>
      </c>
      <c r="R316" s="663">
        <f t="shared" si="62"/>
        <v>0</v>
      </c>
      <c r="S316" s="316">
        <f t="shared" si="63"/>
        <v>0</v>
      </c>
    </row>
    <row r="317" spans="1:19">
      <c r="A317" s="150"/>
      <c r="B317" s="54"/>
      <c r="C317" s="21">
        <f t="shared" si="54"/>
        <v>1</v>
      </c>
      <c r="D317" s="667"/>
      <c r="E317" s="21">
        <f t="shared" si="55"/>
        <v>1</v>
      </c>
      <c r="F317" s="667"/>
      <c r="G317" s="21">
        <f t="shared" si="56"/>
        <v>1</v>
      </c>
      <c r="H317" s="667"/>
      <c r="I317" s="21">
        <f t="shared" si="57"/>
        <v>1</v>
      </c>
      <c r="J317" s="667"/>
      <c r="K317" s="21">
        <f t="shared" si="58"/>
        <v>1</v>
      </c>
      <c r="L317" s="667"/>
      <c r="M317" s="21">
        <f t="shared" si="59"/>
        <v>1</v>
      </c>
      <c r="N317" s="667"/>
      <c r="O317" s="21">
        <f t="shared" si="60"/>
        <v>1</v>
      </c>
      <c r="P317" s="667"/>
      <c r="Q317" s="21">
        <f t="shared" si="61"/>
        <v>1</v>
      </c>
      <c r="R317" s="663">
        <f t="shared" si="62"/>
        <v>0</v>
      </c>
      <c r="S317" s="316">
        <f t="shared" si="63"/>
        <v>0</v>
      </c>
    </row>
    <row r="318" spans="1:19">
      <c r="A318" s="150"/>
      <c r="B318" s="54"/>
      <c r="C318" s="21">
        <f t="shared" si="54"/>
        <v>1</v>
      </c>
      <c r="D318" s="667"/>
      <c r="E318" s="21">
        <f t="shared" si="55"/>
        <v>1</v>
      </c>
      <c r="F318" s="667"/>
      <c r="G318" s="21">
        <f t="shared" si="56"/>
        <v>1</v>
      </c>
      <c r="H318" s="667"/>
      <c r="I318" s="21">
        <f t="shared" si="57"/>
        <v>1</v>
      </c>
      <c r="J318" s="667"/>
      <c r="K318" s="21">
        <f t="shared" si="58"/>
        <v>1</v>
      </c>
      <c r="L318" s="667"/>
      <c r="M318" s="21">
        <f t="shared" si="59"/>
        <v>1</v>
      </c>
      <c r="N318" s="667"/>
      <c r="O318" s="21">
        <f t="shared" si="60"/>
        <v>1</v>
      </c>
      <c r="P318" s="667"/>
      <c r="Q318" s="21">
        <f t="shared" si="61"/>
        <v>1</v>
      </c>
      <c r="R318" s="663">
        <f t="shared" si="62"/>
        <v>0</v>
      </c>
      <c r="S318" s="316">
        <f t="shared" si="63"/>
        <v>0</v>
      </c>
    </row>
    <row r="319" spans="1:19">
      <c r="A319" s="150"/>
      <c r="B319" s="54"/>
      <c r="C319" s="21">
        <f t="shared" si="54"/>
        <v>1</v>
      </c>
      <c r="D319" s="667"/>
      <c r="E319" s="21">
        <f t="shared" si="55"/>
        <v>1</v>
      </c>
      <c r="F319" s="667"/>
      <c r="G319" s="21">
        <f t="shared" si="56"/>
        <v>1</v>
      </c>
      <c r="H319" s="667"/>
      <c r="I319" s="21">
        <f t="shared" si="57"/>
        <v>1</v>
      </c>
      <c r="J319" s="667"/>
      <c r="K319" s="21">
        <f t="shared" si="58"/>
        <v>1</v>
      </c>
      <c r="L319" s="667"/>
      <c r="M319" s="21">
        <f t="shared" si="59"/>
        <v>1</v>
      </c>
      <c r="N319" s="667"/>
      <c r="O319" s="21">
        <f t="shared" si="60"/>
        <v>1</v>
      </c>
      <c r="P319" s="667"/>
      <c r="Q319" s="21">
        <f t="shared" si="61"/>
        <v>1</v>
      </c>
      <c r="R319" s="663">
        <f t="shared" si="62"/>
        <v>0</v>
      </c>
      <c r="S319" s="316">
        <f t="shared" si="63"/>
        <v>0</v>
      </c>
    </row>
    <row r="320" spans="1:19">
      <c r="A320" s="150"/>
      <c r="B320" s="54"/>
      <c r="C320" s="21">
        <f t="shared" si="54"/>
        <v>1</v>
      </c>
      <c r="D320" s="667"/>
      <c r="E320" s="21">
        <f t="shared" si="55"/>
        <v>1</v>
      </c>
      <c r="F320" s="667"/>
      <c r="G320" s="21">
        <f t="shared" si="56"/>
        <v>1</v>
      </c>
      <c r="H320" s="667"/>
      <c r="I320" s="21">
        <f t="shared" si="57"/>
        <v>1</v>
      </c>
      <c r="J320" s="667"/>
      <c r="K320" s="21">
        <f t="shared" si="58"/>
        <v>1</v>
      </c>
      <c r="L320" s="667"/>
      <c r="M320" s="21">
        <f t="shared" si="59"/>
        <v>1</v>
      </c>
      <c r="N320" s="667"/>
      <c r="O320" s="21">
        <f t="shared" si="60"/>
        <v>1</v>
      </c>
      <c r="P320" s="667"/>
      <c r="Q320" s="21">
        <f t="shared" si="61"/>
        <v>1</v>
      </c>
      <c r="R320" s="663">
        <f t="shared" si="62"/>
        <v>0</v>
      </c>
      <c r="S320" s="316">
        <f t="shared" si="63"/>
        <v>0</v>
      </c>
    </row>
    <row r="321" spans="1:19">
      <c r="A321" s="150"/>
      <c r="B321" s="54"/>
      <c r="C321" s="21">
        <f t="shared" si="54"/>
        <v>1</v>
      </c>
      <c r="D321" s="667"/>
      <c r="E321" s="21">
        <f t="shared" si="55"/>
        <v>1</v>
      </c>
      <c r="F321" s="667"/>
      <c r="G321" s="21">
        <f t="shared" si="56"/>
        <v>1</v>
      </c>
      <c r="H321" s="667"/>
      <c r="I321" s="21">
        <f t="shared" si="57"/>
        <v>1</v>
      </c>
      <c r="J321" s="667"/>
      <c r="K321" s="21">
        <f t="shared" si="58"/>
        <v>1</v>
      </c>
      <c r="L321" s="667"/>
      <c r="M321" s="21">
        <f t="shared" si="59"/>
        <v>1</v>
      </c>
      <c r="N321" s="667"/>
      <c r="O321" s="21">
        <f t="shared" si="60"/>
        <v>1</v>
      </c>
      <c r="P321" s="667"/>
      <c r="Q321" s="21">
        <f t="shared" si="61"/>
        <v>1</v>
      </c>
      <c r="R321" s="663">
        <f t="shared" si="62"/>
        <v>0</v>
      </c>
      <c r="S321" s="316">
        <f t="shared" ref="S321:S384" si="64">ROUND(R321*B321/10000,0)</f>
        <v>0</v>
      </c>
    </row>
    <row r="322" spans="1:19">
      <c r="A322" s="150"/>
      <c r="B322" s="54"/>
      <c r="C322" s="21">
        <f t="shared" si="54"/>
        <v>1</v>
      </c>
      <c r="D322" s="667"/>
      <c r="E322" s="21">
        <f t="shared" si="55"/>
        <v>1</v>
      </c>
      <c r="F322" s="667"/>
      <c r="G322" s="21">
        <f t="shared" si="56"/>
        <v>1</v>
      </c>
      <c r="H322" s="667"/>
      <c r="I322" s="21">
        <f t="shared" si="57"/>
        <v>1</v>
      </c>
      <c r="J322" s="667"/>
      <c r="K322" s="21">
        <f t="shared" si="58"/>
        <v>1</v>
      </c>
      <c r="L322" s="667"/>
      <c r="M322" s="21">
        <f t="shared" si="59"/>
        <v>1</v>
      </c>
      <c r="N322" s="667"/>
      <c r="O322" s="21">
        <f t="shared" si="60"/>
        <v>1</v>
      </c>
      <c r="P322" s="667"/>
      <c r="Q322" s="21">
        <f t="shared" si="61"/>
        <v>1</v>
      </c>
      <c r="R322" s="663">
        <f t="shared" si="62"/>
        <v>0</v>
      </c>
      <c r="S322" s="316">
        <f t="shared" si="64"/>
        <v>0</v>
      </c>
    </row>
    <row r="323" spans="1:19">
      <c r="A323" s="150"/>
      <c r="B323" s="54"/>
      <c r="C323" s="21">
        <f t="shared" si="54"/>
        <v>1</v>
      </c>
      <c r="D323" s="667"/>
      <c r="E323" s="21">
        <f t="shared" si="55"/>
        <v>1</v>
      </c>
      <c r="F323" s="667"/>
      <c r="G323" s="21">
        <f t="shared" si="56"/>
        <v>1</v>
      </c>
      <c r="H323" s="667"/>
      <c r="I323" s="21">
        <f t="shared" si="57"/>
        <v>1</v>
      </c>
      <c r="J323" s="667"/>
      <c r="K323" s="21">
        <f t="shared" si="58"/>
        <v>1</v>
      </c>
      <c r="L323" s="667"/>
      <c r="M323" s="21">
        <f t="shared" si="59"/>
        <v>1</v>
      </c>
      <c r="N323" s="667"/>
      <c r="O323" s="21">
        <f t="shared" si="60"/>
        <v>1</v>
      </c>
      <c r="P323" s="667"/>
      <c r="Q323" s="21">
        <f t="shared" si="61"/>
        <v>1</v>
      </c>
      <c r="R323" s="663">
        <f t="shared" si="62"/>
        <v>0</v>
      </c>
      <c r="S323" s="316">
        <f t="shared" si="64"/>
        <v>0</v>
      </c>
    </row>
    <row r="324" spans="1:19">
      <c r="A324" s="150"/>
      <c r="B324" s="54"/>
      <c r="C324" s="21">
        <f t="shared" si="54"/>
        <v>1</v>
      </c>
      <c r="D324" s="667"/>
      <c r="E324" s="21">
        <f t="shared" si="55"/>
        <v>1</v>
      </c>
      <c r="F324" s="667"/>
      <c r="G324" s="21">
        <f t="shared" si="56"/>
        <v>1</v>
      </c>
      <c r="H324" s="667"/>
      <c r="I324" s="21">
        <f t="shared" si="57"/>
        <v>1</v>
      </c>
      <c r="J324" s="667"/>
      <c r="K324" s="21">
        <f t="shared" si="58"/>
        <v>1</v>
      </c>
      <c r="L324" s="667"/>
      <c r="M324" s="21">
        <f t="shared" si="59"/>
        <v>1</v>
      </c>
      <c r="N324" s="667"/>
      <c r="O324" s="21">
        <f t="shared" si="60"/>
        <v>1</v>
      </c>
      <c r="P324" s="667"/>
      <c r="Q324" s="21">
        <f t="shared" si="61"/>
        <v>1</v>
      </c>
      <c r="R324" s="663">
        <f t="shared" si="62"/>
        <v>0</v>
      </c>
      <c r="S324" s="316">
        <f t="shared" si="64"/>
        <v>0</v>
      </c>
    </row>
    <row r="325" spans="1:19">
      <c r="A325" s="150"/>
      <c r="B325" s="54"/>
      <c r="C325" s="21">
        <f t="shared" si="54"/>
        <v>1</v>
      </c>
      <c r="D325" s="667"/>
      <c r="E325" s="21">
        <f t="shared" si="55"/>
        <v>1</v>
      </c>
      <c r="F325" s="667"/>
      <c r="G325" s="21">
        <f t="shared" si="56"/>
        <v>1</v>
      </c>
      <c r="H325" s="667"/>
      <c r="I325" s="21">
        <f t="shared" si="57"/>
        <v>1</v>
      </c>
      <c r="J325" s="667"/>
      <c r="K325" s="21">
        <f t="shared" si="58"/>
        <v>1</v>
      </c>
      <c r="L325" s="667"/>
      <c r="M325" s="21">
        <f t="shared" si="59"/>
        <v>1</v>
      </c>
      <c r="N325" s="667"/>
      <c r="O325" s="21">
        <f t="shared" si="60"/>
        <v>1</v>
      </c>
      <c r="P325" s="667"/>
      <c r="Q325" s="21">
        <f t="shared" si="61"/>
        <v>1</v>
      </c>
      <c r="R325" s="663">
        <f t="shared" si="62"/>
        <v>0</v>
      </c>
      <c r="S325" s="316">
        <f t="shared" si="64"/>
        <v>0</v>
      </c>
    </row>
    <row r="326" spans="1:19">
      <c r="A326" s="150"/>
      <c r="B326" s="54"/>
      <c r="C326" s="21">
        <f t="shared" si="54"/>
        <v>1</v>
      </c>
      <c r="D326" s="667"/>
      <c r="E326" s="21">
        <f t="shared" si="55"/>
        <v>1</v>
      </c>
      <c r="F326" s="667"/>
      <c r="G326" s="21">
        <f t="shared" si="56"/>
        <v>1</v>
      </c>
      <c r="H326" s="667"/>
      <c r="I326" s="21">
        <f t="shared" si="57"/>
        <v>1</v>
      </c>
      <c r="J326" s="667"/>
      <c r="K326" s="21">
        <f t="shared" si="58"/>
        <v>1</v>
      </c>
      <c r="L326" s="667"/>
      <c r="M326" s="21">
        <f t="shared" si="59"/>
        <v>1</v>
      </c>
      <c r="N326" s="667"/>
      <c r="O326" s="21">
        <f t="shared" si="60"/>
        <v>1</v>
      </c>
      <c r="P326" s="667"/>
      <c r="Q326" s="21">
        <f t="shared" si="61"/>
        <v>1</v>
      </c>
      <c r="R326" s="663">
        <f t="shared" si="62"/>
        <v>0</v>
      </c>
      <c r="S326" s="316">
        <f t="shared" si="64"/>
        <v>0</v>
      </c>
    </row>
    <row r="327" spans="1:19">
      <c r="A327" s="150"/>
      <c r="B327" s="54"/>
      <c r="C327" s="21">
        <f t="shared" si="54"/>
        <v>1</v>
      </c>
      <c r="D327" s="667"/>
      <c r="E327" s="21">
        <f t="shared" si="55"/>
        <v>1</v>
      </c>
      <c r="F327" s="667"/>
      <c r="G327" s="21">
        <f t="shared" si="56"/>
        <v>1</v>
      </c>
      <c r="H327" s="667"/>
      <c r="I327" s="21">
        <f t="shared" si="57"/>
        <v>1</v>
      </c>
      <c r="J327" s="667"/>
      <c r="K327" s="21">
        <f t="shared" si="58"/>
        <v>1</v>
      </c>
      <c r="L327" s="667"/>
      <c r="M327" s="21">
        <f t="shared" si="59"/>
        <v>1</v>
      </c>
      <c r="N327" s="667"/>
      <c r="O327" s="21">
        <f t="shared" si="60"/>
        <v>1</v>
      </c>
      <c r="P327" s="667"/>
      <c r="Q327" s="21">
        <f t="shared" si="61"/>
        <v>1</v>
      </c>
      <c r="R327" s="663">
        <f t="shared" si="62"/>
        <v>0</v>
      </c>
      <c r="S327" s="316">
        <f t="shared" si="64"/>
        <v>0</v>
      </c>
    </row>
    <row r="328" spans="1:19">
      <c r="A328" s="150"/>
      <c r="B328" s="54"/>
      <c r="C328" s="21">
        <f t="shared" si="54"/>
        <v>1</v>
      </c>
      <c r="D328" s="667"/>
      <c r="E328" s="21">
        <f t="shared" si="55"/>
        <v>1</v>
      </c>
      <c r="F328" s="667"/>
      <c r="G328" s="21">
        <f t="shared" si="56"/>
        <v>1</v>
      </c>
      <c r="H328" s="667"/>
      <c r="I328" s="21">
        <f t="shared" si="57"/>
        <v>1</v>
      </c>
      <c r="J328" s="667"/>
      <c r="K328" s="21">
        <f t="shared" si="58"/>
        <v>1</v>
      </c>
      <c r="L328" s="667"/>
      <c r="M328" s="21">
        <f t="shared" si="59"/>
        <v>1</v>
      </c>
      <c r="N328" s="667"/>
      <c r="O328" s="21">
        <f t="shared" si="60"/>
        <v>1</v>
      </c>
      <c r="P328" s="667"/>
      <c r="Q328" s="21">
        <f t="shared" si="61"/>
        <v>1</v>
      </c>
      <c r="R328" s="663">
        <f t="shared" si="62"/>
        <v>0</v>
      </c>
      <c r="S328" s="316">
        <f t="shared" si="64"/>
        <v>0</v>
      </c>
    </row>
    <row r="329" spans="1:19">
      <c r="A329" s="150"/>
      <c r="B329" s="54"/>
      <c r="C329" s="21">
        <f t="shared" si="54"/>
        <v>1</v>
      </c>
      <c r="D329" s="667"/>
      <c r="E329" s="21">
        <f t="shared" si="55"/>
        <v>1</v>
      </c>
      <c r="F329" s="667"/>
      <c r="G329" s="21">
        <f t="shared" si="56"/>
        <v>1</v>
      </c>
      <c r="H329" s="667"/>
      <c r="I329" s="21">
        <f t="shared" si="57"/>
        <v>1</v>
      </c>
      <c r="J329" s="667"/>
      <c r="K329" s="21">
        <f t="shared" si="58"/>
        <v>1</v>
      </c>
      <c r="L329" s="667"/>
      <c r="M329" s="21">
        <f t="shared" si="59"/>
        <v>1</v>
      </c>
      <c r="N329" s="667"/>
      <c r="O329" s="21">
        <f t="shared" si="60"/>
        <v>1</v>
      </c>
      <c r="P329" s="667"/>
      <c r="Q329" s="21">
        <f t="shared" si="61"/>
        <v>1</v>
      </c>
      <c r="R329" s="663">
        <f t="shared" si="62"/>
        <v>0</v>
      </c>
      <c r="S329" s="316">
        <f t="shared" si="64"/>
        <v>0</v>
      </c>
    </row>
    <row r="330" spans="1:19">
      <c r="A330" s="150"/>
      <c r="B330" s="54"/>
      <c r="C330" s="21">
        <f t="shared" si="54"/>
        <v>1</v>
      </c>
      <c r="D330" s="667"/>
      <c r="E330" s="21">
        <f t="shared" si="55"/>
        <v>1</v>
      </c>
      <c r="F330" s="667"/>
      <c r="G330" s="21">
        <f t="shared" si="56"/>
        <v>1</v>
      </c>
      <c r="H330" s="667"/>
      <c r="I330" s="21">
        <f t="shared" si="57"/>
        <v>1</v>
      </c>
      <c r="J330" s="667"/>
      <c r="K330" s="21">
        <f t="shared" si="58"/>
        <v>1</v>
      </c>
      <c r="L330" s="667"/>
      <c r="M330" s="21">
        <f t="shared" si="59"/>
        <v>1</v>
      </c>
      <c r="N330" s="667"/>
      <c r="O330" s="21">
        <f t="shared" si="60"/>
        <v>1</v>
      </c>
      <c r="P330" s="667"/>
      <c r="Q330" s="21">
        <f t="shared" si="61"/>
        <v>1</v>
      </c>
      <c r="R330" s="663">
        <f t="shared" si="62"/>
        <v>0</v>
      </c>
      <c r="S330" s="316">
        <f t="shared" si="64"/>
        <v>0</v>
      </c>
    </row>
    <row r="331" spans="1:19">
      <c r="A331" s="150"/>
      <c r="B331" s="54"/>
      <c r="C331" s="21">
        <f t="shared" si="54"/>
        <v>1</v>
      </c>
      <c r="D331" s="667"/>
      <c r="E331" s="21">
        <f t="shared" si="55"/>
        <v>1</v>
      </c>
      <c r="F331" s="667"/>
      <c r="G331" s="21">
        <f t="shared" si="56"/>
        <v>1</v>
      </c>
      <c r="H331" s="667"/>
      <c r="I331" s="21">
        <f t="shared" si="57"/>
        <v>1</v>
      </c>
      <c r="J331" s="667"/>
      <c r="K331" s="21">
        <f t="shared" si="58"/>
        <v>1</v>
      </c>
      <c r="L331" s="667"/>
      <c r="M331" s="21">
        <f t="shared" si="59"/>
        <v>1</v>
      </c>
      <c r="N331" s="667"/>
      <c r="O331" s="21">
        <f t="shared" si="60"/>
        <v>1</v>
      </c>
      <c r="P331" s="667"/>
      <c r="Q331" s="21">
        <f t="shared" si="61"/>
        <v>1</v>
      </c>
      <c r="R331" s="663">
        <f t="shared" si="62"/>
        <v>0</v>
      </c>
      <c r="S331" s="316">
        <f t="shared" si="64"/>
        <v>0</v>
      </c>
    </row>
    <row r="332" spans="1:19">
      <c r="A332" s="150"/>
      <c r="B332" s="54"/>
      <c r="C332" s="21">
        <f t="shared" si="54"/>
        <v>1</v>
      </c>
      <c r="D332" s="667"/>
      <c r="E332" s="21">
        <f t="shared" si="55"/>
        <v>1</v>
      </c>
      <c r="F332" s="667"/>
      <c r="G332" s="21">
        <f t="shared" si="56"/>
        <v>1</v>
      </c>
      <c r="H332" s="667"/>
      <c r="I332" s="21">
        <f t="shared" si="57"/>
        <v>1</v>
      </c>
      <c r="J332" s="667"/>
      <c r="K332" s="21">
        <f t="shared" si="58"/>
        <v>1</v>
      </c>
      <c r="L332" s="667"/>
      <c r="M332" s="21">
        <f t="shared" si="59"/>
        <v>1</v>
      </c>
      <c r="N332" s="667"/>
      <c r="O332" s="21">
        <f t="shared" si="60"/>
        <v>1</v>
      </c>
      <c r="P332" s="667"/>
      <c r="Q332" s="21">
        <f t="shared" si="61"/>
        <v>1</v>
      </c>
      <c r="R332" s="663">
        <f t="shared" si="62"/>
        <v>0</v>
      </c>
      <c r="S332" s="316">
        <f t="shared" si="64"/>
        <v>0</v>
      </c>
    </row>
    <row r="333" spans="1:19">
      <c r="A333" s="150"/>
      <c r="B333" s="54"/>
      <c r="C333" s="21">
        <f t="shared" si="54"/>
        <v>1</v>
      </c>
      <c r="D333" s="667"/>
      <c r="E333" s="21">
        <f t="shared" si="55"/>
        <v>1</v>
      </c>
      <c r="F333" s="667"/>
      <c r="G333" s="21">
        <f t="shared" si="56"/>
        <v>1</v>
      </c>
      <c r="H333" s="667"/>
      <c r="I333" s="21">
        <f t="shared" si="57"/>
        <v>1</v>
      </c>
      <c r="J333" s="667"/>
      <c r="K333" s="21">
        <f t="shared" si="58"/>
        <v>1</v>
      </c>
      <c r="L333" s="667"/>
      <c r="M333" s="21">
        <f t="shared" si="59"/>
        <v>1</v>
      </c>
      <c r="N333" s="667"/>
      <c r="O333" s="21">
        <f t="shared" si="60"/>
        <v>1</v>
      </c>
      <c r="P333" s="667"/>
      <c r="Q333" s="21">
        <f t="shared" si="61"/>
        <v>1</v>
      </c>
      <c r="R333" s="663">
        <f t="shared" si="62"/>
        <v>0</v>
      </c>
      <c r="S333" s="316">
        <f t="shared" si="64"/>
        <v>0</v>
      </c>
    </row>
    <row r="334" spans="1:19">
      <c r="A334" s="150"/>
      <c r="B334" s="54"/>
      <c r="C334" s="21">
        <f t="shared" si="54"/>
        <v>1</v>
      </c>
      <c r="D334" s="667"/>
      <c r="E334" s="21">
        <f t="shared" si="55"/>
        <v>1</v>
      </c>
      <c r="F334" s="667"/>
      <c r="G334" s="21">
        <f t="shared" si="56"/>
        <v>1</v>
      </c>
      <c r="H334" s="667"/>
      <c r="I334" s="21">
        <f t="shared" si="57"/>
        <v>1</v>
      </c>
      <c r="J334" s="667"/>
      <c r="K334" s="21">
        <f t="shared" si="58"/>
        <v>1</v>
      </c>
      <c r="L334" s="667"/>
      <c r="M334" s="21">
        <f t="shared" si="59"/>
        <v>1</v>
      </c>
      <c r="N334" s="667"/>
      <c r="O334" s="21">
        <f t="shared" si="60"/>
        <v>1</v>
      </c>
      <c r="P334" s="667"/>
      <c r="Q334" s="21">
        <f t="shared" si="61"/>
        <v>1</v>
      </c>
      <c r="R334" s="663">
        <f t="shared" si="62"/>
        <v>0</v>
      </c>
      <c r="S334" s="316">
        <f t="shared" si="64"/>
        <v>0</v>
      </c>
    </row>
    <row r="335" spans="1:19">
      <c r="A335" s="150"/>
      <c r="B335" s="54"/>
      <c r="C335" s="21">
        <f t="shared" si="54"/>
        <v>1</v>
      </c>
      <c r="D335" s="667"/>
      <c r="E335" s="21">
        <f t="shared" si="55"/>
        <v>1</v>
      </c>
      <c r="F335" s="667"/>
      <c r="G335" s="21">
        <f t="shared" si="56"/>
        <v>1</v>
      </c>
      <c r="H335" s="667"/>
      <c r="I335" s="21">
        <f t="shared" si="57"/>
        <v>1</v>
      </c>
      <c r="J335" s="667"/>
      <c r="K335" s="21">
        <f t="shared" si="58"/>
        <v>1</v>
      </c>
      <c r="L335" s="667"/>
      <c r="M335" s="21">
        <f t="shared" si="59"/>
        <v>1</v>
      </c>
      <c r="N335" s="667"/>
      <c r="O335" s="21">
        <f t="shared" si="60"/>
        <v>1</v>
      </c>
      <c r="P335" s="667"/>
      <c r="Q335" s="21">
        <f t="shared" si="61"/>
        <v>1</v>
      </c>
      <c r="R335" s="663">
        <f t="shared" si="62"/>
        <v>0</v>
      </c>
      <c r="S335" s="316">
        <f t="shared" si="64"/>
        <v>0</v>
      </c>
    </row>
    <row r="336" spans="1:19">
      <c r="A336" s="150"/>
      <c r="B336" s="54"/>
      <c r="C336" s="21">
        <f t="shared" si="54"/>
        <v>1</v>
      </c>
      <c r="D336" s="667"/>
      <c r="E336" s="21">
        <f t="shared" si="55"/>
        <v>1</v>
      </c>
      <c r="F336" s="667"/>
      <c r="G336" s="21">
        <f t="shared" si="56"/>
        <v>1</v>
      </c>
      <c r="H336" s="667"/>
      <c r="I336" s="21">
        <f t="shared" si="57"/>
        <v>1</v>
      </c>
      <c r="J336" s="667"/>
      <c r="K336" s="21">
        <f t="shared" si="58"/>
        <v>1</v>
      </c>
      <c r="L336" s="667"/>
      <c r="M336" s="21">
        <f t="shared" si="59"/>
        <v>1</v>
      </c>
      <c r="N336" s="667"/>
      <c r="O336" s="21">
        <f t="shared" si="60"/>
        <v>1</v>
      </c>
      <c r="P336" s="667"/>
      <c r="Q336" s="21">
        <f t="shared" si="61"/>
        <v>1</v>
      </c>
      <c r="R336" s="663">
        <f t="shared" si="62"/>
        <v>0</v>
      </c>
      <c r="S336" s="316">
        <f t="shared" si="64"/>
        <v>0</v>
      </c>
    </row>
    <row r="337" spans="1:19">
      <c r="A337" s="150"/>
      <c r="B337" s="54"/>
      <c r="C337" s="21">
        <f t="shared" si="54"/>
        <v>1</v>
      </c>
      <c r="D337" s="667"/>
      <c r="E337" s="21">
        <f t="shared" si="55"/>
        <v>1</v>
      </c>
      <c r="F337" s="667"/>
      <c r="G337" s="21">
        <f t="shared" si="56"/>
        <v>1</v>
      </c>
      <c r="H337" s="667"/>
      <c r="I337" s="21">
        <f t="shared" si="57"/>
        <v>1</v>
      </c>
      <c r="J337" s="667"/>
      <c r="K337" s="21">
        <f t="shared" si="58"/>
        <v>1</v>
      </c>
      <c r="L337" s="667"/>
      <c r="M337" s="21">
        <f t="shared" si="59"/>
        <v>1</v>
      </c>
      <c r="N337" s="667"/>
      <c r="O337" s="21">
        <f t="shared" si="60"/>
        <v>1</v>
      </c>
      <c r="P337" s="667"/>
      <c r="Q337" s="21">
        <f t="shared" si="61"/>
        <v>1</v>
      </c>
      <c r="R337" s="663">
        <f t="shared" si="62"/>
        <v>0</v>
      </c>
      <c r="S337" s="316">
        <f t="shared" si="64"/>
        <v>0</v>
      </c>
    </row>
    <row r="338" spans="1:19">
      <c r="A338" s="150"/>
      <c r="B338" s="54"/>
      <c r="C338" s="21">
        <f t="shared" si="54"/>
        <v>1</v>
      </c>
      <c r="D338" s="667"/>
      <c r="E338" s="21">
        <f t="shared" si="55"/>
        <v>1</v>
      </c>
      <c r="F338" s="667"/>
      <c r="G338" s="21">
        <f t="shared" si="56"/>
        <v>1</v>
      </c>
      <c r="H338" s="667"/>
      <c r="I338" s="21">
        <f t="shared" si="57"/>
        <v>1</v>
      </c>
      <c r="J338" s="667"/>
      <c r="K338" s="21">
        <f t="shared" si="58"/>
        <v>1</v>
      </c>
      <c r="L338" s="667"/>
      <c r="M338" s="21">
        <f t="shared" si="59"/>
        <v>1</v>
      </c>
      <c r="N338" s="667"/>
      <c r="O338" s="21">
        <f t="shared" si="60"/>
        <v>1</v>
      </c>
      <c r="P338" s="667"/>
      <c r="Q338" s="21">
        <f t="shared" si="61"/>
        <v>1</v>
      </c>
      <c r="R338" s="663">
        <f t="shared" si="62"/>
        <v>0</v>
      </c>
      <c r="S338" s="316">
        <f t="shared" si="64"/>
        <v>0</v>
      </c>
    </row>
    <row r="339" spans="1:19">
      <c r="A339" s="150"/>
      <c r="B339" s="54"/>
      <c r="C339" s="21">
        <f t="shared" si="54"/>
        <v>1</v>
      </c>
      <c r="D339" s="667"/>
      <c r="E339" s="21">
        <f t="shared" si="55"/>
        <v>1</v>
      </c>
      <c r="F339" s="667"/>
      <c r="G339" s="21">
        <f t="shared" si="56"/>
        <v>1</v>
      </c>
      <c r="H339" s="667"/>
      <c r="I339" s="21">
        <f t="shared" si="57"/>
        <v>1</v>
      </c>
      <c r="J339" s="667"/>
      <c r="K339" s="21">
        <f t="shared" si="58"/>
        <v>1</v>
      </c>
      <c r="L339" s="667"/>
      <c r="M339" s="21">
        <f t="shared" si="59"/>
        <v>1</v>
      </c>
      <c r="N339" s="667"/>
      <c r="O339" s="21">
        <f t="shared" si="60"/>
        <v>1</v>
      </c>
      <c r="P339" s="667"/>
      <c r="Q339" s="21">
        <f t="shared" si="61"/>
        <v>1</v>
      </c>
      <c r="R339" s="663">
        <f t="shared" si="62"/>
        <v>0</v>
      </c>
      <c r="S339" s="316">
        <f t="shared" si="64"/>
        <v>0</v>
      </c>
    </row>
    <row r="340" spans="1:19">
      <c r="A340" s="150"/>
      <c r="B340" s="54"/>
      <c r="C340" s="21">
        <f t="shared" si="54"/>
        <v>1</v>
      </c>
      <c r="D340" s="667"/>
      <c r="E340" s="21">
        <f t="shared" si="55"/>
        <v>1</v>
      </c>
      <c r="F340" s="667"/>
      <c r="G340" s="21">
        <f t="shared" si="56"/>
        <v>1</v>
      </c>
      <c r="H340" s="667"/>
      <c r="I340" s="21">
        <f t="shared" si="57"/>
        <v>1</v>
      </c>
      <c r="J340" s="667"/>
      <c r="K340" s="21">
        <f t="shared" si="58"/>
        <v>1</v>
      </c>
      <c r="L340" s="667"/>
      <c r="M340" s="21">
        <f t="shared" si="59"/>
        <v>1</v>
      </c>
      <c r="N340" s="667"/>
      <c r="O340" s="21">
        <f t="shared" si="60"/>
        <v>1</v>
      </c>
      <c r="P340" s="667"/>
      <c r="Q340" s="21">
        <f t="shared" si="61"/>
        <v>1</v>
      </c>
      <c r="R340" s="663">
        <f t="shared" si="62"/>
        <v>0</v>
      </c>
      <c r="S340" s="316">
        <f t="shared" si="64"/>
        <v>0</v>
      </c>
    </row>
    <row r="341" spans="1:19">
      <c r="A341" s="150"/>
      <c r="B341" s="54"/>
      <c r="C341" s="21">
        <f t="shared" si="54"/>
        <v>1</v>
      </c>
      <c r="D341" s="667"/>
      <c r="E341" s="21">
        <f t="shared" si="55"/>
        <v>1</v>
      </c>
      <c r="F341" s="667"/>
      <c r="G341" s="21">
        <f t="shared" si="56"/>
        <v>1</v>
      </c>
      <c r="H341" s="667"/>
      <c r="I341" s="21">
        <f t="shared" si="57"/>
        <v>1</v>
      </c>
      <c r="J341" s="667"/>
      <c r="K341" s="21">
        <f t="shared" si="58"/>
        <v>1</v>
      </c>
      <c r="L341" s="667"/>
      <c r="M341" s="21">
        <f t="shared" si="59"/>
        <v>1</v>
      </c>
      <c r="N341" s="667"/>
      <c r="O341" s="21">
        <f t="shared" si="60"/>
        <v>1</v>
      </c>
      <c r="P341" s="667"/>
      <c r="Q341" s="21">
        <f t="shared" si="61"/>
        <v>1</v>
      </c>
      <c r="R341" s="663">
        <f t="shared" si="62"/>
        <v>0</v>
      </c>
      <c r="S341" s="316">
        <f t="shared" si="64"/>
        <v>0</v>
      </c>
    </row>
    <row r="342" spans="1:19">
      <c r="A342" s="150"/>
      <c r="B342" s="54"/>
      <c r="C342" s="21">
        <f t="shared" si="54"/>
        <v>1</v>
      </c>
      <c r="D342" s="667"/>
      <c r="E342" s="21">
        <f t="shared" si="55"/>
        <v>1</v>
      </c>
      <c r="F342" s="667"/>
      <c r="G342" s="21">
        <f t="shared" si="56"/>
        <v>1</v>
      </c>
      <c r="H342" s="667"/>
      <c r="I342" s="21">
        <f t="shared" si="57"/>
        <v>1</v>
      </c>
      <c r="J342" s="667"/>
      <c r="K342" s="21">
        <f t="shared" si="58"/>
        <v>1</v>
      </c>
      <c r="L342" s="667"/>
      <c r="M342" s="21">
        <f t="shared" si="59"/>
        <v>1</v>
      </c>
      <c r="N342" s="667"/>
      <c r="O342" s="21">
        <f t="shared" si="60"/>
        <v>1</v>
      </c>
      <c r="P342" s="667"/>
      <c r="Q342" s="21">
        <f t="shared" si="61"/>
        <v>1</v>
      </c>
      <c r="R342" s="663">
        <f t="shared" si="62"/>
        <v>0</v>
      </c>
      <c r="S342" s="316">
        <f t="shared" si="64"/>
        <v>0</v>
      </c>
    </row>
    <row r="343" spans="1:19">
      <c r="A343" s="150"/>
      <c r="B343" s="54"/>
      <c r="C343" s="21">
        <f t="shared" si="54"/>
        <v>1</v>
      </c>
      <c r="D343" s="667"/>
      <c r="E343" s="21">
        <f t="shared" si="55"/>
        <v>1</v>
      </c>
      <c r="F343" s="667"/>
      <c r="G343" s="21">
        <f t="shared" si="56"/>
        <v>1</v>
      </c>
      <c r="H343" s="667"/>
      <c r="I343" s="21">
        <f t="shared" si="57"/>
        <v>1</v>
      </c>
      <c r="J343" s="667"/>
      <c r="K343" s="21">
        <f t="shared" si="58"/>
        <v>1</v>
      </c>
      <c r="L343" s="667"/>
      <c r="M343" s="21">
        <f t="shared" si="59"/>
        <v>1</v>
      </c>
      <c r="N343" s="667"/>
      <c r="O343" s="21">
        <f t="shared" si="60"/>
        <v>1</v>
      </c>
      <c r="P343" s="667"/>
      <c r="Q343" s="21">
        <f t="shared" si="61"/>
        <v>1</v>
      </c>
      <c r="R343" s="663">
        <f t="shared" si="62"/>
        <v>0</v>
      </c>
      <c r="S343" s="316">
        <f t="shared" si="64"/>
        <v>0</v>
      </c>
    </row>
    <row r="344" spans="1:19">
      <c r="A344" s="150"/>
      <c r="B344" s="54"/>
      <c r="C344" s="21">
        <f t="shared" si="54"/>
        <v>1</v>
      </c>
      <c r="D344" s="667"/>
      <c r="E344" s="21">
        <f t="shared" si="55"/>
        <v>1</v>
      </c>
      <c r="F344" s="667"/>
      <c r="G344" s="21">
        <f t="shared" si="56"/>
        <v>1</v>
      </c>
      <c r="H344" s="667"/>
      <c r="I344" s="21">
        <f t="shared" si="57"/>
        <v>1</v>
      </c>
      <c r="J344" s="667"/>
      <c r="K344" s="21">
        <f t="shared" si="58"/>
        <v>1</v>
      </c>
      <c r="L344" s="667"/>
      <c r="M344" s="21">
        <f t="shared" si="59"/>
        <v>1</v>
      </c>
      <c r="N344" s="667"/>
      <c r="O344" s="21">
        <f t="shared" si="60"/>
        <v>1</v>
      </c>
      <c r="P344" s="667"/>
      <c r="Q344" s="21">
        <f t="shared" si="61"/>
        <v>1</v>
      </c>
      <c r="R344" s="663">
        <f t="shared" si="62"/>
        <v>0</v>
      </c>
      <c r="S344" s="316">
        <f t="shared" si="64"/>
        <v>0</v>
      </c>
    </row>
    <row r="345" spans="1:19">
      <c r="A345" s="150"/>
      <c r="B345" s="54"/>
      <c r="C345" s="21">
        <f t="shared" si="54"/>
        <v>1</v>
      </c>
      <c r="D345" s="667"/>
      <c r="E345" s="21">
        <f t="shared" si="55"/>
        <v>1</v>
      </c>
      <c r="F345" s="667"/>
      <c r="G345" s="21">
        <f t="shared" si="56"/>
        <v>1</v>
      </c>
      <c r="H345" s="667"/>
      <c r="I345" s="21">
        <f t="shared" si="57"/>
        <v>1</v>
      </c>
      <c r="J345" s="667"/>
      <c r="K345" s="21">
        <f t="shared" si="58"/>
        <v>1</v>
      </c>
      <c r="L345" s="667"/>
      <c r="M345" s="21">
        <f t="shared" si="59"/>
        <v>1</v>
      </c>
      <c r="N345" s="667"/>
      <c r="O345" s="21">
        <f t="shared" si="60"/>
        <v>1</v>
      </c>
      <c r="P345" s="667"/>
      <c r="Q345" s="21">
        <f t="shared" si="61"/>
        <v>1</v>
      </c>
      <c r="R345" s="663">
        <f t="shared" si="62"/>
        <v>0</v>
      </c>
      <c r="S345" s="316">
        <f t="shared" si="64"/>
        <v>0</v>
      </c>
    </row>
    <row r="346" spans="1:19">
      <c r="A346" s="150"/>
      <c r="B346" s="54"/>
      <c r="C346" s="21">
        <f t="shared" ref="C346:C409" si="65">IF(B346="",1,(LOOKUP(B346,$3:$3,$4:$4)-LOOKUP($B$24,$3:$3,$4:$4)+100)/100)</f>
        <v>1</v>
      </c>
      <c r="D346" s="667"/>
      <c r="E346" s="21">
        <f t="shared" ref="E346:E409" si="66">(SUMIF($5:$5,D346,$6:$6)-SUMIF($5:$5,$D$24,$6:$6)+100)/100</f>
        <v>1</v>
      </c>
      <c r="F346" s="667"/>
      <c r="G346" s="21">
        <f t="shared" ref="G346:G409" si="67">(SUMIF($7:$7,F346,$8:$8)-SUMIF($7:$7,$F$24,$8:$8)+100)/100</f>
        <v>1</v>
      </c>
      <c r="H346" s="667"/>
      <c r="I346" s="21">
        <f t="shared" ref="I346:I409" si="68">(SUMIF($9:$9,H346,$10:$10)-SUMIF($9:$9,$H$24,$10:$10)+100)/100</f>
        <v>1</v>
      </c>
      <c r="J346" s="667"/>
      <c r="K346" s="21">
        <f t="shared" ref="K346:K409" si="69">(SUMIF($11:$11,J346,$12:$12)-SUMIF($11:$11,$J$24,$12:$12)+100)/100</f>
        <v>1</v>
      </c>
      <c r="L346" s="667"/>
      <c r="M346" s="21">
        <f t="shared" ref="M346:M409" si="70">(SUMIF($13:$13,L346,$14:$14)-SUMIF($13:$13,$L$24,$14:$14)+100)/100</f>
        <v>1</v>
      </c>
      <c r="N346" s="667"/>
      <c r="O346" s="21">
        <f t="shared" ref="O346:O409" si="71">(SUMIF($15:$15,N346,$16:$16)-SUMIF($15:$15,$N$24,$16:$16)+100)/100</f>
        <v>1</v>
      </c>
      <c r="P346" s="667"/>
      <c r="Q346" s="21">
        <f t="shared" ref="Q346:Q409" si="72">(SUMIF($17:$17,P346,$18:$18)-SUMIF($17:$17,$P$24,$18:$18)+100)/100</f>
        <v>1</v>
      </c>
      <c r="R346" s="663">
        <f t="shared" ref="R346:R409" si="73">IF(B346="",0,ROUND($R$24*C346*E346*G346*I346*K346*M346*O346*Q346,0))</f>
        <v>0</v>
      </c>
      <c r="S346" s="316">
        <f t="shared" si="64"/>
        <v>0</v>
      </c>
    </row>
    <row r="347" spans="1:19">
      <c r="A347" s="150"/>
      <c r="B347" s="54"/>
      <c r="C347" s="21">
        <f t="shared" si="65"/>
        <v>1</v>
      </c>
      <c r="D347" s="667"/>
      <c r="E347" s="21">
        <f t="shared" si="66"/>
        <v>1</v>
      </c>
      <c r="F347" s="667"/>
      <c r="G347" s="21">
        <f t="shared" si="67"/>
        <v>1</v>
      </c>
      <c r="H347" s="667"/>
      <c r="I347" s="21">
        <f t="shared" si="68"/>
        <v>1</v>
      </c>
      <c r="J347" s="667"/>
      <c r="K347" s="21">
        <f t="shared" si="69"/>
        <v>1</v>
      </c>
      <c r="L347" s="667"/>
      <c r="M347" s="21">
        <f t="shared" si="70"/>
        <v>1</v>
      </c>
      <c r="N347" s="667"/>
      <c r="O347" s="21">
        <f t="shared" si="71"/>
        <v>1</v>
      </c>
      <c r="P347" s="667"/>
      <c r="Q347" s="21">
        <f t="shared" si="72"/>
        <v>1</v>
      </c>
      <c r="R347" s="663">
        <f t="shared" si="73"/>
        <v>0</v>
      </c>
      <c r="S347" s="316">
        <f t="shared" si="64"/>
        <v>0</v>
      </c>
    </row>
    <row r="348" spans="1:19">
      <c r="A348" s="150"/>
      <c r="B348" s="54"/>
      <c r="C348" s="21">
        <f t="shared" si="65"/>
        <v>1</v>
      </c>
      <c r="D348" s="667"/>
      <c r="E348" s="21">
        <f t="shared" si="66"/>
        <v>1</v>
      </c>
      <c r="F348" s="667"/>
      <c r="G348" s="21">
        <f t="shared" si="67"/>
        <v>1</v>
      </c>
      <c r="H348" s="667"/>
      <c r="I348" s="21">
        <f t="shared" si="68"/>
        <v>1</v>
      </c>
      <c r="J348" s="667"/>
      <c r="K348" s="21">
        <f t="shared" si="69"/>
        <v>1</v>
      </c>
      <c r="L348" s="667"/>
      <c r="M348" s="21">
        <f t="shared" si="70"/>
        <v>1</v>
      </c>
      <c r="N348" s="667"/>
      <c r="O348" s="21">
        <f t="shared" si="71"/>
        <v>1</v>
      </c>
      <c r="P348" s="667"/>
      <c r="Q348" s="21">
        <f t="shared" si="72"/>
        <v>1</v>
      </c>
      <c r="R348" s="663">
        <f t="shared" si="73"/>
        <v>0</v>
      </c>
      <c r="S348" s="316">
        <f t="shared" si="64"/>
        <v>0</v>
      </c>
    </row>
    <row r="349" spans="1:19">
      <c r="A349" s="150"/>
      <c r="B349" s="54"/>
      <c r="C349" s="21">
        <f t="shared" si="65"/>
        <v>1</v>
      </c>
      <c r="D349" s="667"/>
      <c r="E349" s="21">
        <f t="shared" si="66"/>
        <v>1</v>
      </c>
      <c r="F349" s="667"/>
      <c r="G349" s="21">
        <f t="shared" si="67"/>
        <v>1</v>
      </c>
      <c r="H349" s="667"/>
      <c r="I349" s="21">
        <f t="shared" si="68"/>
        <v>1</v>
      </c>
      <c r="J349" s="667"/>
      <c r="K349" s="21">
        <f t="shared" si="69"/>
        <v>1</v>
      </c>
      <c r="L349" s="667"/>
      <c r="M349" s="21">
        <f t="shared" si="70"/>
        <v>1</v>
      </c>
      <c r="N349" s="667"/>
      <c r="O349" s="21">
        <f t="shared" si="71"/>
        <v>1</v>
      </c>
      <c r="P349" s="667"/>
      <c r="Q349" s="21">
        <f t="shared" si="72"/>
        <v>1</v>
      </c>
      <c r="R349" s="663">
        <f t="shared" si="73"/>
        <v>0</v>
      </c>
      <c r="S349" s="316">
        <f t="shared" si="64"/>
        <v>0</v>
      </c>
    </row>
    <row r="350" spans="1:19">
      <c r="A350" s="150"/>
      <c r="B350" s="54"/>
      <c r="C350" s="21">
        <f t="shared" si="65"/>
        <v>1</v>
      </c>
      <c r="D350" s="667"/>
      <c r="E350" s="21">
        <f t="shared" si="66"/>
        <v>1</v>
      </c>
      <c r="F350" s="667"/>
      <c r="G350" s="21">
        <f t="shared" si="67"/>
        <v>1</v>
      </c>
      <c r="H350" s="667"/>
      <c r="I350" s="21">
        <f t="shared" si="68"/>
        <v>1</v>
      </c>
      <c r="J350" s="667"/>
      <c r="K350" s="21">
        <f t="shared" si="69"/>
        <v>1</v>
      </c>
      <c r="L350" s="667"/>
      <c r="M350" s="21">
        <f t="shared" si="70"/>
        <v>1</v>
      </c>
      <c r="N350" s="667"/>
      <c r="O350" s="21">
        <f t="shared" si="71"/>
        <v>1</v>
      </c>
      <c r="P350" s="667"/>
      <c r="Q350" s="21">
        <f t="shared" si="72"/>
        <v>1</v>
      </c>
      <c r="R350" s="663">
        <f t="shared" si="73"/>
        <v>0</v>
      </c>
      <c r="S350" s="316">
        <f t="shared" si="64"/>
        <v>0</v>
      </c>
    </row>
    <row r="351" spans="1:19">
      <c r="A351" s="150"/>
      <c r="B351" s="54"/>
      <c r="C351" s="21">
        <f t="shared" si="65"/>
        <v>1</v>
      </c>
      <c r="D351" s="667"/>
      <c r="E351" s="21">
        <f t="shared" si="66"/>
        <v>1</v>
      </c>
      <c r="F351" s="667"/>
      <c r="G351" s="21">
        <f t="shared" si="67"/>
        <v>1</v>
      </c>
      <c r="H351" s="667"/>
      <c r="I351" s="21">
        <f t="shared" si="68"/>
        <v>1</v>
      </c>
      <c r="J351" s="667"/>
      <c r="K351" s="21">
        <f t="shared" si="69"/>
        <v>1</v>
      </c>
      <c r="L351" s="667"/>
      <c r="M351" s="21">
        <f t="shared" si="70"/>
        <v>1</v>
      </c>
      <c r="N351" s="667"/>
      <c r="O351" s="21">
        <f t="shared" si="71"/>
        <v>1</v>
      </c>
      <c r="P351" s="667"/>
      <c r="Q351" s="21">
        <f t="shared" si="72"/>
        <v>1</v>
      </c>
      <c r="R351" s="663">
        <f t="shared" si="73"/>
        <v>0</v>
      </c>
      <c r="S351" s="316">
        <f t="shared" si="64"/>
        <v>0</v>
      </c>
    </row>
    <row r="352" spans="1:19">
      <c r="A352" s="150"/>
      <c r="B352" s="54"/>
      <c r="C352" s="21">
        <f t="shared" si="65"/>
        <v>1</v>
      </c>
      <c r="D352" s="667"/>
      <c r="E352" s="21">
        <f t="shared" si="66"/>
        <v>1</v>
      </c>
      <c r="F352" s="667"/>
      <c r="G352" s="21">
        <f t="shared" si="67"/>
        <v>1</v>
      </c>
      <c r="H352" s="667"/>
      <c r="I352" s="21">
        <f t="shared" si="68"/>
        <v>1</v>
      </c>
      <c r="J352" s="667"/>
      <c r="K352" s="21">
        <f t="shared" si="69"/>
        <v>1</v>
      </c>
      <c r="L352" s="667"/>
      <c r="M352" s="21">
        <f t="shared" si="70"/>
        <v>1</v>
      </c>
      <c r="N352" s="667"/>
      <c r="O352" s="21">
        <f t="shared" si="71"/>
        <v>1</v>
      </c>
      <c r="P352" s="667"/>
      <c r="Q352" s="21">
        <f t="shared" si="72"/>
        <v>1</v>
      </c>
      <c r="R352" s="663">
        <f t="shared" si="73"/>
        <v>0</v>
      </c>
      <c r="S352" s="316">
        <f t="shared" si="64"/>
        <v>0</v>
      </c>
    </row>
    <row r="353" spans="1:19">
      <c r="A353" s="150"/>
      <c r="B353" s="54"/>
      <c r="C353" s="21">
        <f t="shared" si="65"/>
        <v>1</v>
      </c>
      <c r="D353" s="667"/>
      <c r="E353" s="21">
        <f t="shared" si="66"/>
        <v>1</v>
      </c>
      <c r="F353" s="667"/>
      <c r="G353" s="21">
        <f t="shared" si="67"/>
        <v>1</v>
      </c>
      <c r="H353" s="667"/>
      <c r="I353" s="21">
        <f t="shared" si="68"/>
        <v>1</v>
      </c>
      <c r="J353" s="667"/>
      <c r="K353" s="21">
        <f t="shared" si="69"/>
        <v>1</v>
      </c>
      <c r="L353" s="667"/>
      <c r="M353" s="21">
        <f t="shared" si="70"/>
        <v>1</v>
      </c>
      <c r="N353" s="667"/>
      <c r="O353" s="21">
        <f t="shared" si="71"/>
        <v>1</v>
      </c>
      <c r="P353" s="667"/>
      <c r="Q353" s="21">
        <f t="shared" si="72"/>
        <v>1</v>
      </c>
      <c r="R353" s="663">
        <f t="shared" si="73"/>
        <v>0</v>
      </c>
      <c r="S353" s="316">
        <f t="shared" si="64"/>
        <v>0</v>
      </c>
    </row>
    <row r="354" spans="1:19">
      <c r="A354" s="150"/>
      <c r="B354" s="54"/>
      <c r="C354" s="21">
        <f t="shared" si="65"/>
        <v>1</v>
      </c>
      <c r="D354" s="667"/>
      <c r="E354" s="21">
        <f t="shared" si="66"/>
        <v>1</v>
      </c>
      <c r="F354" s="667"/>
      <c r="G354" s="21">
        <f t="shared" si="67"/>
        <v>1</v>
      </c>
      <c r="H354" s="667"/>
      <c r="I354" s="21">
        <f t="shared" si="68"/>
        <v>1</v>
      </c>
      <c r="J354" s="667"/>
      <c r="K354" s="21">
        <f t="shared" si="69"/>
        <v>1</v>
      </c>
      <c r="L354" s="667"/>
      <c r="M354" s="21">
        <f t="shared" si="70"/>
        <v>1</v>
      </c>
      <c r="N354" s="667"/>
      <c r="O354" s="21">
        <f t="shared" si="71"/>
        <v>1</v>
      </c>
      <c r="P354" s="667"/>
      <c r="Q354" s="21">
        <f t="shared" si="72"/>
        <v>1</v>
      </c>
      <c r="R354" s="663">
        <f t="shared" si="73"/>
        <v>0</v>
      </c>
      <c r="S354" s="316">
        <f t="shared" si="64"/>
        <v>0</v>
      </c>
    </row>
    <row r="355" spans="1:19">
      <c r="A355" s="150"/>
      <c r="B355" s="54"/>
      <c r="C355" s="21">
        <f t="shared" si="65"/>
        <v>1</v>
      </c>
      <c r="D355" s="667"/>
      <c r="E355" s="21">
        <f t="shared" si="66"/>
        <v>1</v>
      </c>
      <c r="F355" s="667"/>
      <c r="G355" s="21">
        <f t="shared" si="67"/>
        <v>1</v>
      </c>
      <c r="H355" s="667"/>
      <c r="I355" s="21">
        <f t="shared" si="68"/>
        <v>1</v>
      </c>
      <c r="J355" s="667"/>
      <c r="K355" s="21">
        <f t="shared" si="69"/>
        <v>1</v>
      </c>
      <c r="L355" s="667"/>
      <c r="M355" s="21">
        <f t="shared" si="70"/>
        <v>1</v>
      </c>
      <c r="N355" s="667"/>
      <c r="O355" s="21">
        <f t="shared" si="71"/>
        <v>1</v>
      </c>
      <c r="P355" s="667"/>
      <c r="Q355" s="21">
        <f t="shared" si="72"/>
        <v>1</v>
      </c>
      <c r="R355" s="663">
        <f t="shared" si="73"/>
        <v>0</v>
      </c>
      <c r="S355" s="316">
        <f t="shared" si="64"/>
        <v>0</v>
      </c>
    </row>
    <row r="356" spans="1:19">
      <c r="A356" s="150"/>
      <c r="B356" s="54"/>
      <c r="C356" s="21">
        <f t="shared" si="65"/>
        <v>1</v>
      </c>
      <c r="D356" s="667"/>
      <c r="E356" s="21">
        <f t="shared" si="66"/>
        <v>1</v>
      </c>
      <c r="F356" s="667"/>
      <c r="G356" s="21">
        <f t="shared" si="67"/>
        <v>1</v>
      </c>
      <c r="H356" s="667"/>
      <c r="I356" s="21">
        <f t="shared" si="68"/>
        <v>1</v>
      </c>
      <c r="J356" s="667"/>
      <c r="K356" s="21">
        <f t="shared" si="69"/>
        <v>1</v>
      </c>
      <c r="L356" s="667"/>
      <c r="M356" s="21">
        <f t="shared" si="70"/>
        <v>1</v>
      </c>
      <c r="N356" s="667"/>
      <c r="O356" s="21">
        <f t="shared" si="71"/>
        <v>1</v>
      </c>
      <c r="P356" s="667"/>
      <c r="Q356" s="21">
        <f t="shared" si="72"/>
        <v>1</v>
      </c>
      <c r="R356" s="663">
        <f t="shared" si="73"/>
        <v>0</v>
      </c>
      <c r="S356" s="316">
        <f t="shared" si="64"/>
        <v>0</v>
      </c>
    </row>
    <row r="357" spans="1:19">
      <c r="A357" s="150"/>
      <c r="B357" s="54"/>
      <c r="C357" s="21">
        <f t="shared" si="65"/>
        <v>1</v>
      </c>
      <c r="D357" s="667"/>
      <c r="E357" s="21">
        <f t="shared" si="66"/>
        <v>1</v>
      </c>
      <c r="F357" s="667"/>
      <c r="G357" s="21">
        <f t="shared" si="67"/>
        <v>1</v>
      </c>
      <c r="H357" s="667"/>
      <c r="I357" s="21">
        <f t="shared" si="68"/>
        <v>1</v>
      </c>
      <c r="J357" s="667"/>
      <c r="K357" s="21">
        <f t="shared" si="69"/>
        <v>1</v>
      </c>
      <c r="L357" s="667"/>
      <c r="M357" s="21">
        <f t="shared" si="70"/>
        <v>1</v>
      </c>
      <c r="N357" s="667"/>
      <c r="O357" s="21">
        <f t="shared" si="71"/>
        <v>1</v>
      </c>
      <c r="P357" s="667"/>
      <c r="Q357" s="21">
        <f t="shared" si="72"/>
        <v>1</v>
      </c>
      <c r="R357" s="663">
        <f t="shared" si="73"/>
        <v>0</v>
      </c>
      <c r="S357" s="316">
        <f t="shared" si="64"/>
        <v>0</v>
      </c>
    </row>
    <row r="358" spans="1:19">
      <c r="A358" s="150"/>
      <c r="B358" s="54"/>
      <c r="C358" s="21">
        <f t="shared" si="65"/>
        <v>1</v>
      </c>
      <c r="D358" s="667"/>
      <c r="E358" s="21">
        <f t="shared" si="66"/>
        <v>1</v>
      </c>
      <c r="F358" s="667"/>
      <c r="G358" s="21">
        <f t="shared" si="67"/>
        <v>1</v>
      </c>
      <c r="H358" s="667"/>
      <c r="I358" s="21">
        <f t="shared" si="68"/>
        <v>1</v>
      </c>
      <c r="J358" s="667"/>
      <c r="K358" s="21">
        <f t="shared" si="69"/>
        <v>1</v>
      </c>
      <c r="L358" s="667"/>
      <c r="M358" s="21">
        <f t="shared" si="70"/>
        <v>1</v>
      </c>
      <c r="N358" s="667"/>
      <c r="O358" s="21">
        <f t="shared" si="71"/>
        <v>1</v>
      </c>
      <c r="P358" s="667"/>
      <c r="Q358" s="21">
        <f t="shared" si="72"/>
        <v>1</v>
      </c>
      <c r="R358" s="663">
        <f t="shared" si="73"/>
        <v>0</v>
      </c>
      <c r="S358" s="316">
        <f t="shared" si="64"/>
        <v>0</v>
      </c>
    </row>
    <row r="359" spans="1:19">
      <c r="A359" s="150"/>
      <c r="B359" s="54"/>
      <c r="C359" s="21">
        <f t="shared" si="65"/>
        <v>1</v>
      </c>
      <c r="D359" s="667"/>
      <c r="E359" s="21">
        <f t="shared" si="66"/>
        <v>1</v>
      </c>
      <c r="F359" s="667"/>
      <c r="G359" s="21">
        <f t="shared" si="67"/>
        <v>1</v>
      </c>
      <c r="H359" s="667"/>
      <c r="I359" s="21">
        <f t="shared" si="68"/>
        <v>1</v>
      </c>
      <c r="J359" s="667"/>
      <c r="K359" s="21">
        <f t="shared" si="69"/>
        <v>1</v>
      </c>
      <c r="L359" s="667"/>
      <c r="M359" s="21">
        <f t="shared" si="70"/>
        <v>1</v>
      </c>
      <c r="N359" s="667"/>
      <c r="O359" s="21">
        <f t="shared" si="71"/>
        <v>1</v>
      </c>
      <c r="P359" s="667"/>
      <c r="Q359" s="21">
        <f t="shared" si="72"/>
        <v>1</v>
      </c>
      <c r="R359" s="663">
        <f t="shared" si="73"/>
        <v>0</v>
      </c>
      <c r="S359" s="316">
        <f t="shared" si="64"/>
        <v>0</v>
      </c>
    </row>
    <row r="360" spans="1:19">
      <c r="A360" s="150"/>
      <c r="B360" s="54"/>
      <c r="C360" s="21">
        <f t="shared" si="65"/>
        <v>1</v>
      </c>
      <c r="D360" s="667"/>
      <c r="E360" s="21">
        <f t="shared" si="66"/>
        <v>1</v>
      </c>
      <c r="F360" s="667"/>
      <c r="G360" s="21">
        <f t="shared" si="67"/>
        <v>1</v>
      </c>
      <c r="H360" s="667"/>
      <c r="I360" s="21">
        <f t="shared" si="68"/>
        <v>1</v>
      </c>
      <c r="J360" s="667"/>
      <c r="K360" s="21">
        <f t="shared" si="69"/>
        <v>1</v>
      </c>
      <c r="L360" s="667"/>
      <c r="M360" s="21">
        <f t="shared" si="70"/>
        <v>1</v>
      </c>
      <c r="N360" s="667"/>
      <c r="O360" s="21">
        <f t="shared" si="71"/>
        <v>1</v>
      </c>
      <c r="P360" s="667"/>
      <c r="Q360" s="21">
        <f t="shared" si="72"/>
        <v>1</v>
      </c>
      <c r="R360" s="663">
        <f t="shared" si="73"/>
        <v>0</v>
      </c>
      <c r="S360" s="316">
        <f t="shared" si="64"/>
        <v>0</v>
      </c>
    </row>
    <row r="361" spans="1:19">
      <c r="A361" s="150"/>
      <c r="B361" s="54"/>
      <c r="C361" s="21">
        <f t="shared" si="65"/>
        <v>1</v>
      </c>
      <c r="D361" s="667"/>
      <c r="E361" s="21">
        <f t="shared" si="66"/>
        <v>1</v>
      </c>
      <c r="F361" s="667"/>
      <c r="G361" s="21">
        <f t="shared" si="67"/>
        <v>1</v>
      </c>
      <c r="H361" s="667"/>
      <c r="I361" s="21">
        <f t="shared" si="68"/>
        <v>1</v>
      </c>
      <c r="J361" s="667"/>
      <c r="K361" s="21">
        <f t="shared" si="69"/>
        <v>1</v>
      </c>
      <c r="L361" s="667"/>
      <c r="M361" s="21">
        <f t="shared" si="70"/>
        <v>1</v>
      </c>
      <c r="N361" s="667"/>
      <c r="O361" s="21">
        <f t="shared" si="71"/>
        <v>1</v>
      </c>
      <c r="P361" s="667"/>
      <c r="Q361" s="21">
        <f t="shared" si="72"/>
        <v>1</v>
      </c>
      <c r="R361" s="663">
        <f t="shared" si="73"/>
        <v>0</v>
      </c>
      <c r="S361" s="316">
        <f t="shared" si="64"/>
        <v>0</v>
      </c>
    </row>
    <row r="362" spans="1:19">
      <c r="A362" s="150"/>
      <c r="B362" s="54"/>
      <c r="C362" s="21">
        <f t="shared" si="65"/>
        <v>1</v>
      </c>
      <c r="D362" s="667"/>
      <c r="E362" s="21">
        <f t="shared" si="66"/>
        <v>1</v>
      </c>
      <c r="F362" s="667"/>
      <c r="G362" s="21">
        <f t="shared" si="67"/>
        <v>1</v>
      </c>
      <c r="H362" s="667"/>
      <c r="I362" s="21">
        <f t="shared" si="68"/>
        <v>1</v>
      </c>
      <c r="J362" s="667"/>
      <c r="K362" s="21">
        <f t="shared" si="69"/>
        <v>1</v>
      </c>
      <c r="L362" s="667"/>
      <c r="M362" s="21">
        <f t="shared" si="70"/>
        <v>1</v>
      </c>
      <c r="N362" s="667"/>
      <c r="O362" s="21">
        <f t="shared" si="71"/>
        <v>1</v>
      </c>
      <c r="P362" s="667"/>
      <c r="Q362" s="21">
        <f t="shared" si="72"/>
        <v>1</v>
      </c>
      <c r="R362" s="663">
        <f t="shared" si="73"/>
        <v>0</v>
      </c>
      <c r="S362" s="316">
        <f t="shared" si="64"/>
        <v>0</v>
      </c>
    </row>
    <row r="363" spans="1:19">
      <c r="A363" s="150"/>
      <c r="B363" s="54"/>
      <c r="C363" s="21">
        <f t="shared" si="65"/>
        <v>1</v>
      </c>
      <c r="D363" s="667"/>
      <c r="E363" s="21">
        <f t="shared" si="66"/>
        <v>1</v>
      </c>
      <c r="F363" s="667"/>
      <c r="G363" s="21">
        <f t="shared" si="67"/>
        <v>1</v>
      </c>
      <c r="H363" s="667"/>
      <c r="I363" s="21">
        <f t="shared" si="68"/>
        <v>1</v>
      </c>
      <c r="J363" s="667"/>
      <c r="K363" s="21">
        <f t="shared" si="69"/>
        <v>1</v>
      </c>
      <c r="L363" s="667"/>
      <c r="M363" s="21">
        <f t="shared" si="70"/>
        <v>1</v>
      </c>
      <c r="N363" s="667"/>
      <c r="O363" s="21">
        <f t="shared" si="71"/>
        <v>1</v>
      </c>
      <c r="P363" s="667"/>
      <c r="Q363" s="21">
        <f t="shared" si="72"/>
        <v>1</v>
      </c>
      <c r="R363" s="663">
        <f t="shared" si="73"/>
        <v>0</v>
      </c>
      <c r="S363" s="316">
        <f t="shared" si="64"/>
        <v>0</v>
      </c>
    </row>
    <row r="364" spans="1:19">
      <c r="A364" s="150"/>
      <c r="B364" s="54"/>
      <c r="C364" s="21">
        <f t="shared" si="65"/>
        <v>1</v>
      </c>
      <c r="D364" s="667"/>
      <c r="E364" s="21">
        <f t="shared" si="66"/>
        <v>1</v>
      </c>
      <c r="F364" s="667"/>
      <c r="G364" s="21">
        <f t="shared" si="67"/>
        <v>1</v>
      </c>
      <c r="H364" s="667"/>
      <c r="I364" s="21">
        <f t="shared" si="68"/>
        <v>1</v>
      </c>
      <c r="J364" s="667"/>
      <c r="K364" s="21">
        <f t="shared" si="69"/>
        <v>1</v>
      </c>
      <c r="L364" s="667"/>
      <c r="M364" s="21">
        <f t="shared" si="70"/>
        <v>1</v>
      </c>
      <c r="N364" s="667"/>
      <c r="O364" s="21">
        <f t="shared" si="71"/>
        <v>1</v>
      </c>
      <c r="P364" s="667"/>
      <c r="Q364" s="21">
        <f t="shared" si="72"/>
        <v>1</v>
      </c>
      <c r="R364" s="663">
        <f t="shared" si="73"/>
        <v>0</v>
      </c>
      <c r="S364" s="316">
        <f t="shared" si="64"/>
        <v>0</v>
      </c>
    </row>
    <row r="365" spans="1:19">
      <c r="A365" s="150"/>
      <c r="B365" s="54"/>
      <c r="C365" s="21">
        <f t="shared" si="65"/>
        <v>1</v>
      </c>
      <c r="D365" s="667"/>
      <c r="E365" s="21">
        <f t="shared" si="66"/>
        <v>1</v>
      </c>
      <c r="F365" s="667"/>
      <c r="G365" s="21">
        <f t="shared" si="67"/>
        <v>1</v>
      </c>
      <c r="H365" s="667"/>
      <c r="I365" s="21">
        <f t="shared" si="68"/>
        <v>1</v>
      </c>
      <c r="J365" s="667"/>
      <c r="K365" s="21">
        <f t="shared" si="69"/>
        <v>1</v>
      </c>
      <c r="L365" s="667"/>
      <c r="M365" s="21">
        <f t="shared" si="70"/>
        <v>1</v>
      </c>
      <c r="N365" s="667"/>
      <c r="O365" s="21">
        <f t="shared" si="71"/>
        <v>1</v>
      </c>
      <c r="P365" s="667"/>
      <c r="Q365" s="21">
        <f t="shared" si="72"/>
        <v>1</v>
      </c>
      <c r="R365" s="663">
        <f t="shared" si="73"/>
        <v>0</v>
      </c>
      <c r="S365" s="316">
        <f t="shared" si="64"/>
        <v>0</v>
      </c>
    </row>
    <row r="366" spans="1:19">
      <c r="A366" s="150"/>
      <c r="B366" s="54"/>
      <c r="C366" s="21">
        <f t="shared" si="65"/>
        <v>1</v>
      </c>
      <c r="D366" s="667"/>
      <c r="E366" s="21">
        <f t="shared" si="66"/>
        <v>1</v>
      </c>
      <c r="F366" s="667"/>
      <c r="G366" s="21">
        <f t="shared" si="67"/>
        <v>1</v>
      </c>
      <c r="H366" s="667"/>
      <c r="I366" s="21">
        <f t="shared" si="68"/>
        <v>1</v>
      </c>
      <c r="J366" s="667"/>
      <c r="K366" s="21">
        <f t="shared" si="69"/>
        <v>1</v>
      </c>
      <c r="L366" s="667"/>
      <c r="M366" s="21">
        <f t="shared" si="70"/>
        <v>1</v>
      </c>
      <c r="N366" s="667"/>
      <c r="O366" s="21">
        <f t="shared" si="71"/>
        <v>1</v>
      </c>
      <c r="P366" s="667"/>
      <c r="Q366" s="21">
        <f t="shared" si="72"/>
        <v>1</v>
      </c>
      <c r="R366" s="663">
        <f t="shared" si="73"/>
        <v>0</v>
      </c>
      <c r="S366" s="316">
        <f t="shared" si="64"/>
        <v>0</v>
      </c>
    </row>
    <row r="367" spans="1:19">
      <c r="A367" s="150"/>
      <c r="B367" s="54"/>
      <c r="C367" s="21">
        <f t="shared" si="65"/>
        <v>1</v>
      </c>
      <c r="D367" s="667"/>
      <c r="E367" s="21">
        <f t="shared" si="66"/>
        <v>1</v>
      </c>
      <c r="F367" s="667"/>
      <c r="G367" s="21">
        <f t="shared" si="67"/>
        <v>1</v>
      </c>
      <c r="H367" s="667"/>
      <c r="I367" s="21">
        <f t="shared" si="68"/>
        <v>1</v>
      </c>
      <c r="J367" s="667"/>
      <c r="K367" s="21">
        <f t="shared" si="69"/>
        <v>1</v>
      </c>
      <c r="L367" s="667"/>
      <c r="M367" s="21">
        <f t="shared" si="70"/>
        <v>1</v>
      </c>
      <c r="N367" s="667"/>
      <c r="O367" s="21">
        <f t="shared" si="71"/>
        <v>1</v>
      </c>
      <c r="P367" s="667"/>
      <c r="Q367" s="21">
        <f t="shared" si="72"/>
        <v>1</v>
      </c>
      <c r="R367" s="663">
        <f t="shared" si="73"/>
        <v>0</v>
      </c>
      <c r="S367" s="316">
        <f t="shared" si="64"/>
        <v>0</v>
      </c>
    </row>
    <row r="368" spans="1:19">
      <c r="A368" s="150"/>
      <c r="B368" s="54"/>
      <c r="C368" s="21">
        <f t="shared" si="65"/>
        <v>1</v>
      </c>
      <c r="D368" s="667"/>
      <c r="E368" s="21">
        <f t="shared" si="66"/>
        <v>1</v>
      </c>
      <c r="F368" s="667"/>
      <c r="G368" s="21">
        <f t="shared" si="67"/>
        <v>1</v>
      </c>
      <c r="H368" s="667"/>
      <c r="I368" s="21">
        <f t="shared" si="68"/>
        <v>1</v>
      </c>
      <c r="J368" s="667"/>
      <c r="K368" s="21">
        <f t="shared" si="69"/>
        <v>1</v>
      </c>
      <c r="L368" s="667"/>
      <c r="M368" s="21">
        <f t="shared" si="70"/>
        <v>1</v>
      </c>
      <c r="N368" s="667"/>
      <c r="O368" s="21">
        <f t="shared" si="71"/>
        <v>1</v>
      </c>
      <c r="P368" s="667"/>
      <c r="Q368" s="21">
        <f t="shared" si="72"/>
        <v>1</v>
      </c>
      <c r="R368" s="663">
        <f t="shared" si="73"/>
        <v>0</v>
      </c>
      <c r="S368" s="316">
        <f t="shared" si="64"/>
        <v>0</v>
      </c>
    </row>
    <row r="369" spans="1:19">
      <c r="A369" s="150"/>
      <c r="B369" s="54"/>
      <c r="C369" s="21">
        <f t="shared" si="65"/>
        <v>1</v>
      </c>
      <c r="D369" s="667"/>
      <c r="E369" s="21">
        <f t="shared" si="66"/>
        <v>1</v>
      </c>
      <c r="F369" s="667"/>
      <c r="G369" s="21">
        <f t="shared" si="67"/>
        <v>1</v>
      </c>
      <c r="H369" s="667"/>
      <c r="I369" s="21">
        <f t="shared" si="68"/>
        <v>1</v>
      </c>
      <c r="J369" s="667"/>
      <c r="K369" s="21">
        <f t="shared" si="69"/>
        <v>1</v>
      </c>
      <c r="L369" s="667"/>
      <c r="M369" s="21">
        <f t="shared" si="70"/>
        <v>1</v>
      </c>
      <c r="N369" s="667"/>
      <c r="O369" s="21">
        <f t="shared" si="71"/>
        <v>1</v>
      </c>
      <c r="P369" s="667"/>
      <c r="Q369" s="21">
        <f t="shared" si="72"/>
        <v>1</v>
      </c>
      <c r="R369" s="663">
        <f t="shared" si="73"/>
        <v>0</v>
      </c>
      <c r="S369" s="316">
        <f t="shared" si="64"/>
        <v>0</v>
      </c>
    </row>
    <row r="370" spans="1:19">
      <c r="A370" s="150"/>
      <c r="B370" s="54"/>
      <c r="C370" s="21">
        <f t="shared" si="65"/>
        <v>1</v>
      </c>
      <c r="D370" s="667"/>
      <c r="E370" s="21">
        <f t="shared" si="66"/>
        <v>1</v>
      </c>
      <c r="F370" s="667"/>
      <c r="G370" s="21">
        <f t="shared" si="67"/>
        <v>1</v>
      </c>
      <c r="H370" s="667"/>
      <c r="I370" s="21">
        <f t="shared" si="68"/>
        <v>1</v>
      </c>
      <c r="J370" s="667"/>
      <c r="K370" s="21">
        <f t="shared" si="69"/>
        <v>1</v>
      </c>
      <c r="L370" s="667"/>
      <c r="M370" s="21">
        <f t="shared" si="70"/>
        <v>1</v>
      </c>
      <c r="N370" s="667"/>
      <c r="O370" s="21">
        <f t="shared" si="71"/>
        <v>1</v>
      </c>
      <c r="P370" s="667"/>
      <c r="Q370" s="21">
        <f t="shared" si="72"/>
        <v>1</v>
      </c>
      <c r="R370" s="663">
        <f t="shared" si="73"/>
        <v>0</v>
      </c>
      <c r="S370" s="316">
        <f t="shared" si="64"/>
        <v>0</v>
      </c>
    </row>
    <row r="371" spans="1:19">
      <c r="A371" s="150"/>
      <c r="B371" s="54"/>
      <c r="C371" s="21">
        <f t="shared" si="65"/>
        <v>1</v>
      </c>
      <c r="D371" s="667"/>
      <c r="E371" s="21">
        <f t="shared" si="66"/>
        <v>1</v>
      </c>
      <c r="F371" s="667"/>
      <c r="G371" s="21">
        <f t="shared" si="67"/>
        <v>1</v>
      </c>
      <c r="H371" s="667"/>
      <c r="I371" s="21">
        <f t="shared" si="68"/>
        <v>1</v>
      </c>
      <c r="J371" s="667"/>
      <c r="K371" s="21">
        <f t="shared" si="69"/>
        <v>1</v>
      </c>
      <c r="L371" s="667"/>
      <c r="M371" s="21">
        <f t="shared" si="70"/>
        <v>1</v>
      </c>
      <c r="N371" s="667"/>
      <c r="O371" s="21">
        <f t="shared" si="71"/>
        <v>1</v>
      </c>
      <c r="P371" s="667"/>
      <c r="Q371" s="21">
        <f t="shared" si="72"/>
        <v>1</v>
      </c>
      <c r="R371" s="663">
        <f t="shared" si="73"/>
        <v>0</v>
      </c>
      <c r="S371" s="316">
        <f t="shared" si="64"/>
        <v>0</v>
      </c>
    </row>
    <row r="372" spans="1:19">
      <c r="A372" s="150"/>
      <c r="B372" s="54"/>
      <c r="C372" s="21">
        <f t="shared" si="65"/>
        <v>1</v>
      </c>
      <c r="D372" s="667"/>
      <c r="E372" s="21">
        <f t="shared" si="66"/>
        <v>1</v>
      </c>
      <c r="F372" s="667"/>
      <c r="G372" s="21">
        <f t="shared" si="67"/>
        <v>1</v>
      </c>
      <c r="H372" s="667"/>
      <c r="I372" s="21">
        <f t="shared" si="68"/>
        <v>1</v>
      </c>
      <c r="J372" s="667"/>
      <c r="K372" s="21">
        <f t="shared" si="69"/>
        <v>1</v>
      </c>
      <c r="L372" s="667"/>
      <c r="M372" s="21">
        <f t="shared" si="70"/>
        <v>1</v>
      </c>
      <c r="N372" s="667"/>
      <c r="O372" s="21">
        <f t="shared" si="71"/>
        <v>1</v>
      </c>
      <c r="P372" s="667"/>
      <c r="Q372" s="21">
        <f t="shared" si="72"/>
        <v>1</v>
      </c>
      <c r="R372" s="663">
        <f t="shared" si="73"/>
        <v>0</v>
      </c>
      <c r="S372" s="316">
        <f t="shared" si="64"/>
        <v>0</v>
      </c>
    </row>
    <row r="373" spans="1:19">
      <c r="A373" s="150"/>
      <c r="B373" s="54"/>
      <c r="C373" s="21">
        <f t="shared" si="65"/>
        <v>1</v>
      </c>
      <c r="D373" s="667"/>
      <c r="E373" s="21">
        <f t="shared" si="66"/>
        <v>1</v>
      </c>
      <c r="F373" s="667"/>
      <c r="G373" s="21">
        <f t="shared" si="67"/>
        <v>1</v>
      </c>
      <c r="H373" s="667"/>
      <c r="I373" s="21">
        <f t="shared" si="68"/>
        <v>1</v>
      </c>
      <c r="J373" s="667"/>
      <c r="K373" s="21">
        <f t="shared" si="69"/>
        <v>1</v>
      </c>
      <c r="L373" s="667"/>
      <c r="M373" s="21">
        <f t="shared" si="70"/>
        <v>1</v>
      </c>
      <c r="N373" s="667"/>
      <c r="O373" s="21">
        <f t="shared" si="71"/>
        <v>1</v>
      </c>
      <c r="P373" s="667"/>
      <c r="Q373" s="21">
        <f t="shared" si="72"/>
        <v>1</v>
      </c>
      <c r="R373" s="663">
        <f t="shared" si="73"/>
        <v>0</v>
      </c>
      <c r="S373" s="316">
        <f t="shared" si="64"/>
        <v>0</v>
      </c>
    </row>
    <row r="374" spans="1:19">
      <c r="A374" s="150"/>
      <c r="B374" s="54"/>
      <c r="C374" s="21">
        <f t="shared" si="65"/>
        <v>1</v>
      </c>
      <c r="D374" s="667"/>
      <c r="E374" s="21">
        <f t="shared" si="66"/>
        <v>1</v>
      </c>
      <c r="F374" s="667"/>
      <c r="G374" s="21">
        <f t="shared" si="67"/>
        <v>1</v>
      </c>
      <c r="H374" s="667"/>
      <c r="I374" s="21">
        <f t="shared" si="68"/>
        <v>1</v>
      </c>
      <c r="J374" s="667"/>
      <c r="K374" s="21">
        <f t="shared" si="69"/>
        <v>1</v>
      </c>
      <c r="L374" s="667"/>
      <c r="M374" s="21">
        <f t="shared" si="70"/>
        <v>1</v>
      </c>
      <c r="N374" s="667"/>
      <c r="O374" s="21">
        <f t="shared" si="71"/>
        <v>1</v>
      </c>
      <c r="P374" s="667"/>
      <c r="Q374" s="21">
        <f t="shared" si="72"/>
        <v>1</v>
      </c>
      <c r="R374" s="663">
        <f t="shared" si="73"/>
        <v>0</v>
      </c>
      <c r="S374" s="316">
        <f t="shared" si="64"/>
        <v>0</v>
      </c>
    </row>
    <row r="375" spans="1:19">
      <c r="A375" s="150"/>
      <c r="B375" s="54"/>
      <c r="C375" s="21">
        <f t="shared" si="65"/>
        <v>1</v>
      </c>
      <c r="D375" s="667"/>
      <c r="E375" s="21">
        <f t="shared" si="66"/>
        <v>1</v>
      </c>
      <c r="F375" s="667"/>
      <c r="G375" s="21">
        <f t="shared" si="67"/>
        <v>1</v>
      </c>
      <c r="H375" s="667"/>
      <c r="I375" s="21">
        <f t="shared" si="68"/>
        <v>1</v>
      </c>
      <c r="J375" s="667"/>
      <c r="K375" s="21">
        <f t="shared" si="69"/>
        <v>1</v>
      </c>
      <c r="L375" s="667"/>
      <c r="M375" s="21">
        <f t="shared" si="70"/>
        <v>1</v>
      </c>
      <c r="N375" s="667"/>
      <c r="O375" s="21">
        <f t="shared" si="71"/>
        <v>1</v>
      </c>
      <c r="P375" s="667"/>
      <c r="Q375" s="21">
        <f t="shared" si="72"/>
        <v>1</v>
      </c>
      <c r="R375" s="663">
        <f t="shared" si="73"/>
        <v>0</v>
      </c>
      <c r="S375" s="316">
        <f t="shared" si="64"/>
        <v>0</v>
      </c>
    </row>
    <row r="376" spans="1:19">
      <c r="A376" s="150"/>
      <c r="B376" s="54"/>
      <c r="C376" s="21">
        <f t="shared" si="65"/>
        <v>1</v>
      </c>
      <c r="D376" s="667"/>
      <c r="E376" s="21">
        <f t="shared" si="66"/>
        <v>1</v>
      </c>
      <c r="F376" s="667"/>
      <c r="G376" s="21">
        <f t="shared" si="67"/>
        <v>1</v>
      </c>
      <c r="H376" s="667"/>
      <c r="I376" s="21">
        <f t="shared" si="68"/>
        <v>1</v>
      </c>
      <c r="J376" s="667"/>
      <c r="K376" s="21">
        <f t="shared" si="69"/>
        <v>1</v>
      </c>
      <c r="L376" s="667"/>
      <c r="M376" s="21">
        <f t="shared" si="70"/>
        <v>1</v>
      </c>
      <c r="N376" s="667"/>
      <c r="O376" s="21">
        <f t="shared" si="71"/>
        <v>1</v>
      </c>
      <c r="P376" s="667"/>
      <c r="Q376" s="21">
        <f t="shared" si="72"/>
        <v>1</v>
      </c>
      <c r="R376" s="663">
        <f t="shared" si="73"/>
        <v>0</v>
      </c>
      <c r="S376" s="316">
        <f t="shared" si="64"/>
        <v>0</v>
      </c>
    </row>
    <row r="377" spans="1:19">
      <c r="A377" s="150"/>
      <c r="B377" s="54"/>
      <c r="C377" s="21">
        <f t="shared" si="65"/>
        <v>1</v>
      </c>
      <c r="D377" s="667"/>
      <c r="E377" s="21">
        <f t="shared" si="66"/>
        <v>1</v>
      </c>
      <c r="F377" s="667"/>
      <c r="G377" s="21">
        <f t="shared" si="67"/>
        <v>1</v>
      </c>
      <c r="H377" s="667"/>
      <c r="I377" s="21">
        <f t="shared" si="68"/>
        <v>1</v>
      </c>
      <c r="J377" s="667"/>
      <c r="K377" s="21">
        <f t="shared" si="69"/>
        <v>1</v>
      </c>
      <c r="L377" s="667"/>
      <c r="M377" s="21">
        <f t="shared" si="70"/>
        <v>1</v>
      </c>
      <c r="N377" s="667"/>
      <c r="O377" s="21">
        <f t="shared" si="71"/>
        <v>1</v>
      </c>
      <c r="P377" s="667"/>
      <c r="Q377" s="21">
        <f t="shared" si="72"/>
        <v>1</v>
      </c>
      <c r="R377" s="663">
        <f t="shared" si="73"/>
        <v>0</v>
      </c>
      <c r="S377" s="316">
        <f t="shared" si="64"/>
        <v>0</v>
      </c>
    </row>
    <row r="378" spans="1:19">
      <c r="A378" s="150"/>
      <c r="B378" s="54"/>
      <c r="C378" s="21">
        <f t="shared" si="65"/>
        <v>1</v>
      </c>
      <c r="D378" s="667"/>
      <c r="E378" s="21">
        <f t="shared" si="66"/>
        <v>1</v>
      </c>
      <c r="F378" s="667"/>
      <c r="G378" s="21">
        <f t="shared" si="67"/>
        <v>1</v>
      </c>
      <c r="H378" s="667"/>
      <c r="I378" s="21">
        <f t="shared" si="68"/>
        <v>1</v>
      </c>
      <c r="J378" s="667"/>
      <c r="K378" s="21">
        <f t="shared" si="69"/>
        <v>1</v>
      </c>
      <c r="L378" s="667"/>
      <c r="M378" s="21">
        <f t="shared" si="70"/>
        <v>1</v>
      </c>
      <c r="N378" s="667"/>
      <c r="O378" s="21">
        <f t="shared" si="71"/>
        <v>1</v>
      </c>
      <c r="P378" s="667"/>
      <c r="Q378" s="21">
        <f t="shared" si="72"/>
        <v>1</v>
      </c>
      <c r="R378" s="663">
        <f t="shared" si="73"/>
        <v>0</v>
      </c>
      <c r="S378" s="316">
        <f t="shared" si="64"/>
        <v>0</v>
      </c>
    </row>
    <row r="379" spans="1:19">
      <c r="A379" s="150"/>
      <c r="B379" s="54"/>
      <c r="C379" s="21">
        <f t="shared" si="65"/>
        <v>1</v>
      </c>
      <c r="D379" s="667"/>
      <c r="E379" s="21">
        <f t="shared" si="66"/>
        <v>1</v>
      </c>
      <c r="F379" s="667"/>
      <c r="G379" s="21">
        <f t="shared" si="67"/>
        <v>1</v>
      </c>
      <c r="H379" s="667"/>
      <c r="I379" s="21">
        <f t="shared" si="68"/>
        <v>1</v>
      </c>
      <c r="J379" s="667"/>
      <c r="K379" s="21">
        <f t="shared" si="69"/>
        <v>1</v>
      </c>
      <c r="L379" s="667"/>
      <c r="M379" s="21">
        <f t="shared" si="70"/>
        <v>1</v>
      </c>
      <c r="N379" s="667"/>
      <c r="O379" s="21">
        <f t="shared" si="71"/>
        <v>1</v>
      </c>
      <c r="P379" s="667"/>
      <c r="Q379" s="21">
        <f t="shared" si="72"/>
        <v>1</v>
      </c>
      <c r="R379" s="663">
        <f t="shared" si="73"/>
        <v>0</v>
      </c>
      <c r="S379" s="316">
        <f t="shared" si="64"/>
        <v>0</v>
      </c>
    </row>
    <row r="380" spans="1:19">
      <c r="A380" s="150"/>
      <c r="B380" s="54"/>
      <c r="C380" s="21">
        <f t="shared" si="65"/>
        <v>1</v>
      </c>
      <c r="D380" s="667"/>
      <c r="E380" s="21">
        <f t="shared" si="66"/>
        <v>1</v>
      </c>
      <c r="F380" s="667"/>
      <c r="G380" s="21">
        <f t="shared" si="67"/>
        <v>1</v>
      </c>
      <c r="H380" s="667"/>
      <c r="I380" s="21">
        <f t="shared" si="68"/>
        <v>1</v>
      </c>
      <c r="J380" s="667"/>
      <c r="K380" s="21">
        <f t="shared" si="69"/>
        <v>1</v>
      </c>
      <c r="L380" s="667"/>
      <c r="M380" s="21">
        <f t="shared" si="70"/>
        <v>1</v>
      </c>
      <c r="N380" s="667"/>
      <c r="O380" s="21">
        <f t="shared" si="71"/>
        <v>1</v>
      </c>
      <c r="P380" s="667"/>
      <c r="Q380" s="21">
        <f t="shared" si="72"/>
        <v>1</v>
      </c>
      <c r="R380" s="663">
        <f t="shared" si="73"/>
        <v>0</v>
      </c>
      <c r="S380" s="316">
        <f t="shared" si="64"/>
        <v>0</v>
      </c>
    </row>
    <row r="381" spans="1:19">
      <c r="A381" s="150"/>
      <c r="B381" s="54"/>
      <c r="C381" s="21">
        <f t="shared" si="65"/>
        <v>1</v>
      </c>
      <c r="D381" s="667"/>
      <c r="E381" s="21">
        <f t="shared" si="66"/>
        <v>1</v>
      </c>
      <c r="F381" s="667"/>
      <c r="G381" s="21">
        <f t="shared" si="67"/>
        <v>1</v>
      </c>
      <c r="H381" s="667"/>
      <c r="I381" s="21">
        <f t="shared" si="68"/>
        <v>1</v>
      </c>
      <c r="J381" s="667"/>
      <c r="K381" s="21">
        <f t="shared" si="69"/>
        <v>1</v>
      </c>
      <c r="L381" s="667"/>
      <c r="M381" s="21">
        <f t="shared" si="70"/>
        <v>1</v>
      </c>
      <c r="N381" s="667"/>
      <c r="O381" s="21">
        <f t="shared" si="71"/>
        <v>1</v>
      </c>
      <c r="P381" s="667"/>
      <c r="Q381" s="21">
        <f t="shared" si="72"/>
        <v>1</v>
      </c>
      <c r="R381" s="663">
        <f t="shared" si="73"/>
        <v>0</v>
      </c>
      <c r="S381" s="316">
        <f t="shared" si="64"/>
        <v>0</v>
      </c>
    </row>
    <row r="382" spans="1:19">
      <c r="A382" s="150"/>
      <c r="B382" s="54"/>
      <c r="C382" s="21">
        <f t="shared" si="65"/>
        <v>1</v>
      </c>
      <c r="D382" s="667"/>
      <c r="E382" s="21">
        <f t="shared" si="66"/>
        <v>1</v>
      </c>
      <c r="F382" s="667"/>
      <c r="G382" s="21">
        <f t="shared" si="67"/>
        <v>1</v>
      </c>
      <c r="H382" s="667"/>
      <c r="I382" s="21">
        <f t="shared" si="68"/>
        <v>1</v>
      </c>
      <c r="J382" s="667"/>
      <c r="K382" s="21">
        <f t="shared" si="69"/>
        <v>1</v>
      </c>
      <c r="L382" s="667"/>
      <c r="M382" s="21">
        <f t="shared" si="70"/>
        <v>1</v>
      </c>
      <c r="N382" s="667"/>
      <c r="O382" s="21">
        <f t="shared" si="71"/>
        <v>1</v>
      </c>
      <c r="P382" s="667"/>
      <c r="Q382" s="21">
        <f t="shared" si="72"/>
        <v>1</v>
      </c>
      <c r="R382" s="663">
        <f t="shared" si="73"/>
        <v>0</v>
      </c>
      <c r="S382" s="316">
        <f t="shared" si="64"/>
        <v>0</v>
      </c>
    </row>
    <row r="383" spans="1:19">
      <c r="A383" s="150"/>
      <c r="B383" s="54"/>
      <c r="C383" s="21">
        <f t="shared" si="65"/>
        <v>1</v>
      </c>
      <c r="D383" s="667"/>
      <c r="E383" s="21">
        <f t="shared" si="66"/>
        <v>1</v>
      </c>
      <c r="F383" s="667"/>
      <c r="G383" s="21">
        <f t="shared" si="67"/>
        <v>1</v>
      </c>
      <c r="H383" s="667"/>
      <c r="I383" s="21">
        <f t="shared" si="68"/>
        <v>1</v>
      </c>
      <c r="J383" s="667"/>
      <c r="K383" s="21">
        <f t="shared" si="69"/>
        <v>1</v>
      </c>
      <c r="L383" s="667"/>
      <c r="M383" s="21">
        <f t="shared" si="70"/>
        <v>1</v>
      </c>
      <c r="N383" s="667"/>
      <c r="O383" s="21">
        <f t="shared" si="71"/>
        <v>1</v>
      </c>
      <c r="P383" s="667"/>
      <c r="Q383" s="21">
        <f t="shared" si="72"/>
        <v>1</v>
      </c>
      <c r="R383" s="663">
        <f t="shared" si="73"/>
        <v>0</v>
      </c>
      <c r="S383" s="316">
        <f t="shared" si="64"/>
        <v>0</v>
      </c>
    </row>
    <row r="384" spans="1:19">
      <c r="A384" s="150"/>
      <c r="B384" s="54"/>
      <c r="C384" s="21">
        <f t="shared" si="65"/>
        <v>1</v>
      </c>
      <c r="D384" s="667"/>
      <c r="E384" s="21">
        <f t="shared" si="66"/>
        <v>1</v>
      </c>
      <c r="F384" s="667"/>
      <c r="G384" s="21">
        <f t="shared" si="67"/>
        <v>1</v>
      </c>
      <c r="H384" s="667"/>
      <c r="I384" s="21">
        <f t="shared" si="68"/>
        <v>1</v>
      </c>
      <c r="J384" s="667"/>
      <c r="K384" s="21">
        <f t="shared" si="69"/>
        <v>1</v>
      </c>
      <c r="L384" s="667"/>
      <c r="M384" s="21">
        <f t="shared" si="70"/>
        <v>1</v>
      </c>
      <c r="N384" s="667"/>
      <c r="O384" s="21">
        <f t="shared" si="71"/>
        <v>1</v>
      </c>
      <c r="P384" s="667"/>
      <c r="Q384" s="21">
        <f t="shared" si="72"/>
        <v>1</v>
      </c>
      <c r="R384" s="663">
        <f t="shared" si="73"/>
        <v>0</v>
      </c>
      <c r="S384" s="316">
        <f t="shared" si="64"/>
        <v>0</v>
      </c>
    </row>
    <row r="385" spans="1:19">
      <c r="A385" s="150"/>
      <c r="B385" s="54"/>
      <c r="C385" s="21">
        <f t="shared" si="65"/>
        <v>1</v>
      </c>
      <c r="D385" s="667"/>
      <c r="E385" s="21">
        <f t="shared" si="66"/>
        <v>1</v>
      </c>
      <c r="F385" s="667"/>
      <c r="G385" s="21">
        <f t="shared" si="67"/>
        <v>1</v>
      </c>
      <c r="H385" s="667"/>
      <c r="I385" s="21">
        <f t="shared" si="68"/>
        <v>1</v>
      </c>
      <c r="J385" s="667"/>
      <c r="K385" s="21">
        <f t="shared" si="69"/>
        <v>1</v>
      </c>
      <c r="L385" s="667"/>
      <c r="M385" s="21">
        <f t="shared" si="70"/>
        <v>1</v>
      </c>
      <c r="N385" s="667"/>
      <c r="O385" s="21">
        <f t="shared" si="71"/>
        <v>1</v>
      </c>
      <c r="P385" s="667"/>
      <c r="Q385" s="21">
        <f t="shared" si="72"/>
        <v>1</v>
      </c>
      <c r="R385" s="663">
        <f t="shared" si="73"/>
        <v>0</v>
      </c>
      <c r="S385" s="316">
        <f t="shared" ref="S385:S422" si="74">ROUND(R385*B385/10000,0)</f>
        <v>0</v>
      </c>
    </row>
    <row r="386" spans="1:19">
      <c r="A386" s="150"/>
      <c r="B386" s="54"/>
      <c r="C386" s="21">
        <f t="shared" si="65"/>
        <v>1</v>
      </c>
      <c r="D386" s="667"/>
      <c r="E386" s="21">
        <f t="shared" si="66"/>
        <v>1</v>
      </c>
      <c r="F386" s="667"/>
      <c r="G386" s="21">
        <f t="shared" si="67"/>
        <v>1</v>
      </c>
      <c r="H386" s="667"/>
      <c r="I386" s="21">
        <f t="shared" si="68"/>
        <v>1</v>
      </c>
      <c r="J386" s="667"/>
      <c r="K386" s="21">
        <f t="shared" si="69"/>
        <v>1</v>
      </c>
      <c r="L386" s="667"/>
      <c r="M386" s="21">
        <f t="shared" si="70"/>
        <v>1</v>
      </c>
      <c r="N386" s="667"/>
      <c r="O386" s="21">
        <f t="shared" si="71"/>
        <v>1</v>
      </c>
      <c r="P386" s="667"/>
      <c r="Q386" s="21">
        <f t="shared" si="72"/>
        <v>1</v>
      </c>
      <c r="R386" s="663">
        <f t="shared" si="73"/>
        <v>0</v>
      </c>
      <c r="S386" s="316">
        <f t="shared" si="74"/>
        <v>0</v>
      </c>
    </row>
    <row r="387" spans="1:19">
      <c r="A387" s="150"/>
      <c r="B387" s="54"/>
      <c r="C387" s="21">
        <f t="shared" si="65"/>
        <v>1</v>
      </c>
      <c r="D387" s="667"/>
      <c r="E387" s="21">
        <f t="shared" si="66"/>
        <v>1</v>
      </c>
      <c r="F387" s="667"/>
      <c r="G387" s="21">
        <f t="shared" si="67"/>
        <v>1</v>
      </c>
      <c r="H387" s="667"/>
      <c r="I387" s="21">
        <f t="shared" si="68"/>
        <v>1</v>
      </c>
      <c r="J387" s="667"/>
      <c r="K387" s="21">
        <f t="shared" si="69"/>
        <v>1</v>
      </c>
      <c r="L387" s="667"/>
      <c r="M387" s="21">
        <f t="shared" si="70"/>
        <v>1</v>
      </c>
      <c r="N387" s="667"/>
      <c r="O387" s="21">
        <f t="shared" si="71"/>
        <v>1</v>
      </c>
      <c r="P387" s="667"/>
      <c r="Q387" s="21">
        <f t="shared" si="72"/>
        <v>1</v>
      </c>
      <c r="R387" s="663">
        <f t="shared" si="73"/>
        <v>0</v>
      </c>
      <c r="S387" s="316">
        <f t="shared" si="74"/>
        <v>0</v>
      </c>
    </row>
    <row r="388" spans="1:19">
      <c r="A388" s="150"/>
      <c r="B388" s="54"/>
      <c r="C388" s="21">
        <f t="shared" si="65"/>
        <v>1</v>
      </c>
      <c r="D388" s="667"/>
      <c r="E388" s="21">
        <f t="shared" si="66"/>
        <v>1</v>
      </c>
      <c r="F388" s="667"/>
      <c r="G388" s="21">
        <f t="shared" si="67"/>
        <v>1</v>
      </c>
      <c r="H388" s="667"/>
      <c r="I388" s="21">
        <f t="shared" si="68"/>
        <v>1</v>
      </c>
      <c r="J388" s="667"/>
      <c r="K388" s="21">
        <f t="shared" si="69"/>
        <v>1</v>
      </c>
      <c r="L388" s="667"/>
      <c r="M388" s="21">
        <f t="shared" si="70"/>
        <v>1</v>
      </c>
      <c r="N388" s="667"/>
      <c r="O388" s="21">
        <f t="shared" si="71"/>
        <v>1</v>
      </c>
      <c r="P388" s="667"/>
      <c r="Q388" s="21">
        <f t="shared" si="72"/>
        <v>1</v>
      </c>
      <c r="R388" s="663">
        <f t="shared" si="73"/>
        <v>0</v>
      </c>
      <c r="S388" s="316">
        <f t="shared" si="74"/>
        <v>0</v>
      </c>
    </row>
    <row r="389" spans="1:19">
      <c r="A389" s="150"/>
      <c r="B389" s="54"/>
      <c r="C389" s="21">
        <f t="shared" si="65"/>
        <v>1</v>
      </c>
      <c r="D389" s="667"/>
      <c r="E389" s="21">
        <f t="shared" si="66"/>
        <v>1</v>
      </c>
      <c r="F389" s="667"/>
      <c r="G389" s="21">
        <f t="shared" si="67"/>
        <v>1</v>
      </c>
      <c r="H389" s="667"/>
      <c r="I389" s="21">
        <f t="shared" si="68"/>
        <v>1</v>
      </c>
      <c r="J389" s="667"/>
      <c r="K389" s="21">
        <f t="shared" si="69"/>
        <v>1</v>
      </c>
      <c r="L389" s="667"/>
      <c r="M389" s="21">
        <f t="shared" si="70"/>
        <v>1</v>
      </c>
      <c r="N389" s="667"/>
      <c r="O389" s="21">
        <f t="shared" si="71"/>
        <v>1</v>
      </c>
      <c r="P389" s="667"/>
      <c r="Q389" s="21">
        <f t="shared" si="72"/>
        <v>1</v>
      </c>
      <c r="R389" s="663">
        <f t="shared" si="73"/>
        <v>0</v>
      </c>
      <c r="S389" s="316">
        <f t="shared" si="74"/>
        <v>0</v>
      </c>
    </row>
    <row r="390" spans="1:19">
      <c r="A390" s="150"/>
      <c r="B390" s="54"/>
      <c r="C390" s="21">
        <f t="shared" si="65"/>
        <v>1</v>
      </c>
      <c r="D390" s="667"/>
      <c r="E390" s="21">
        <f t="shared" si="66"/>
        <v>1</v>
      </c>
      <c r="F390" s="667"/>
      <c r="G390" s="21">
        <f t="shared" si="67"/>
        <v>1</v>
      </c>
      <c r="H390" s="667"/>
      <c r="I390" s="21">
        <f t="shared" si="68"/>
        <v>1</v>
      </c>
      <c r="J390" s="667"/>
      <c r="K390" s="21">
        <f t="shared" si="69"/>
        <v>1</v>
      </c>
      <c r="L390" s="667"/>
      <c r="M390" s="21">
        <f t="shared" si="70"/>
        <v>1</v>
      </c>
      <c r="N390" s="667"/>
      <c r="O390" s="21">
        <f t="shared" si="71"/>
        <v>1</v>
      </c>
      <c r="P390" s="667"/>
      <c r="Q390" s="21">
        <f t="shared" si="72"/>
        <v>1</v>
      </c>
      <c r="R390" s="663">
        <f t="shared" si="73"/>
        <v>0</v>
      </c>
      <c r="S390" s="316">
        <f t="shared" si="74"/>
        <v>0</v>
      </c>
    </row>
    <row r="391" spans="1:19">
      <c r="A391" s="150"/>
      <c r="B391" s="54"/>
      <c r="C391" s="21">
        <f t="shared" si="65"/>
        <v>1</v>
      </c>
      <c r="D391" s="667"/>
      <c r="E391" s="21">
        <f t="shared" si="66"/>
        <v>1</v>
      </c>
      <c r="F391" s="667"/>
      <c r="G391" s="21">
        <f t="shared" si="67"/>
        <v>1</v>
      </c>
      <c r="H391" s="667"/>
      <c r="I391" s="21">
        <f t="shared" si="68"/>
        <v>1</v>
      </c>
      <c r="J391" s="667"/>
      <c r="K391" s="21">
        <f t="shared" si="69"/>
        <v>1</v>
      </c>
      <c r="L391" s="667"/>
      <c r="M391" s="21">
        <f t="shared" si="70"/>
        <v>1</v>
      </c>
      <c r="N391" s="667"/>
      <c r="O391" s="21">
        <f t="shared" si="71"/>
        <v>1</v>
      </c>
      <c r="P391" s="667"/>
      <c r="Q391" s="21">
        <f t="shared" si="72"/>
        <v>1</v>
      </c>
      <c r="R391" s="663">
        <f t="shared" si="73"/>
        <v>0</v>
      </c>
      <c r="S391" s="316">
        <f t="shared" si="74"/>
        <v>0</v>
      </c>
    </row>
    <row r="392" spans="1:19">
      <c r="A392" s="150"/>
      <c r="B392" s="54"/>
      <c r="C392" s="21">
        <f t="shared" si="65"/>
        <v>1</v>
      </c>
      <c r="D392" s="667"/>
      <c r="E392" s="21">
        <f t="shared" si="66"/>
        <v>1</v>
      </c>
      <c r="F392" s="667"/>
      <c r="G392" s="21">
        <f t="shared" si="67"/>
        <v>1</v>
      </c>
      <c r="H392" s="667"/>
      <c r="I392" s="21">
        <f t="shared" si="68"/>
        <v>1</v>
      </c>
      <c r="J392" s="667"/>
      <c r="K392" s="21">
        <f t="shared" si="69"/>
        <v>1</v>
      </c>
      <c r="L392" s="667"/>
      <c r="M392" s="21">
        <f t="shared" si="70"/>
        <v>1</v>
      </c>
      <c r="N392" s="667"/>
      <c r="O392" s="21">
        <f t="shared" si="71"/>
        <v>1</v>
      </c>
      <c r="P392" s="667"/>
      <c r="Q392" s="21">
        <f t="shared" si="72"/>
        <v>1</v>
      </c>
      <c r="R392" s="663">
        <f t="shared" si="73"/>
        <v>0</v>
      </c>
      <c r="S392" s="316">
        <f t="shared" si="74"/>
        <v>0</v>
      </c>
    </row>
    <row r="393" spans="1:19">
      <c r="A393" s="150"/>
      <c r="B393" s="54"/>
      <c r="C393" s="21">
        <f t="shared" si="65"/>
        <v>1</v>
      </c>
      <c r="D393" s="667"/>
      <c r="E393" s="21">
        <f t="shared" si="66"/>
        <v>1</v>
      </c>
      <c r="F393" s="667"/>
      <c r="G393" s="21">
        <f t="shared" si="67"/>
        <v>1</v>
      </c>
      <c r="H393" s="667"/>
      <c r="I393" s="21">
        <f t="shared" si="68"/>
        <v>1</v>
      </c>
      <c r="J393" s="667"/>
      <c r="K393" s="21">
        <f t="shared" si="69"/>
        <v>1</v>
      </c>
      <c r="L393" s="667"/>
      <c r="M393" s="21">
        <f t="shared" si="70"/>
        <v>1</v>
      </c>
      <c r="N393" s="667"/>
      <c r="O393" s="21">
        <f t="shared" si="71"/>
        <v>1</v>
      </c>
      <c r="P393" s="667"/>
      <c r="Q393" s="21">
        <f t="shared" si="72"/>
        <v>1</v>
      </c>
      <c r="R393" s="663">
        <f t="shared" si="73"/>
        <v>0</v>
      </c>
      <c r="S393" s="316">
        <f t="shared" si="74"/>
        <v>0</v>
      </c>
    </row>
    <row r="394" spans="1:19">
      <c r="A394" s="150"/>
      <c r="B394" s="54"/>
      <c r="C394" s="21">
        <f t="shared" si="65"/>
        <v>1</v>
      </c>
      <c r="D394" s="667"/>
      <c r="E394" s="21">
        <f t="shared" si="66"/>
        <v>1</v>
      </c>
      <c r="F394" s="667"/>
      <c r="G394" s="21">
        <f t="shared" si="67"/>
        <v>1</v>
      </c>
      <c r="H394" s="667"/>
      <c r="I394" s="21">
        <f t="shared" si="68"/>
        <v>1</v>
      </c>
      <c r="J394" s="667"/>
      <c r="K394" s="21">
        <f t="shared" si="69"/>
        <v>1</v>
      </c>
      <c r="L394" s="667"/>
      <c r="M394" s="21">
        <f t="shared" si="70"/>
        <v>1</v>
      </c>
      <c r="N394" s="667"/>
      <c r="O394" s="21">
        <f t="shared" si="71"/>
        <v>1</v>
      </c>
      <c r="P394" s="667"/>
      <c r="Q394" s="21">
        <f t="shared" si="72"/>
        <v>1</v>
      </c>
      <c r="R394" s="663">
        <f t="shared" si="73"/>
        <v>0</v>
      </c>
      <c r="S394" s="316">
        <f t="shared" si="74"/>
        <v>0</v>
      </c>
    </row>
    <row r="395" spans="1:19">
      <c r="A395" s="150"/>
      <c r="B395" s="54"/>
      <c r="C395" s="21">
        <f t="shared" si="65"/>
        <v>1</v>
      </c>
      <c r="D395" s="667"/>
      <c r="E395" s="21">
        <f t="shared" si="66"/>
        <v>1</v>
      </c>
      <c r="F395" s="667"/>
      <c r="G395" s="21">
        <f t="shared" si="67"/>
        <v>1</v>
      </c>
      <c r="H395" s="667"/>
      <c r="I395" s="21">
        <f t="shared" si="68"/>
        <v>1</v>
      </c>
      <c r="J395" s="667"/>
      <c r="K395" s="21">
        <f t="shared" si="69"/>
        <v>1</v>
      </c>
      <c r="L395" s="667"/>
      <c r="M395" s="21">
        <f t="shared" si="70"/>
        <v>1</v>
      </c>
      <c r="N395" s="667"/>
      <c r="O395" s="21">
        <f t="shared" si="71"/>
        <v>1</v>
      </c>
      <c r="P395" s="667"/>
      <c r="Q395" s="21">
        <f t="shared" si="72"/>
        <v>1</v>
      </c>
      <c r="R395" s="663">
        <f t="shared" si="73"/>
        <v>0</v>
      </c>
      <c r="S395" s="316">
        <f t="shared" si="74"/>
        <v>0</v>
      </c>
    </row>
    <row r="396" spans="1:19">
      <c r="A396" s="150"/>
      <c r="B396" s="54"/>
      <c r="C396" s="21">
        <f t="shared" si="65"/>
        <v>1</v>
      </c>
      <c r="D396" s="667"/>
      <c r="E396" s="21">
        <f t="shared" si="66"/>
        <v>1</v>
      </c>
      <c r="F396" s="667"/>
      <c r="G396" s="21">
        <f t="shared" si="67"/>
        <v>1</v>
      </c>
      <c r="H396" s="667"/>
      <c r="I396" s="21">
        <f t="shared" si="68"/>
        <v>1</v>
      </c>
      <c r="J396" s="667"/>
      <c r="K396" s="21">
        <f t="shared" si="69"/>
        <v>1</v>
      </c>
      <c r="L396" s="667"/>
      <c r="M396" s="21">
        <f t="shared" si="70"/>
        <v>1</v>
      </c>
      <c r="N396" s="667"/>
      <c r="O396" s="21">
        <f t="shared" si="71"/>
        <v>1</v>
      </c>
      <c r="P396" s="667"/>
      <c r="Q396" s="21">
        <f t="shared" si="72"/>
        <v>1</v>
      </c>
      <c r="R396" s="663">
        <f t="shared" si="73"/>
        <v>0</v>
      </c>
      <c r="S396" s="316">
        <f t="shared" si="74"/>
        <v>0</v>
      </c>
    </row>
    <row r="397" spans="1:19">
      <c r="A397" s="150"/>
      <c r="B397" s="54"/>
      <c r="C397" s="21">
        <f t="shared" si="65"/>
        <v>1</v>
      </c>
      <c r="D397" s="667"/>
      <c r="E397" s="21">
        <f t="shared" si="66"/>
        <v>1</v>
      </c>
      <c r="F397" s="667"/>
      <c r="G397" s="21">
        <f t="shared" si="67"/>
        <v>1</v>
      </c>
      <c r="H397" s="667"/>
      <c r="I397" s="21">
        <f t="shared" si="68"/>
        <v>1</v>
      </c>
      <c r="J397" s="667"/>
      <c r="K397" s="21">
        <f t="shared" si="69"/>
        <v>1</v>
      </c>
      <c r="L397" s="667"/>
      <c r="M397" s="21">
        <f t="shared" si="70"/>
        <v>1</v>
      </c>
      <c r="N397" s="667"/>
      <c r="O397" s="21">
        <f t="shared" si="71"/>
        <v>1</v>
      </c>
      <c r="P397" s="667"/>
      <c r="Q397" s="21">
        <f t="shared" si="72"/>
        <v>1</v>
      </c>
      <c r="R397" s="663">
        <f t="shared" si="73"/>
        <v>0</v>
      </c>
      <c r="S397" s="316">
        <f t="shared" si="74"/>
        <v>0</v>
      </c>
    </row>
    <row r="398" spans="1:19">
      <c r="A398" s="150"/>
      <c r="B398" s="54"/>
      <c r="C398" s="21">
        <f t="shared" si="65"/>
        <v>1</v>
      </c>
      <c r="D398" s="667"/>
      <c r="E398" s="21">
        <f t="shared" si="66"/>
        <v>1</v>
      </c>
      <c r="F398" s="667"/>
      <c r="G398" s="21">
        <f t="shared" si="67"/>
        <v>1</v>
      </c>
      <c r="H398" s="667"/>
      <c r="I398" s="21">
        <f t="shared" si="68"/>
        <v>1</v>
      </c>
      <c r="J398" s="667"/>
      <c r="K398" s="21">
        <f t="shared" si="69"/>
        <v>1</v>
      </c>
      <c r="L398" s="667"/>
      <c r="M398" s="21">
        <f t="shared" si="70"/>
        <v>1</v>
      </c>
      <c r="N398" s="667"/>
      <c r="O398" s="21">
        <f t="shared" si="71"/>
        <v>1</v>
      </c>
      <c r="P398" s="667"/>
      <c r="Q398" s="21">
        <f t="shared" si="72"/>
        <v>1</v>
      </c>
      <c r="R398" s="663">
        <f t="shared" si="73"/>
        <v>0</v>
      </c>
      <c r="S398" s="316">
        <f t="shared" si="74"/>
        <v>0</v>
      </c>
    </row>
    <row r="399" spans="1:19">
      <c r="A399" s="150"/>
      <c r="B399" s="54"/>
      <c r="C399" s="21">
        <f t="shared" si="65"/>
        <v>1</v>
      </c>
      <c r="D399" s="667"/>
      <c r="E399" s="21">
        <f t="shared" si="66"/>
        <v>1</v>
      </c>
      <c r="F399" s="667"/>
      <c r="G399" s="21">
        <f t="shared" si="67"/>
        <v>1</v>
      </c>
      <c r="H399" s="667"/>
      <c r="I399" s="21">
        <f t="shared" si="68"/>
        <v>1</v>
      </c>
      <c r="J399" s="667"/>
      <c r="K399" s="21">
        <f t="shared" si="69"/>
        <v>1</v>
      </c>
      <c r="L399" s="667"/>
      <c r="M399" s="21">
        <f t="shared" si="70"/>
        <v>1</v>
      </c>
      <c r="N399" s="667"/>
      <c r="O399" s="21">
        <f t="shared" si="71"/>
        <v>1</v>
      </c>
      <c r="P399" s="667"/>
      <c r="Q399" s="21">
        <f t="shared" si="72"/>
        <v>1</v>
      </c>
      <c r="R399" s="663">
        <f t="shared" si="73"/>
        <v>0</v>
      </c>
      <c r="S399" s="316">
        <f t="shared" si="74"/>
        <v>0</v>
      </c>
    </row>
    <row r="400" spans="1:19">
      <c r="A400" s="150"/>
      <c r="B400" s="54"/>
      <c r="C400" s="21">
        <f t="shared" si="65"/>
        <v>1</v>
      </c>
      <c r="D400" s="667"/>
      <c r="E400" s="21">
        <f t="shared" si="66"/>
        <v>1</v>
      </c>
      <c r="F400" s="667"/>
      <c r="G400" s="21">
        <f t="shared" si="67"/>
        <v>1</v>
      </c>
      <c r="H400" s="667"/>
      <c r="I400" s="21">
        <f t="shared" si="68"/>
        <v>1</v>
      </c>
      <c r="J400" s="667"/>
      <c r="K400" s="21">
        <f t="shared" si="69"/>
        <v>1</v>
      </c>
      <c r="L400" s="667"/>
      <c r="M400" s="21">
        <f t="shared" si="70"/>
        <v>1</v>
      </c>
      <c r="N400" s="667"/>
      <c r="O400" s="21">
        <f t="shared" si="71"/>
        <v>1</v>
      </c>
      <c r="P400" s="667"/>
      <c r="Q400" s="21">
        <f t="shared" si="72"/>
        <v>1</v>
      </c>
      <c r="R400" s="663">
        <f t="shared" si="73"/>
        <v>0</v>
      </c>
      <c r="S400" s="316">
        <f t="shared" si="74"/>
        <v>0</v>
      </c>
    </row>
    <row r="401" spans="1:19">
      <c r="A401" s="150"/>
      <c r="B401" s="54"/>
      <c r="C401" s="21">
        <f t="shared" si="65"/>
        <v>1</v>
      </c>
      <c r="D401" s="667"/>
      <c r="E401" s="21">
        <f t="shared" si="66"/>
        <v>1</v>
      </c>
      <c r="F401" s="667"/>
      <c r="G401" s="21">
        <f t="shared" si="67"/>
        <v>1</v>
      </c>
      <c r="H401" s="667"/>
      <c r="I401" s="21">
        <f t="shared" si="68"/>
        <v>1</v>
      </c>
      <c r="J401" s="667"/>
      <c r="K401" s="21">
        <f t="shared" si="69"/>
        <v>1</v>
      </c>
      <c r="L401" s="667"/>
      <c r="M401" s="21">
        <f t="shared" si="70"/>
        <v>1</v>
      </c>
      <c r="N401" s="667"/>
      <c r="O401" s="21">
        <f t="shared" si="71"/>
        <v>1</v>
      </c>
      <c r="P401" s="667"/>
      <c r="Q401" s="21">
        <f t="shared" si="72"/>
        <v>1</v>
      </c>
      <c r="R401" s="663">
        <f t="shared" si="73"/>
        <v>0</v>
      </c>
      <c r="S401" s="316">
        <f t="shared" si="74"/>
        <v>0</v>
      </c>
    </row>
    <row r="402" spans="1:19">
      <c r="A402" s="150"/>
      <c r="B402" s="54"/>
      <c r="C402" s="21">
        <f t="shared" si="65"/>
        <v>1</v>
      </c>
      <c r="D402" s="667"/>
      <c r="E402" s="21">
        <f t="shared" si="66"/>
        <v>1</v>
      </c>
      <c r="F402" s="667"/>
      <c r="G402" s="21">
        <f t="shared" si="67"/>
        <v>1</v>
      </c>
      <c r="H402" s="667"/>
      <c r="I402" s="21">
        <f t="shared" si="68"/>
        <v>1</v>
      </c>
      <c r="J402" s="667"/>
      <c r="K402" s="21">
        <f t="shared" si="69"/>
        <v>1</v>
      </c>
      <c r="L402" s="667"/>
      <c r="M402" s="21">
        <f t="shared" si="70"/>
        <v>1</v>
      </c>
      <c r="N402" s="667"/>
      <c r="O402" s="21">
        <f t="shared" si="71"/>
        <v>1</v>
      </c>
      <c r="P402" s="667"/>
      <c r="Q402" s="21">
        <f t="shared" si="72"/>
        <v>1</v>
      </c>
      <c r="R402" s="663">
        <f t="shared" si="73"/>
        <v>0</v>
      </c>
      <c r="S402" s="316">
        <f t="shared" si="74"/>
        <v>0</v>
      </c>
    </row>
    <row r="403" spans="1:19">
      <c r="A403" s="150"/>
      <c r="B403" s="54"/>
      <c r="C403" s="21">
        <f t="shared" si="65"/>
        <v>1</v>
      </c>
      <c r="D403" s="667"/>
      <c r="E403" s="21">
        <f t="shared" si="66"/>
        <v>1</v>
      </c>
      <c r="F403" s="667"/>
      <c r="G403" s="21">
        <f t="shared" si="67"/>
        <v>1</v>
      </c>
      <c r="H403" s="667"/>
      <c r="I403" s="21">
        <f t="shared" si="68"/>
        <v>1</v>
      </c>
      <c r="J403" s="667"/>
      <c r="K403" s="21">
        <f t="shared" si="69"/>
        <v>1</v>
      </c>
      <c r="L403" s="667"/>
      <c r="M403" s="21">
        <f t="shared" si="70"/>
        <v>1</v>
      </c>
      <c r="N403" s="667"/>
      <c r="O403" s="21">
        <f t="shared" si="71"/>
        <v>1</v>
      </c>
      <c r="P403" s="667"/>
      <c r="Q403" s="21">
        <f t="shared" si="72"/>
        <v>1</v>
      </c>
      <c r="R403" s="663">
        <f t="shared" si="73"/>
        <v>0</v>
      </c>
      <c r="S403" s="316">
        <f t="shared" si="74"/>
        <v>0</v>
      </c>
    </row>
    <row r="404" spans="1:19">
      <c r="A404" s="150"/>
      <c r="B404" s="54"/>
      <c r="C404" s="21">
        <f t="shared" si="65"/>
        <v>1</v>
      </c>
      <c r="D404" s="667"/>
      <c r="E404" s="21">
        <f t="shared" si="66"/>
        <v>1</v>
      </c>
      <c r="F404" s="667"/>
      <c r="G404" s="21">
        <f t="shared" si="67"/>
        <v>1</v>
      </c>
      <c r="H404" s="667"/>
      <c r="I404" s="21">
        <f t="shared" si="68"/>
        <v>1</v>
      </c>
      <c r="J404" s="667"/>
      <c r="K404" s="21">
        <f t="shared" si="69"/>
        <v>1</v>
      </c>
      <c r="L404" s="667"/>
      <c r="M404" s="21">
        <f t="shared" si="70"/>
        <v>1</v>
      </c>
      <c r="N404" s="667"/>
      <c r="O404" s="21">
        <f t="shared" si="71"/>
        <v>1</v>
      </c>
      <c r="P404" s="667"/>
      <c r="Q404" s="21">
        <f t="shared" si="72"/>
        <v>1</v>
      </c>
      <c r="R404" s="663">
        <f t="shared" si="73"/>
        <v>0</v>
      </c>
      <c r="S404" s="316">
        <f t="shared" si="74"/>
        <v>0</v>
      </c>
    </row>
    <row r="405" spans="1:19">
      <c r="A405" s="150"/>
      <c r="B405" s="54"/>
      <c r="C405" s="21">
        <f t="shared" si="65"/>
        <v>1</v>
      </c>
      <c r="D405" s="667"/>
      <c r="E405" s="21">
        <f t="shared" si="66"/>
        <v>1</v>
      </c>
      <c r="F405" s="667"/>
      <c r="G405" s="21">
        <f t="shared" si="67"/>
        <v>1</v>
      </c>
      <c r="H405" s="667"/>
      <c r="I405" s="21">
        <f t="shared" si="68"/>
        <v>1</v>
      </c>
      <c r="J405" s="667"/>
      <c r="K405" s="21">
        <f t="shared" si="69"/>
        <v>1</v>
      </c>
      <c r="L405" s="667"/>
      <c r="M405" s="21">
        <f t="shared" si="70"/>
        <v>1</v>
      </c>
      <c r="N405" s="667"/>
      <c r="O405" s="21">
        <f t="shared" si="71"/>
        <v>1</v>
      </c>
      <c r="P405" s="667"/>
      <c r="Q405" s="21">
        <f t="shared" si="72"/>
        <v>1</v>
      </c>
      <c r="R405" s="663">
        <f t="shared" si="73"/>
        <v>0</v>
      </c>
      <c r="S405" s="316">
        <f t="shared" si="74"/>
        <v>0</v>
      </c>
    </row>
    <row r="406" spans="1:19">
      <c r="A406" s="150"/>
      <c r="B406" s="54"/>
      <c r="C406" s="21">
        <f t="shared" si="65"/>
        <v>1</v>
      </c>
      <c r="D406" s="667"/>
      <c r="E406" s="21">
        <f t="shared" si="66"/>
        <v>1</v>
      </c>
      <c r="F406" s="667"/>
      <c r="G406" s="21">
        <f t="shared" si="67"/>
        <v>1</v>
      </c>
      <c r="H406" s="667"/>
      <c r="I406" s="21">
        <f t="shared" si="68"/>
        <v>1</v>
      </c>
      <c r="J406" s="667"/>
      <c r="K406" s="21">
        <f t="shared" si="69"/>
        <v>1</v>
      </c>
      <c r="L406" s="667"/>
      <c r="M406" s="21">
        <f t="shared" si="70"/>
        <v>1</v>
      </c>
      <c r="N406" s="667"/>
      <c r="O406" s="21">
        <f t="shared" si="71"/>
        <v>1</v>
      </c>
      <c r="P406" s="667"/>
      <c r="Q406" s="21">
        <f t="shared" si="72"/>
        <v>1</v>
      </c>
      <c r="R406" s="663">
        <f t="shared" si="73"/>
        <v>0</v>
      </c>
      <c r="S406" s="316">
        <f t="shared" si="74"/>
        <v>0</v>
      </c>
    </row>
    <row r="407" spans="1:19">
      <c r="A407" s="150"/>
      <c r="B407" s="54"/>
      <c r="C407" s="21">
        <f t="shared" si="65"/>
        <v>1</v>
      </c>
      <c r="D407" s="667"/>
      <c r="E407" s="21">
        <f t="shared" si="66"/>
        <v>1</v>
      </c>
      <c r="F407" s="667"/>
      <c r="G407" s="21">
        <f t="shared" si="67"/>
        <v>1</v>
      </c>
      <c r="H407" s="667"/>
      <c r="I407" s="21">
        <f t="shared" si="68"/>
        <v>1</v>
      </c>
      <c r="J407" s="667"/>
      <c r="K407" s="21">
        <f t="shared" si="69"/>
        <v>1</v>
      </c>
      <c r="L407" s="667"/>
      <c r="M407" s="21">
        <f t="shared" si="70"/>
        <v>1</v>
      </c>
      <c r="N407" s="667"/>
      <c r="O407" s="21">
        <f t="shared" si="71"/>
        <v>1</v>
      </c>
      <c r="P407" s="667"/>
      <c r="Q407" s="21">
        <f t="shared" si="72"/>
        <v>1</v>
      </c>
      <c r="R407" s="663">
        <f t="shared" si="73"/>
        <v>0</v>
      </c>
      <c r="S407" s="316">
        <f t="shared" si="74"/>
        <v>0</v>
      </c>
    </row>
    <row r="408" spans="1:19">
      <c r="A408" s="150"/>
      <c r="B408" s="54"/>
      <c r="C408" s="21">
        <f t="shared" si="65"/>
        <v>1</v>
      </c>
      <c r="D408" s="667"/>
      <c r="E408" s="21">
        <f t="shared" si="66"/>
        <v>1</v>
      </c>
      <c r="F408" s="667"/>
      <c r="G408" s="21">
        <f t="shared" si="67"/>
        <v>1</v>
      </c>
      <c r="H408" s="667"/>
      <c r="I408" s="21">
        <f t="shared" si="68"/>
        <v>1</v>
      </c>
      <c r="J408" s="667"/>
      <c r="K408" s="21">
        <f t="shared" si="69"/>
        <v>1</v>
      </c>
      <c r="L408" s="667"/>
      <c r="M408" s="21">
        <f t="shared" si="70"/>
        <v>1</v>
      </c>
      <c r="N408" s="667"/>
      <c r="O408" s="21">
        <f t="shared" si="71"/>
        <v>1</v>
      </c>
      <c r="P408" s="667"/>
      <c r="Q408" s="21">
        <f t="shared" si="72"/>
        <v>1</v>
      </c>
      <c r="R408" s="663">
        <f t="shared" si="73"/>
        <v>0</v>
      </c>
      <c r="S408" s="316">
        <f t="shared" si="74"/>
        <v>0</v>
      </c>
    </row>
    <row r="409" spans="1:19">
      <c r="A409" s="150"/>
      <c r="B409" s="54"/>
      <c r="C409" s="21">
        <f t="shared" si="65"/>
        <v>1</v>
      </c>
      <c r="D409" s="667"/>
      <c r="E409" s="21">
        <f t="shared" si="66"/>
        <v>1</v>
      </c>
      <c r="F409" s="667"/>
      <c r="G409" s="21">
        <f t="shared" si="67"/>
        <v>1</v>
      </c>
      <c r="H409" s="667"/>
      <c r="I409" s="21">
        <f t="shared" si="68"/>
        <v>1</v>
      </c>
      <c r="J409" s="667"/>
      <c r="K409" s="21">
        <f t="shared" si="69"/>
        <v>1</v>
      </c>
      <c r="L409" s="667"/>
      <c r="M409" s="21">
        <f t="shared" si="70"/>
        <v>1</v>
      </c>
      <c r="N409" s="667"/>
      <c r="O409" s="21">
        <f t="shared" si="71"/>
        <v>1</v>
      </c>
      <c r="P409" s="667"/>
      <c r="Q409" s="21">
        <f t="shared" si="72"/>
        <v>1</v>
      </c>
      <c r="R409" s="663">
        <f t="shared" si="73"/>
        <v>0</v>
      </c>
      <c r="S409" s="316">
        <f t="shared" si="74"/>
        <v>0</v>
      </c>
    </row>
    <row r="410" spans="1:19">
      <c r="A410" s="150"/>
      <c r="B410" s="54"/>
      <c r="C410" s="21">
        <f t="shared" ref="C410:C473" si="75">IF(B410="",1,(LOOKUP(B410,$3:$3,$4:$4)-LOOKUP($B$24,$3:$3,$4:$4)+100)/100)</f>
        <v>1</v>
      </c>
      <c r="D410" s="667"/>
      <c r="E410" s="21">
        <f t="shared" ref="E410:E473" si="76">(SUMIF($5:$5,D410,$6:$6)-SUMIF($5:$5,$D$24,$6:$6)+100)/100</f>
        <v>1</v>
      </c>
      <c r="F410" s="667"/>
      <c r="G410" s="21">
        <f t="shared" ref="G410:G473" si="77">(SUMIF($7:$7,F410,$8:$8)-SUMIF($7:$7,$F$24,$8:$8)+100)/100</f>
        <v>1</v>
      </c>
      <c r="H410" s="667"/>
      <c r="I410" s="21">
        <f t="shared" ref="I410:I473" si="78">(SUMIF($9:$9,H410,$10:$10)-SUMIF($9:$9,$H$24,$10:$10)+100)/100</f>
        <v>1</v>
      </c>
      <c r="J410" s="667"/>
      <c r="K410" s="21">
        <f t="shared" ref="K410:K473" si="79">(SUMIF($11:$11,J410,$12:$12)-SUMIF($11:$11,$J$24,$12:$12)+100)/100</f>
        <v>1</v>
      </c>
      <c r="L410" s="667"/>
      <c r="M410" s="21">
        <f t="shared" ref="M410:M473" si="80">(SUMIF($13:$13,L410,$14:$14)-SUMIF($13:$13,$L$24,$14:$14)+100)/100</f>
        <v>1</v>
      </c>
      <c r="N410" s="667"/>
      <c r="O410" s="21">
        <f t="shared" ref="O410:O473" si="81">(SUMIF($15:$15,N410,$16:$16)-SUMIF($15:$15,$N$24,$16:$16)+100)/100</f>
        <v>1</v>
      </c>
      <c r="P410" s="667"/>
      <c r="Q410" s="21">
        <f t="shared" ref="Q410:Q473" si="82">(SUMIF($17:$17,P410,$18:$18)-SUMIF($17:$17,$P$24,$18:$18)+100)/100</f>
        <v>1</v>
      </c>
      <c r="R410" s="663">
        <f t="shared" ref="R410:R473" si="83">IF(B410="",0,ROUND($R$24*C410*E410*G410*I410*K410*M410*O410*Q410,0))</f>
        <v>0</v>
      </c>
      <c r="S410" s="316">
        <f t="shared" si="74"/>
        <v>0</v>
      </c>
    </row>
    <row r="411" spans="1:19">
      <c r="A411" s="150"/>
      <c r="B411" s="54"/>
      <c r="C411" s="21">
        <f t="shared" si="75"/>
        <v>1</v>
      </c>
      <c r="D411" s="667"/>
      <c r="E411" s="21">
        <f t="shared" si="76"/>
        <v>1</v>
      </c>
      <c r="F411" s="667"/>
      <c r="G411" s="21">
        <f t="shared" si="77"/>
        <v>1</v>
      </c>
      <c r="H411" s="667"/>
      <c r="I411" s="21">
        <f t="shared" si="78"/>
        <v>1</v>
      </c>
      <c r="J411" s="667"/>
      <c r="K411" s="21">
        <f t="shared" si="79"/>
        <v>1</v>
      </c>
      <c r="L411" s="667"/>
      <c r="M411" s="21">
        <f t="shared" si="80"/>
        <v>1</v>
      </c>
      <c r="N411" s="667"/>
      <c r="O411" s="21">
        <f t="shared" si="81"/>
        <v>1</v>
      </c>
      <c r="P411" s="667"/>
      <c r="Q411" s="21">
        <f t="shared" si="82"/>
        <v>1</v>
      </c>
      <c r="R411" s="663">
        <f t="shared" si="83"/>
        <v>0</v>
      </c>
      <c r="S411" s="316">
        <f t="shared" si="74"/>
        <v>0</v>
      </c>
    </row>
    <row r="412" spans="1:19">
      <c r="A412" s="150"/>
      <c r="B412" s="54"/>
      <c r="C412" s="21">
        <f t="shared" si="75"/>
        <v>1</v>
      </c>
      <c r="D412" s="667"/>
      <c r="E412" s="21">
        <f t="shared" si="76"/>
        <v>1</v>
      </c>
      <c r="F412" s="667"/>
      <c r="G412" s="21">
        <f t="shared" si="77"/>
        <v>1</v>
      </c>
      <c r="H412" s="667"/>
      <c r="I412" s="21">
        <f t="shared" si="78"/>
        <v>1</v>
      </c>
      <c r="J412" s="667"/>
      <c r="K412" s="21">
        <f t="shared" si="79"/>
        <v>1</v>
      </c>
      <c r="L412" s="667"/>
      <c r="M412" s="21">
        <f t="shared" si="80"/>
        <v>1</v>
      </c>
      <c r="N412" s="667"/>
      <c r="O412" s="21">
        <f t="shared" si="81"/>
        <v>1</v>
      </c>
      <c r="P412" s="667"/>
      <c r="Q412" s="21">
        <f t="shared" si="82"/>
        <v>1</v>
      </c>
      <c r="R412" s="663">
        <f t="shared" si="83"/>
        <v>0</v>
      </c>
      <c r="S412" s="316">
        <f t="shared" si="74"/>
        <v>0</v>
      </c>
    </row>
    <row r="413" spans="1:19">
      <c r="A413" s="150"/>
      <c r="B413" s="54"/>
      <c r="C413" s="21">
        <f t="shared" si="75"/>
        <v>1</v>
      </c>
      <c r="D413" s="667"/>
      <c r="E413" s="21">
        <f t="shared" si="76"/>
        <v>1</v>
      </c>
      <c r="F413" s="667"/>
      <c r="G413" s="21">
        <f t="shared" si="77"/>
        <v>1</v>
      </c>
      <c r="H413" s="667"/>
      <c r="I413" s="21">
        <f t="shared" si="78"/>
        <v>1</v>
      </c>
      <c r="J413" s="667"/>
      <c r="K413" s="21">
        <f t="shared" si="79"/>
        <v>1</v>
      </c>
      <c r="L413" s="667"/>
      <c r="M413" s="21">
        <f t="shared" si="80"/>
        <v>1</v>
      </c>
      <c r="N413" s="667"/>
      <c r="O413" s="21">
        <f t="shared" si="81"/>
        <v>1</v>
      </c>
      <c r="P413" s="667"/>
      <c r="Q413" s="21">
        <f t="shared" si="82"/>
        <v>1</v>
      </c>
      <c r="R413" s="663">
        <f t="shared" si="83"/>
        <v>0</v>
      </c>
      <c r="S413" s="316">
        <f t="shared" si="74"/>
        <v>0</v>
      </c>
    </row>
    <row r="414" spans="1:19">
      <c r="A414" s="150"/>
      <c r="B414" s="54"/>
      <c r="C414" s="21">
        <f t="shared" si="75"/>
        <v>1</v>
      </c>
      <c r="D414" s="667"/>
      <c r="E414" s="21">
        <f t="shared" si="76"/>
        <v>1</v>
      </c>
      <c r="F414" s="667"/>
      <c r="G414" s="21">
        <f t="shared" si="77"/>
        <v>1</v>
      </c>
      <c r="H414" s="667"/>
      <c r="I414" s="21">
        <f t="shared" si="78"/>
        <v>1</v>
      </c>
      <c r="J414" s="667"/>
      <c r="K414" s="21">
        <f t="shared" si="79"/>
        <v>1</v>
      </c>
      <c r="L414" s="667"/>
      <c r="M414" s="21">
        <f t="shared" si="80"/>
        <v>1</v>
      </c>
      <c r="N414" s="667"/>
      <c r="O414" s="21">
        <f t="shared" si="81"/>
        <v>1</v>
      </c>
      <c r="P414" s="667"/>
      <c r="Q414" s="21">
        <f t="shared" si="82"/>
        <v>1</v>
      </c>
      <c r="R414" s="663">
        <f t="shared" si="83"/>
        <v>0</v>
      </c>
      <c r="S414" s="316">
        <f t="shared" si="74"/>
        <v>0</v>
      </c>
    </row>
    <row r="415" spans="1:19">
      <c r="A415" s="150"/>
      <c r="B415" s="54"/>
      <c r="C415" s="21">
        <f t="shared" si="75"/>
        <v>1</v>
      </c>
      <c r="D415" s="667"/>
      <c r="E415" s="21">
        <f t="shared" si="76"/>
        <v>1</v>
      </c>
      <c r="F415" s="667"/>
      <c r="G415" s="21">
        <f t="shared" si="77"/>
        <v>1</v>
      </c>
      <c r="H415" s="667"/>
      <c r="I415" s="21">
        <f t="shared" si="78"/>
        <v>1</v>
      </c>
      <c r="J415" s="667"/>
      <c r="K415" s="21">
        <f t="shared" si="79"/>
        <v>1</v>
      </c>
      <c r="L415" s="667"/>
      <c r="M415" s="21">
        <f t="shared" si="80"/>
        <v>1</v>
      </c>
      <c r="N415" s="667"/>
      <c r="O415" s="21">
        <f t="shared" si="81"/>
        <v>1</v>
      </c>
      <c r="P415" s="667"/>
      <c r="Q415" s="21">
        <f t="shared" si="82"/>
        <v>1</v>
      </c>
      <c r="R415" s="663">
        <f t="shared" si="83"/>
        <v>0</v>
      </c>
      <c r="S415" s="316">
        <f t="shared" si="74"/>
        <v>0</v>
      </c>
    </row>
    <row r="416" spans="1:19">
      <c r="A416" s="150"/>
      <c r="B416" s="54"/>
      <c r="C416" s="21">
        <f t="shared" si="75"/>
        <v>1</v>
      </c>
      <c r="D416" s="667"/>
      <c r="E416" s="21">
        <f t="shared" si="76"/>
        <v>1</v>
      </c>
      <c r="F416" s="667"/>
      <c r="G416" s="21">
        <f t="shared" si="77"/>
        <v>1</v>
      </c>
      <c r="H416" s="667"/>
      <c r="I416" s="21">
        <f t="shared" si="78"/>
        <v>1</v>
      </c>
      <c r="J416" s="667"/>
      <c r="K416" s="21">
        <f t="shared" si="79"/>
        <v>1</v>
      </c>
      <c r="L416" s="667"/>
      <c r="M416" s="21">
        <f t="shared" si="80"/>
        <v>1</v>
      </c>
      <c r="N416" s="667"/>
      <c r="O416" s="21">
        <f t="shared" si="81"/>
        <v>1</v>
      </c>
      <c r="P416" s="667"/>
      <c r="Q416" s="21">
        <f t="shared" si="82"/>
        <v>1</v>
      </c>
      <c r="R416" s="663">
        <f t="shared" si="83"/>
        <v>0</v>
      </c>
      <c r="S416" s="316">
        <f t="shared" si="74"/>
        <v>0</v>
      </c>
    </row>
    <row r="417" spans="1:19">
      <c r="A417" s="150"/>
      <c r="B417" s="54"/>
      <c r="C417" s="21">
        <f t="shared" si="75"/>
        <v>1</v>
      </c>
      <c r="D417" s="667"/>
      <c r="E417" s="21">
        <f t="shared" si="76"/>
        <v>1</v>
      </c>
      <c r="F417" s="667"/>
      <c r="G417" s="21">
        <f t="shared" si="77"/>
        <v>1</v>
      </c>
      <c r="H417" s="667"/>
      <c r="I417" s="21">
        <f t="shared" si="78"/>
        <v>1</v>
      </c>
      <c r="J417" s="667"/>
      <c r="K417" s="21">
        <f t="shared" si="79"/>
        <v>1</v>
      </c>
      <c r="L417" s="667"/>
      <c r="M417" s="21">
        <f t="shared" si="80"/>
        <v>1</v>
      </c>
      <c r="N417" s="667"/>
      <c r="O417" s="21">
        <f t="shared" si="81"/>
        <v>1</v>
      </c>
      <c r="P417" s="667"/>
      <c r="Q417" s="21">
        <f t="shared" si="82"/>
        <v>1</v>
      </c>
      <c r="R417" s="663">
        <f t="shared" si="83"/>
        <v>0</v>
      </c>
      <c r="S417" s="316">
        <f t="shared" si="74"/>
        <v>0</v>
      </c>
    </row>
    <row r="418" spans="1:19">
      <c r="A418" s="150"/>
      <c r="B418" s="54"/>
      <c r="C418" s="21">
        <f t="shared" si="75"/>
        <v>1</v>
      </c>
      <c r="D418" s="667"/>
      <c r="E418" s="21">
        <f t="shared" si="76"/>
        <v>1</v>
      </c>
      <c r="F418" s="667"/>
      <c r="G418" s="21">
        <f t="shared" si="77"/>
        <v>1</v>
      </c>
      <c r="H418" s="667"/>
      <c r="I418" s="21">
        <f t="shared" si="78"/>
        <v>1</v>
      </c>
      <c r="J418" s="667"/>
      <c r="K418" s="21">
        <f t="shared" si="79"/>
        <v>1</v>
      </c>
      <c r="L418" s="667"/>
      <c r="M418" s="21">
        <f t="shared" si="80"/>
        <v>1</v>
      </c>
      <c r="N418" s="667"/>
      <c r="O418" s="21">
        <f t="shared" si="81"/>
        <v>1</v>
      </c>
      <c r="P418" s="667"/>
      <c r="Q418" s="21">
        <f t="shared" si="82"/>
        <v>1</v>
      </c>
      <c r="R418" s="663">
        <f t="shared" si="83"/>
        <v>0</v>
      </c>
      <c r="S418" s="316">
        <f t="shared" si="74"/>
        <v>0</v>
      </c>
    </row>
    <row r="419" spans="1:19">
      <c r="A419" s="150"/>
      <c r="B419" s="54"/>
      <c r="C419" s="21">
        <f t="shared" si="75"/>
        <v>1</v>
      </c>
      <c r="D419" s="667"/>
      <c r="E419" s="21">
        <f t="shared" si="76"/>
        <v>1</v>
      </c>
      <c r="F419" s="667"/>
      <c r="G419" s="21">
        <f t="shared" si="77"/>
        <v>1</v>
      </c>
      <c r="H419" s="667"/>
      <c r="I419" s="21">
        <f t="shared" si="78"/>
        <v>1</v>
      </c>
      <c r="J419" s="667"/>
      <c r="K419" s="21">
        <f t="shared" si="79"/>
        <v>1</v>
      </c>
      <c r="L419" s="667"/>
      <c r="M419" s="21">
        <f t="shared" si="80"/>
        <v>1</v>
      </c>
      <c r="N419" s="667"/>
      <c r="O419" s="21">
        <f t="shared" si="81"/>
        <v>1</v>
      </c>
      <c r="P419" s="667"/>
      <c r="Q419" s="21">
        <f t="shared" si="82"/>
        <v>1</v>
      </c>
      <c r="R419" s="663">
        <f t="shared" si="83"/>
        <v>0</v>
      </c>
      <c r="S419" s="316">
        <f t="shared" si="74"/>
        <v>0</v>
      </c>
    </row>
    <row r="420" spans="1:19">
      <c r="A420" s="150"/>
      <c r="B420" s="54"/>
      <c r="C420" s="21">
        <f t="shared" si="75"/>
        <v>1</v>
      </c>
      <c r="D420" s="667"/>
      <c r="E420" s="21">
        <f t="shared" si="76"/>
        <v>1</v>
      </c>
      <c r="F420" s="667"/>
      <c r="G420" s="21">
        <f t="shared" si="77"/>
        <v>1</v>
      </c>
      <c r="H420" s="667"/>
      <c r="I420" s="21">
        <f t="shared" si="78"/>
        <v>1</v>
      </c>
      <c r="J420" s="667"/>
      <c r="K420" s="21">
        <f t="shared" si="79"/>
        <v>1</v>
      </c>
      <c r="L420" s="667"/>
      <c r="M420" s="21">
        <f t="shared" si="80"/>
        <v>1</v>
      </c>
      <c r="N420" s="667"/>
      <c r="O420" s="21">
        <f t="shared" si="81"/>
        <v>1</v>
      </c>
      <c r="P420" s="667"/>
      <c r="Q420" s="21">
        <f t="shared" si="82"/>
        <v>1</v>
      </c>
      <c r="R420" s="663">
        <f t="shared" si="83"/>
        <v>0</v>
      </c>
      <c r="S420" s="316">
        <f t="shared" si="74"/>
        <v>0</v>
      </c>
    </row>
    <row r="421" spans="1:19">
      <c r="A421" s="150"/>
      <c r="B421" s="54"/>
      <c r="C421" s="21">
        <f t="shared" si="75"/>
        <v>1</v>
      </c>
      <c r="D421" s="667"/>
      <c r="E421" s="21">
        <f t="shared" si="76"/>
        <v>1</v>
      </c>
      <c r="F421" s="667"/>
      <c r="G421" s="21">
        <f t="shared" si="77"/>
        <v>1</v>
      </c>
      <c r="H421" s="667"/>
      <c r="I421" s="21">
        <f t="shared" si="78"/>
        <v>1</v>
      </c>
      <c r="J421" s="667"/>
      <c r="K421" s="21">
        <f t="shared" si="79"/>
        <v>1</v>
      </c>
      <c r="L421" s="667"/>
      <c r="M421" s="21">
        <f t="shared" si="80"/>
        <v>1</v>
      </c>
      <c r="N421" s="667"/>
      <c r="O421" s="21">
        <f t="shared" si="81"/>
        <v>1</v>
      </c>
      <c r="P421" s="667"/>
      <c r="Q421" s="21">
        <f t="shared" si="82"/>
        <v>1</v>
      </c>
      <c r="R421" s="663">
        <f t="shared" si="83"/>
        <v>0</v>
      </c>
      <c r="S421" s="316">
        <f t="shared" si="74"/>
        <v>0</v>
      </c>
    </row>
    <row r="422" spans="1:19">
      <c r="A422" s="150"/>
      <c r="B422" s="54"/>
      <c r="C422" s="21">
        <f t="shared" si="75"/>
        <v>1</v>
      </c>
      <c r="D422" s="667"/>
      <c r="E422" s="21">
        <f t="shared" si="76"/>
        <v>1</v>
      </c>
      <c r="F422" s="667"/>
      <c r="G422" s="21">
        <f t="shared" si="77"/>
        <v>1</v>
      </c>
      <c r="H422" s="667"/>
      <c r="I422" s="21">
        <f t="shared" si="78"/>
        <v>1</v>
      </c>
      <c r="J422" s="667"/>
      <c r="K422" s="21">
        <f t="shared" si="79"/>
        <v>1</v>
      </c>
      <c r="L422" s="667"/>
      <c r="M422" s="21">
        <f t="shared" si="80"/>
        <v>1</v>
      </c>
      <c r="N422" s="667"/>
      <c r="O422" s="21">
        <f t="shared" si="81"/>
        <v>1</v>
      </c>
      <c r="P422" s="667"/>
      <c r="Q422" s="21">
        <f t="shared" si="82"/>
        <v>1</v>
      </c>
      <c r="R422" s="663">
        <f t="shared" si="83"/>
        <v>0</v>
      </c>
      <c r="S422" s="316">
        <f t="shared" si="74"/>
        <v>0</v>
      </c>
    </row>
    <row r="423" spans="1:19">
      <c r="A423" s="150"/>
      <c r="B423" s="54"/>
      <c r="C423" s="21">
        <f t="shared" si="75"/>
        <v>1</v>
      </c>
      <c r="D423" s="667"/>
      <c r="E423" s="21">
        <f t="shared" si="76"/>
        <v>1</v>
      </c>
      <c r="F423" s="667"/>
      <c r="G423" s="21">
        <f t="shared" si="77"/>
        <v>1</v>
      </c>
      <c r="H423" s="667"/>
      <c r="I423" s="21">
        <f t="shared" si="78"/>
        <v>1</v>
      </c>
      <c r="J423" s="667"/>
      <c r="K423" s="21">
        <f t="shared" si="79"/>
        <v>1</v>
      </c>
      <c r="L423" s="667"/>
      <c r="M423" s="21">
        <f t="shared" si="80"/>
        <v>1</v>
      </c>
      <c r="N423" s="667"/>
      <c r="O423" s="21">
        <f t="shared" si="81"/>
        <v>1</v>
      </c>
      <c r="P423" s="667"/>
      <c r="Q423" s="21">
        <f t="shared" si="82"/>
        <v>1</v>
      </c>
      <c r="R423" s="663">
        <f t="shared" si="83"/>
        <v>0</v>
      </c>
      <c r="S423" s="316">
        <f t="shared" ref="S423:S467" si="84">ROUND(R423*B423/10000,0)</f>
        <v>0</v>
      </c>
    </row>
    <row r="424" spans="1:19">
      <c r="A424" s="150"/>
      <c r="B424" s="54"/>
      <c r="C424" s="21">
        <f t="shared" si="75"/>
        <v>1</v>
      </c>
      <c r="D424" s="667"/>
      <c r="E424" s="21">
        <f t="shared" si="76"/>
        <v>1</v>
      </c>
      <c r="F424" s="667"/>
      <c r="G424" s="21">
        <f t="shared" si="77"/>
        <v>1</v>
      </c>
      <c r="H424" s="667"/>
      <c r="I424" s="21">
        <f t="shared" si="78"/>
        <v>1</v>
      </c>
      <c r="J424" s="667"/>
      <c r="K424" s="21">
        <f t="shared" si="79"/>
        <v>1</v>
      </c>
      <c r="L424" s="667"/>
      <c r="M424" s="21">
        <f t="shared" si="80"/>
        <v>1</v>
      </c>
      <c r="N424" s="667"/>
      <c r="O424" s="21">
        <f t="shared" si="81"/>
        <v>1</v>
      </c>
      <c r="P424" s="667"/>
      <c r="Q424" s="21">
        <f t="shared" si="82"/>
        <v>1</v>
      </c>
      <c r="R424" s="663">
        <f t="shared" si="83"/>
        <v>0</v>
      </c>
      <c r="S424" s="316">
        <f t="shared" si="84"/>
        <v>0</v>
      </c>
    </row>
    <row r="425" spans="1:19">
      <c r="A425" s="150"/>
      <c r="B425" s="54"/>
      <c r="C425" s="21">
        <f t="shared" si="75"/>
        <v>1</v>
      </c>
      <c r="D425" s="667"/>
      <c r="E425" s="21">
        <f t="shared" si="76"/>
        <v>1</v>
      </c>
      <c r="F425" s="667"/>
      <c r="G425" s="21">
        <f t="shared" si="77"/>
        <v>1</v>
      </c>
      <c r="H425" s="667"/>
      <c r="I425" s="21">
        <f t="shared" si="78"/>
        <v>1</v>
      </c>
      <c r="J425" s="667"/>
      <c r="K425" s="21">
        <f t="shared" si="79"/>
        <v>1</v>
      </c>
      <c r="L425" s="667"/>
      <c r="M425" s="21">
        <f t="shared" si="80"/>
        <v>1</v>
      </c>
      <c r="N425" s="667"/>
      <c r="O425" s="21">
        <f t="shared" si="81"/>
        <v>1</v>
      </c>
      <c r="P425" s="667"/>
      <c r="Q425" s="21">
        <f t="shared" si="82"/>
        <v>1</v>
      </c>
      <c r="R425" s="663">
        <f t="shared" si="83"/>
        <v>0</v>
      </c>
      <c r="S425" s="316">
        <f t="shared" si="84"/>
        <v>0</v>
      </c>
    </row>
    <row r="426" spans="1:19">
      <c r="A426" s="150"/>
      <c r="B426" s="54"/>
      <c r="C426" s="21">
        <f t="shared" si="75"/>
        <v>1</v>
      </c>
      <c r="D426" s="667"/>
      <c r="E426" s="21">
        <f t="shared" si="76"/>
        <v>1</v>
      </c>
      <c r="F426" s="667"/>
      <c r="G426" s="21">
        <f t="shared" si="77"/>
        <v>1</v>
      </c>
      <c r="H426" s="667"/>
      <c r="I426" s="21">
        <f t="shared" si="78"/>
        <v>1</v>
      </c>
      <c r="J426" s="667"/>
      <c r="K426" s="21">
        <f t="shared" si="79"/>
        <v>1</v>
      </c>
      <c r="L426" s="667"/>
      <c r="M426" s="21">
        <f t="shared" si="80"/>
        <v>1</v>
      </c>
      <c r="N426" s="667"/>
      <c r="O426" s="21">
        <f t="shared" si="81"/>
        <v>1</v>
      </c>
      <c r="P426" s="667"/>
      <c r="Q426" s="21">
        <f t="shared" si="82"/>
        <v>1</v>
      </c>
      <c r="R426" s="663">
        <f t="shared" si="83"/>
        <v>0</v>
      </c>
      <c r="S426" s="316">
        <f t="shared" si="84"/>
        <v>0</v>
      </c>
    </row>
    <row r="427" spans="1:19">
      <c r="A427" s="150"/>
      <c r="B427" s="54"/>
      <c r="C427" s="21">
        <f t="shared" si="75"/>
        <v>1</v>
      </c>
      <c r="D427" s="667"/>
      <c r="E427" s="21">
        <f t="shared" si="76"/>
        <v>1</v>
      </c>
      <c r="F427" s="667"/>
      <c r="G427" s="21">
        <f t="shared" si="77"/>
        <v>1</v>
      </c>
      <c r="H427" s="667"/>
      <c r="I427" s="21">
        <f t="shared" si="78"/>
        <v>1</v>
      </c>
      <c r="J427" s="667"/>
      <c r="K427" s="21">
        <f t="shared" si="79"/>
        <v>1</v>
      </c>
      <c r="L427" s="667"/>
      <c r="M427" s="21">
        <f t="shared" si="80"/>
        <v>1</v>
      </c>
      <c r="N427" s="667"/>
      <c r="O427" s="21">
        <f t="shared" si="81"/>
        <v>1</v>
      </c>
      <c r="P427" s="667"/>
      <c r="Q427" s="21">
        <f t="shared" si="82"/>
        <v>1</v>
      </c>
      <c r="R427" s="663">
        <f t="shared" si="83"/>
        <v>0</v>
      </c>
      <c r="S427" s="316">
        <f t="shared" si="84"/>
        <v>0</v>
      </c>
    </row>
    <row r="428" spans="1:19">
      <c r="A428" s="150"/>
      <c r="B428" s="54"/>
      <c r="C428" s="21">
        <f t="shared" si="75"/>
        <v>1</v>
      </c>
      <c r="D428" s="667"/>
      <c r="E428" s="21">
        <f t="shared" si="76"/>
        <v>1</v>
      </c>
      <c r="F428" s="667"/>
      <c r="G428" s="21">
        <f t="shared" si="77"/>
        <v>1</v>
      </c>
      <c r="H428" s="667"/>
      <c r="I428" s="21">
        <f t="shared" si="78"/>
        <v>1</v>
      </c>
      <c r="J428" s="667"/>
      <c r="K428" s="21">
        <f t="shared" si="79"/>
        <v>1</v>
      </c>
      <c r="L428" s="667"/>
      <c r="M428" s="21">
        <f t="shared" si="80"/>
        <v>1</v>
      </c>
      <c r="N428" s="667"/>
      <c r="O428" s="21">
        <f t="shared" si="81"/>
        <v>1</v>
      </c>
      <c r="P428" s="667"/>
      <c r="Q428" s="21">
        <f t="shared" si="82"/>
        <v>1</v>
      </c>
      <c r="R428" s="663">
        <f t="shared" si="83"/>
        <v>0</v>
      </c>
      <c r="S428" s="316">
        <f t="shared" si="84"/>
        <v>0</v>
      </c>
    </row>
    <row r="429" spans="1:19">
      <c r="A429" s="150"/>
      <c r="B429" s="54"/>
      <c r="C429" s="21">
        <f t="shared" si="75"/>
        <v>1</v>
      </c>
      <c r="D429" s="667"/>
      <c r="E429" s="21">
        <f t="shared" si="76"/>
        <v>1</v>
      </c>
      <c r="F429" s="667"/>
      <c r="G429" s="21">
        <f t="shared" si="77"/>
        <v>1</v>
      </c>
      <c r="H429" s="667"/>
      <c r="I429" s="21">
        <f t="shared" si="78"/>
        <v>1</v>
      </c>
      <c r="J429" s="667"/>
      <c r="K429" s="21">
        <f t="shared" si="79"/>
        <v>1</v>
      </c>
      <c r="L429" s="667"/>
      <c r="M429" s="21">
        <f t="shared" si="80"/>
        <v>1</v>
      </c>
      <c r="N429" s="667"/>
      <c r="O429" s="21">
        <f t="shared" si="81"/>
        <v>1</v>
      </c>
      <c r="P429" s="667"/>
      <c r="Q429" s="21">
        <f t="shared" si="82"/>
        <v>1</v>
      </c>
      <c r="R429" s="663">
        <f t="shared" si="83"/>
        <v>0</v>
      </c>
      <c r="S429" s="316">
        <f t="shared" si="84"/>
        <v>0</v>
      </c>
    </row>
    <row r="430" spans="1:19">
      <c r="A430" s="150"/>
      <c r="B430" s="54"/>
      <c r="C430" s="21">
        <f t="shared" si="75"/>
        <v>1</v>
      </c>
      <c r="D430" s="667"/>
      <c r="E430" s="21">
        <f t="shared" si="76"/>
        <v>1</v>
      </c>
      <c r="F430" s="667"/>
      <c r="G430" s="21">
        <f t="shared" si="77"/>
        <v>1</v>
      </c>
      <c r="H430" s="667"/>
      <c r="I430" s="21">
        <f t="shared" si="78"/>
        <v>1</v>
      </c>
      <c r="J430" s="667"/>
      <c r="K430" s="21">
        <f t="shared" si="79"/>
        <v>1</v>
      </c>
      <c r="L430" s="667"/>
      <c r="M430" s="21">
        <f t="shared" si="80"/>
        <v>1</v>
      </c>
      <c r="N430" s="667"/>
      <c r="O430" s="21">
        <f t="shared" si="81"/>
        <v>1</v>
      </c>
      <c r="P430" s="667"/>
      <c r="Q430" s="21">
        <f t="shared" si="82"/>
        <v>1</v>
      </c>
      <c r="R430" s="663">
        <f t="shared" si="83"/>
        <v>0</v>
      </c>
      <c r="S430" s="316">
        <f t="shared" si="84"/>
        <v>0</v>
      </c>
    </row>
    <row r="431" spans="1:19">
      <c r="A431" s="150"/>
      <c r="B431" s="54"/>
      <c r="C431" s="21">
        <f t="shared" si="75"/>
        <v>1</v>
      </c>
      <c r="D431" s="667"/>
      <c r="E431" s="21">
        <f t="shared" si="76"/>
        <v>1</v>
      </c>
      <c r="F431" s="667"/>
      <c r="G431" s="21">
        <f t="shared" si="77"/>
        <v>1</v>
      </c>
      <c r="H431" s="667"/>
      <c r="I431" s="21">
        <f t="shared" si="78"/>
        <v>1</v>
      </c>
      <c r="J431" s="667"/>
      <c r="K431" s="21">
        <f t="shared" si="79"/>
        <v>1</v>
      </c>
      <c r="L431" s="667"/>
      <c r="M431" s="21">
        <f t="shared" si="80"/>
        <v>1</v>
      </c>
      <c r="N431" s="667"/>
      <c r="O431" s="21">
        <f t="shared" si="81"/>
        <v>1</v>
      </c>
      <c r="P431" s="667"/>
      <c r="Q431" s="21">
        <f t="shared" si="82"/>
        <v>1</v>
      </c>
      <c r="R431" s="663">
        <f t="shared" si="83"/>
        <v>0</v>
      </c>
      <c r="S431" s="316">
        <f t="shared" si="84"/>
        <v>0</v>
      </c>
    </row>
    <row r="432" spans="1:19">
      <c r="A432" s="150"/>
      <c r="B432" s="54"/>
      <c r="C432" s="21">
        <f t="shared" si="75"/>
        <v>1</v>
      </c>
      <c r="D432" s="667"/>
      <c r="E432" s="21">
        <f t="shared" si="76"/>
        <v>1</v>
      </c>
      <c r="F432" s="667"/>
      <c r="G432" s="21">
        <f t="shared" si="77"/>
        <v>1</v>
      </c>
      <c r="H432" s="667"/>
      <c r="I432" s="21">
        <f t="shared" si="78"/>
        <v>1</v>
      </c>
      <c r="J432" s="667"/>
      <c r="K432" s="21">
        <f t="shared" si="79"/>
        <v>1</v>
      </c>
      <c r="L432" s="667"/>
      <c r="M432" s="21">
        <f t="shared" si="80"/>
        <v>1</v>
      </c>
      <c r="N432" s="667"/>
      <c r="O432" s="21">
        <f t="shared" si="81"/>
        <v>1</v>
      </c>
      <c r="P432" s="667"/>
      <c r="Q432" s="21">
        <f t="shared" si="82"/>
        <v>1</v>
      </c>
      <c r="R432" s="663">
        <f t="shared" si="83"/>
        <v>0</v>
      </c>
      <c r="S432" s="316">
        <f t="shared" si="84"/>
        <v>0</v>
      </c>
    </row>
    <row r="433" spans="1:19">
      <c r="A433" s="150"/>
      <c r="B433" s="54"/>
      <c r="C433" s="21">
        <f t="shared" si="75"/>
        <v>1</v>
      </c>
      <c r="D433" s="667"/>
      <c r="E433" s="21">
        <f t="shared" si="76"/>
        <v>1</v>
      </c>
      <c r="F433" s="667"/>
      <c r="G433" s="21">
        <f t="shared" si="77"/>
        <v>1</v>
      </c>
      <c r="H433" s="667"/>
      <c r="I433" s="21">
        <f t="shared" si="78"/>
        <v>1</v>
      </c>
      <c r="J433" s="667"/>
      <c r="K433" s="21">
        <f t="shared" si="79"/>
        <v>1</v>
      </c>
      <c r="L433" s="667"/>
      <c r="M433" s="21">
        <f t="shared" si="80"/>
        <v>1</v>
      </c>
      <c r="N433" s="667"/>
      <c r="O433" s="21">
        <f t="shared" si="81"/>
        <v>1</v>
      </c>
      <c r="P433" s="667"/>
      <c r="Q433" s="21">
        <f t="shared" si="82"/>
        <v>1</v>
      </c>
      <c r="R433" s="663">
        <f t="shared" si="83"/>
        <v>0</v>
      </c>
      <c r="S433" s="316">
        <f t="shared" si="84"/>
        <v>0</v>
      </c>
    </row>
    <row r="434" spans="1:19">
      <c r="A434" s="150"/>
      <c r="B434" s="54"/>
      <c r="C434" s="21">
        <f t="shared" si="75"/>
        <v>1</v>
      </c>
      <c r="D434" s="667"/>
      <c r="E434" s="21">
        <f t="shared" si="76"/>
        <v>1</v>
      </c>
      <c r="F434" s="667"/>
      <c r="G434" s="21">
        <f t="shared" si="77"/>
        <v>1</v>
      </c>
      <c r="H434" s="667"/>
      <c r="I434" s="21">
        <f t="shared" si="78"/>
        <v>1</v>
      </c>
      <c r="J434" s="667"/>
      <c r="K434" s="21">
        <f t="shared" si="79"/>
        <v>1</v>
      </c>
      <c r="L434" s="667"/>
      <c r="M434" s="21">
        <f t="shared" si="80"/>
        <v>1</v>
      </c>
      <c r="N434" s="667"/>
      <c r="O434" s="21">
        <f t="shared" si="81"/>
        <v>1</v>
      </c>
      <c r="P434" s="667"/>
      <c r="Q434" s="21">
        <f t="shared" si="82"/>
        <v>1</v>
      </c>
      <c r="R434" s="663">
        <f t="shared" si="83"/>
        <v>0</v>
      </c>
      <c r="S434" s="316">
        <f t="shared" si="84"/>
        <v>0</v>
      </c>
    </row>
    <row r="435" spans="1:19">
      <c r="A435" s="150"/>
      <c r="B435" s="54"/>
      <c r="C435" s="21">
        <f t="shared" si="75"/>
        <v>1</v>
      </c>
      <c r="D435" s="667"/>
      <c r="E435" s="21">
        <f t="shared" si="76"/>
        <v>1</v>
      </c>
      <c r="F435" s="667"/>
      <c r="G435" s="21">
        <f t="shared" si="77"/>
        <v>1</v>
      </c>
      <c r="H435" s="667"/>
      <c r="I435" s="21">
        <f t="shared" si="78"/>
        <v>1</v>
      </c>
      <c r="J435" s="667"/>
      <c r="K435" s="21">
        <f t="shared" si="79"/>
        <v>1</v>
      </c>
      <c r="L435" s="667"/>
      <c r="M435" s="21">
        <f t="shared" si="80"/>
        <v>1</v>
      </c>
      <c r="N435" s="667"/>
      <c r="O435" s="21">
        <f t="shared" si="81"/>
        <v>1</v>
      </c>
      <c r="P435" s="667"/>
      <c r="Q435" s="21">
        <f t="shared" si="82"/>
        <v>1</v>
      </c>
      <c r="R435" s="663">
        <f t="shared" si="83"/>
        <v>0</v>
      </c>
      <c r="S435" s="316">
        <f t="shared" si="84"/>
        <v>0</v>
      </c>
    </row>
    <row r="436" spans="1:19">
      <c r="A436" s="150"/>
      <c r="B436" s="54"/>
      <c r="C436" s="21">
        <f t="shared" si="75"/>
        <v>1</v>
      </c>
      <c r="D436" s="667"/>
      <c r="E436" s="21">
        <f t="shared" si="76"/>
        <v>1</v>
      </c>
      <c r="F436" s="667"/>
      <c r="G436" s="21">
        <f t="shared" si="77"/>
        <v>1</v>
      </c>
      <c r="H436" s="667"/>
      <c r="I436" s="21">
        <f t="shared" si="78"/>
        <v>1</v>
      </c>
      <c r="J436" s="667"/>
      <c r="K436" s="21">
        <f t="shared" si="79"/>
        <v>1</v>
      </c>
      <c r="L436" s="667"/>
      <c r="M436" s="21">
        <f t="shared" si="80"/>
        <v>1</v>
      </c>
      <c r="N436" s="667"/>
      <c r="O436" s="21">
        <f t="shared" si="81"/>
        <v>1</v>
      </c>
      <c r="P436" s="667"/>
      <c r="Q436" s="21">
        <f t="shared" si="82"/>
        <v>1</v>
      </c>
      <c r="R436" s="663">
        <f t="shared" si="83"/>
        <v>0</v>
      </c>
      <c r="S436" s="316">
        <f t="shared" si="84"/>
        <v>0</v>
      </c>
    </row>
    <row r="437" spans="1:19">
      <c r="A437" s="150"/>
      <c r="B437" s="54"/>
      <c r="C437" s="21">
        <f t="shared" si="75"/>
        <v>1</v>
      </c>
      <c r="D437" s="667"/>
      <c r="E437" s="21">
        <f t="shared" si="76"/>
        <v>1</v>
      </c>
      <c r="F437" s="667"/>
      <c r="G437" s="21">
        <f t="shared" si="77"/>
        <v>1</v>
      </c>
      <c r="H437" s="667"/>
      <c r="I437" s="21">
        <f t="shared" si="78"/>
        <v>1</v>
      </c>
      <c r="J437" s="667"/>
      <c r="K437" s="21">
        <f t="shared" si="79"/>
        <v>1</v>
      </c>
      <c r="L437" s="667"/>
      <c r="M437" s="21">
        <f t="shared" si="80"/>
        <v>1</v>
      </c>
      <c r="N437" s="667"/>
      <c r="O437" s="21">
        <f t="shared" si="81"/>
        <v>1</v>
      </c>
      <c r="P437" s="667"/>
      <c r="Q437" s="21">
        <f t="shared" si="82"/>
        <v>1</v>
      </c>
      <c r="R437" s="663">
        <f t="shared" si="83"/>
        <v>0</v>
      </c>
      <c r="S437" s="316">
        <f t="shared" si="84"/>
        <v>0</v>
      </c>
    </row>
    <row r="438" spans="1:19">
      <c r="A438" s="150"/>
      <c r="B438" s="54"/>
      <c r="C438" s="21">
        <f t="shared" si="75"/>
        <v>1</v>
      </c>
      <c r="D438" s="667"/>
      <c r="E438" s="21">
        <f t="shared" si="76"/>
        <v>1</v>
      </c>
      <c r="F438" s="667"/>
      <c r="G438" s="21">
        <f t="shared" si="77"/>
        <v>1</v>
      </c>
      <c r="H438" s="667"/>
      <c r="I438" s="21">
        <f t="shared" si="78"/>
        <v>1</v>
      </c>
      <c r="J438" s="667"/>
      <c r="K438" s="21">
        <f t="shared" si="79"/>
        <v>1</v>
      </c>
      <c r="L438" s="667"/>
      <c r="M438" s="21">
        <f t="shared" si="80"/>
        <v>1</v>
      </c>
      <c r="N438" s="667"/>
      <c r="O438" s="21">
        <f t="shared" si="81"/>
        <v>1</v>
      </c>
      <c r="P438" s="667"/>
      <c r="Q438" s="21">
        <f t="shared" si="82"/>
        <v>1</v>
      </c>
      <c r="R438" s="663">
        <f t="shared" si="83"/>
        <v>0</v>
      </c>
      <c r="S438" s="316">
        <f t="shared" si="84"/>
        <v>0</v>
      </c>
    </row>
    <row r="439" spans="1:19">
      <c r="A439" s="150"/>
      <c r="B439" s="54"/>
      <c r="C439" s="21">
        <f t="shared" si="75"/>
        <v>1</v>
      </c>
      <c r="D439" s="667"/>
      <c r="E439" s="21">
        <f t="shared" si="76"/>
        <v>1</v>
      </c>
      <c r="F439" s="667"/>
      <c r="G439" s="21">
        <f t="shared" si="77"/>
        <v>1</v>
      </c>
      <c r="H439" s="667"/>
      <c r="I439" s="21">
        <f t="shared" si="78"/>
        <v>1</v>
      </c>
      <c r="J439" s="667"/>
      <c r="K439" s="21">
        <f t="shared" si="79"/>
        <v>1</v>
      </c>
      <c r="L439" s="667"/>
      <c r="M439" s="21">
        <f t="shared" si="80"/>
        <v>1</v>
      </c>
      <c r="N439" s="667"/>
      <c r="O439" s="21">
        <f t="shared" si="81"/>
        <v>1</v>
      </c>
      <c r="P439" s="667"/>
      <c r="Q439" s="21">
        <f t="shared" si="82"/>
        <v>1</v>
      </c>
      <c r="R439" s="663">
        <f t="shared" si="83"/>
        <v>0</v>
      </c>
      <c r="S439" s="316">
        <f t="shared" si="84"/>
        <v>0</v>
      </c>
    </row>
    <row r="440" spans="1:19">
      <c r="A440" s="150"/>
      <c r="B440" s="54"/>
      <c r="C440" s="21">
        <f t="shared" si="75"/>
        <v>1</v>
      </c>
      <c r="D440" s="667"/>
      <c r="E440" s="21">
        <f t="shared" si="76"/>
        <v>1</v>
      </c>
      <c r="F440" s="667"/>
      <c r="G440" s="21">
        <f t="shared" si="77"/>
        <v>1</v>
      </c>
      <c r="H440" s="667"/>
      <c r="I440" s="21">
        <f t="shared" si="78"/>
        <v>1</v>
      </c>
      <c r="J440" s="667"/>
      <c r="K440" s="21">
        <f t="shared" si="79"/>
        <v>1</v>
      </c>
      <c r="L440" s="667"/>
      <c r="M440" s="21">
        <f t="shared" si="80"/>
        <v>1</v>
      </c>
      <c r="N440" s="667"/>
      <c r="O440" s="21">
        <f t="shared" si="81"/>
        <v>1</v>
      </c>
      <c r="P440" s="667"/>
      <c r="Q440" s="21">
        <f t="shared" si="82"/>
        <v>1</v>
      </c>
      <c r="R440" s="663">
        <f t="shared" si="83"/>
        <v>0</v>
      </c>
      <c r="S440" s="316">
        <f t="shared" si="84"/>
        <v>0</v>
      </c>
    </row>
    <row r="441" spans="1:19">
      <c r="A441" s="150"/>
      <c r="B441" s="54"/>
      <c r="C441" s="21">
        <f t="shared" si="75"/>
        <v>1</v>
      </c>
      <c r="D441" s="667"/>
      <c r="E441" s="21">
        <f t="shared" si="76"/>
        <v>1</v>
      </c>
      <c r="F441" s="667"/>
      <c r="G441" s="21">
        <f t="shared" si="77"/>
        <v>1</v>
      </c>
      <c r="H441" s="667"/>
      <c r="I441" s="21">
        <f t="shared" si="78"/>
        <v>1</v>
      </c>
      <c r="J441" s="667"/>
      <c r="K441" s="21">
        <f t="shared" si="79"/>
        <v>1</v>
      </c>
      <c r="L441" s="667"/>
      <c r="M441" s="21">
        <f t="shared" si="80"/>
        <v>1</v>
      </c>
      <c r="N441" s="667"/>
      <c r="O441" s="21">
        <f t="shared" si="81"/>
        <v>1</v>
      </c>
      <c r="P441" s="667"/>
      <c r="Q441" s="21">
        <f t="shared" si="82"/>
        <v>1</v>
      </c>
      <c r="R441" s="663">
        <f t="shared" si="83"/>
        <v>0</v>
      </c>
      <c r="S441" s="316">
        <f t="shared" si="84"/>
        <v>0</v>
      </c>
    </row>
    <row r="442" spans="1:19">
      <c r="A442" s="150"/>
      <c r="B442" s="54"/>
      <c r="C442" s="21">
        <f t="shared" si="75"/>
        <v>1</v>
      </c>
      <c r="D442" s="667"/>
      <c r="E442" s="21">
        <f t="shared" si="76"/>
        <v>1</v>
      </c>
      <c r="F442" s="667"/>
      <c r="G442" s="21">
        <f t="shared" si="77"/>
        <v>1</v>
      </c>
      <c r="H442" s="667"/>
      <c r="I442" s="21">
        <f t="shared" si="78"/>
        <v>1</v>
      </c>
      <c r="J442" s="667"/>
      <c r="K442" s="21">
        <f t="shared" si="79"/>
        <v>1</v>
      </c>
      <c r="L442" s="667"/>
      <c r="M442" s="21">
        <f t="shared" si="80"/>
        <v>1</v>
      </c>
      <c r="N442" s="667"/>
      <c r="O442" s="21">
        <f t="shared" si="81"/>
        <v>1</v>
      </c>
      <c r="P442" s="667"/>
      <c r="Q442" s="21">
        <f t="shared" si="82"/>
        <v>1</v>
      </c>
      <c r="R442" s="663">
        <f t="shared" si="83"/>
        <v>0</v>
      </c>
      <c r="S442" s="316">
        <f t="shared" si="84"/>
        <v>0</v>
      </c>
    </row>
    <row r="443" spans="1:19">
      <c r="A443" s="150"/>
      <c r="B443" s="54"/>
      <c r="C443" s="21">
        <f t="shared" si="75"/>
        <v>1</v>
      </c>
      <c r="D443" s="667"/>
      <c r="E443" s="21">
        <f t="shared" si="76"/>
        <v>1</v>
      </c>
      <c r="F443" s="667"/>
      <c r="G443" s="21">
        <f t="shared" si="77"/>
        <v>1</v>
      </c>
      <c r="H443" s="667"/>
      <c r="I443" s="21">
        <f t="shared" si="78"/>
        <v>1</v>
      </c>
      <c r="J443" s="667"/>
      <c r="K443" s="21">
        <f t="shared" si="79"/>
        <v>1</v>
      </c>
      <c r="L443" s="667"/>
      <c r="M443" s="21">
        <f t="shared" si="80"/>
        <v>1</v>
      </c>
      <c r="N443" s="667"/>
      <c r="O443" s="21">
        <f t="shared" si="81"/>
        <v>1</v>
      </c>
      <c r="P443" s="667"/>
      <c r="Q443" s="21">
        <f t="shared" si="82"/>
        <v>1</v>
      </c>
      <c r="R443" s="663">
        <f t="shared" si="83"/>
        <v>0</v>
      </c>
      <c r="S443" s="316">
        <f t="shared" si="84"/>
        <v>0</v>
      </c>
    </row>
    <row r="444" spans="1:19">
      <c r="A444" s="150"/>
      <c r="B444" s="54"/>
      <c r="C444" s="21">
        <f t="shared" si="75"/>
        <v>1</v>
      </c>
      <c r="D444" s="667"/>
      <c r="E444" s="21">
        <f t="shared" si="76"/>
        <v>1</v>
      </c>
      <c r="F444" s="667"/>
      <c r="G444" s="21">
        <f t="shared" si="77"/>
        <v>1</v>
      </c>
      <c r="H444" s="667"/>
      <c r="I444" s="21">
        <f t="shared" si="78"/>
        <v>1</v>
      </c>
      <c r="J444" s="667"/>
      <c r="K444" s="21">
        <f t="shared" si="79"/>
        <v>1</v>
      </c>
      <c r="L444" s="667"/>
      <c r="M444" s="21">
        <f t="shared" si="80"/>
        <v>1</v>
      </c>
      <c r="N444" s="667"/>
      <c r="O444" s="21">
        <f t="shared" si="81"/>
        <v>1</v>
      </c>
      <c r="P444" s="667"/>
      <c r="Q444" s="21">
        <f t="shared" si="82"/>
        <v>1</v>
      </c>
      <c r="R444" s="663">
        <f t="shared" si="83"/>
        <v>0</v>
      </c>
      <c r="S444" s="316">
        <f t="shared" si="84"/>
        <v>0</v>
      </c>
    </row>
    <row r="445" spans="1:19">
      <c r="A445" s="150"/>
      <c r="B445" s="54"/>
      <c r="C445" s="21">
        <f t="shared" si="75"/>
        <v>1</v>
      </c>
      <c r="D445" s="667"/>
      <c r="E445" s="21">
        <f t="shared" si="76"/>
        <v>1</v>
      </c>
      <c r="F445" s="667"/>
      <c r="G445" s="21">
        <f t="shared" si="77"/>
        <v>1</v>
      </c>
      <c r="H445" s="667"/>
      <c r="I445" s="21">
        <f t="shared" si="78"/>
        <v>1</v>
      </c>
      <c r="J445" s="667"/>
      <c r="K445" s="21">
        <f t="shared" si="79"/>
        <v>1</v>
      </c>
      <c r="L445" s="667"/>
      <c r="M445" s="21">
        <f t="shared" si="80"/>
        <v>1</v>
      </c>
      <c r="N445" s="667"/>
      <c r="O445" s="21">
        <f t="shared" si="81"/>
        <v>1</v>
      </c>
      <c r="P445" s="667"/>
      <c r="Q445" s="21">
        <f t="shared" si="82"/>
        <v>1</v>
      </c>
      <c r="R445" s="663">
        <f t="shared" si="83"/>
        <v>0</v>
      </c>
      <c r="S445" s="316">
        <f t="shared" si="84"/>
        <v>0</v>
      </c>
    </row>
    <row r="446" spans="1:19">
      <c r="A446" s="150"/>
      <c r="B446" s="54"/>
      <c r="C446" s="21">
        <f t="shared" si="75"/>
        <v>1</v>
      </c>
      <c r="D446" s="667"/>
      <c r="E446" s="21">
        <f t="shared" si="76"/>
        <v>1</v>
      </c>
      <c r="F446" s="667"/>
      <c r="G446" s="21">
        <f t="shared" si="77"/>
        <v>1</v>
      </c>
      <c r="H446" s="667"/>
      <c r="I446" s="21">
        <f t="shared" si="78"/>
        <v>1</v>
      </c>
      <c r="J446" s="667"/>
      <c r="K446" s="21">
        <f t="shared" si="79"/>
        <v>1</v>
      </c>
      <c r="L446" s="667"/>
      <c r="M446" s="21">
        <f t="shared" si="80"/>
        <v>1</v>
      </c>
      <c r="N446" s="667"/>
      <c r="O446" s="21">
        <f t="shared" si="81"/>
        <v>1</v>
      </c>
      <c r="P446" s="667"/>
      <c r="Q446" s="21">
        <f t="shared" si="82"/>
        <v>1</v>
      </c>
      <c r="R446" s="663">
        <f t="shared" si="83"/>
        <v>0</v>
      </c>
      <c r="S446" s="316">
        <f t="shared" si="84"/>
        <v>0</v>
      </c>
    </row>
    <row r="447" spans="1:19">
      <c r="A447" s="150"/>
      <c r="B447" s="54"/>
      <c r="C447" s="21">
        <f t="shared" si="75"/>
        <v>1</v>
      </c>
      <c r="D447" s="667"/>
      <c r="E447" s="21">
        <f t="shared" si="76"/>
        <v>1</v>
      </c>
      <c r="F447" s="667"/>
      <c r="G447" s="21">
        <f t="shared" si="77"/>
        <v>1</v>
      </c>
      <c r="H447" s="667"/>
      <c r="I447" s="21">
        <f t="shared" si="78"/>
        <v>1</v>
      </c>
      <c r="J447" s="667"/>
      <c r="K447" s="21">
        <f t="shared" si="79"/>
        <v>1</v>
      </c>
      <c r="L447" s="667"/>
      <c r="M447" s="21">
        <f t="shared" si="80"/>
        <v>1</v>
      </c>
      <c r="N447" s="667"/>
      <c r="O447" s="21">
        <f t="shared" si="81"/>
        <v>1</v>
      </c>
      <c r="P447" s="667"/>
      <c r="Q447" s="21">
        <f t="shared" si="82"/>
        <v>1</v>
      </c>
      <c r="R447" s="663">
        <f t="shared" si="83"/>
        <v>0</v>
      </c>
      <c r="S447" s="316">
        <f t="shared" si="84"/>
        <v>0</v>
      </c>
    </row>
    <row r="448" spans="1:19">
      <c r="A448" s="150"/>
      <c r="B448" s="54"/>
      <c r="C448" s="21">
        <f t="shared" si="75"/>
        <v>1</v>
      </c>
      <c r="D448" s="667"/>
      <c r="E448" s="21">
        <f t="shared" si="76"/>
        <v>1</v>
      </c>
      <c r="F448" s="667"/>
      <c r="G448" s="21">
        <f t="shared" si="77"/>
        <v>1</v>
      </c>
      <c r="H448" s="667"/>
      <c r="I448" s="21">
        <f t="shared" si="78"/>
        <v>1</v>
      </c>
      <c r="J448" s="667"/>
      <c r="K448" s="21">
        <f t="shared" si="79"/>
        <v>1</v>
      </c>
      <c r="L448" s="667"/>
      <c r="M448" s="21">
        <f t="shared" si="80"/>
        <v>1</v>
      </c>
      <c r="N448" s="667"/>
      <c r="O448" s="21">
        <f t="shared" si="81"/>
        <v>1</v>
      </c>
      <c r="P448" s="667"/>
      <c r="Q448" s="21">
        <f t="shared" si="82"/>
        <v>1</v>
      </c>
      <c r="R448" s="663">
        <f t="shared" si="83"/>
        <v>0</v>
      </c>
      <c r="S448" s="316">
        <f t="shared" si="84"/>
        <v>0</v>
      </c>
    </row>
    <row r="449" spans="1:19">
      <c r="A449" s="150"/>
      <c r="B449" s="54"/>
      <c r="C449" s="21">
        <f t="shared" si="75"/>
        <v>1</v>
      </c>
      <c r="D449" s="667"/>
      <c r="E449" s="21">
        <f t="shared" si="76"/>
        <v>1</v>
      </c>
      <c r="F449" s="667"/>
      <c r="G449" s="21">
        <f t="shared" si="77"/>
        <v>1</v>
      </c>
      <c r="H449" s="667"/>
      <c r="I449" s="21">
        <f t="shared" si="78"/>
        <v>1</v>
      </c>
      <c r="J449" s="667"/>
      <c r="K449" s="21">
        <f t="shared" si="79"/>
        <v>1</v>
      </c>
      <c r="L449" s="667"/>
      <c r="M449" s="21">
        <f t="shared" si="80"/>
        <v>1</v>
      </c>
      <c r="N449" s="667"/>
      <c r="O449" s="21">
        <f t="shared" si="81"/>
        <v>1</v>
      </c>
      <c r="P449" s="667"/>
      <c r="Q449" s="21">
        <f t="shared" si="82"/>
        <v>1</v>
      </c>
      <c r="R449" s="663">
        <f t="shared" si="83"/>
        <v>0</v>
      </c>
      <c r="S449" s="316">
        <f t="shared" si="84"/>
        <v>0</v>
      </c>
    </row>
    <row r="450" spans="1:19">
      <c r="A450" s="150"/>
      <c r="B450" s="54"/>
      <c r="C450" s="21">
        <f t="shared" si="75"/>
        <v>1</v>
      </c>
      <c r="D450" s="667"/>
      <c r="E450" s="21">
        <f t="shared" si="76"/>
        <v>1</v>
      </c>
      <c r="F450" s="667"/>
      <c r="G450" s="21">
        <f t="shared" si="77"/>
        <v>1</v>
      </c>
      <c r="H450" s="667"/>
      <c r="I450" s="21">
        <f t="shared" si="78"/>
        <v>1</v>
      </c>
      <c r="J450" s="667"/>
      <c r="K450" s="21">
        <f t="shared" si="79"/>
        <v>1</v>
      </c>
      <c r="L450" s="667"/>
      <c r="M450" s="21">
        <f t="shared" si="80"/>
        <v>1</v>
      </c>
      <c r="N450" s="667"/>
      <c r="O450" s="21">
        <f t="shared" si="81"/>
        <v>1</v>
      </c>
      <c r="P450" s="667"/>
      <c r="Q450" s="21">
        <f t="shared" si="82"/>
        <v>1</v>
      </c>
      <c r="R450" s="663">
        <f t="shared" si="83"/>
        <v>0</v>
      </c>
      <c r="S450" s="316">
        <f t="shared" si="84"/>
        <v>0</v>
      </c>
    </row>
    <row r="451" spans="1:19">
      <c r="A451" s="150"/>
      <c r="B451" s="54"/>
      <c r="C451" s="21">
        <f t="shared" si="75"/>
        <v>1</v>
      </c>
      <c r="D451" s="667"/>
      <c r="E451" s="21">
        <f t="shared" si="76"/>
        <v>1</v>
      </c>
      <c r="F451" s="667"/>
      <c r="G451" s="21">
        <f t="shared" si="77"/>
        <v>1</v>
      </c>
      <c r="H451" s="667"/>
      <c r="I451" s="21">
        <f t="shared" si="78"/>
        <v>1</v>
      </c>
      <c r="J451" s="667"/>
      <c r="K451" s="21">
        <f t="shared" si="79"/>
        <v>1</v>
      </c>
      <c r="L451" s="667"/>
      <c r="M451" s="21">
        <f t="shared" si="80"/>
        <v>1</v>
      </c>
      <c r="N451" s="667"/>
      <c r="O451" s="21">
        <f t="shared" si="81"/>
        <v>1</v>
      </c>
      <c r="P451" s="667"/>
      <c r="Q451" s="21">
        <f t="shared" si="82"/>
        <v>1</v>
      </c>
      <c r="R451" s="663">
        <f t="shared" si="83"/>
        <v>0</v>
      </c>
      <c r="S451" s="316">
        <f t="shared" si="84"/>
        <v>0</v>
      </c>
    </row>
    <row r="452" spans="1:19">
      <c r="A452" s="150"/>
      <c r="B452" s="54"/>
      <c r="C452" s="21">
        <f t="shared" si="75"/>
        <v>1</v>
      </c>
      <c r="D452" s="667"/>
      <c r="E452" s="21">
        <f t="shared" si="76"/>
        <v>1</v>
      </c>
      <c r="F452" s="667"/>
      <c r="G452" s="21">
        <f t="shared" si="77"/>
        <v>1</v>
      </c>
      <c r="H452" s="667"/>
      <c r="I452" s="21">
        <f t="shared" si="78"/>
        <v>1</v>
      </c>
      <c r="J452" s="667"/>
      <c r="K452" s="21">
        <f t="shared" si="79"/>
        <v>1</v>
      </c>
      <c r="L452" s="667"/>
      <c r="M452" s="21">
        <f t="shared" si="80"/>
        <v>1</v>
      </c>
      <c r="N452" s="667"/>
      <c r="O452" s="21">
        <f t="shared" si="81"/>
        <v>1</v>
      </c>
      <c r="P452" s="667"/>
      <c r="Q452" s="21">
        <f t="shared" si="82"/>
        <v>1</v>
      </c>
      <c r="R452" s="663">
        <f t="shared" si="83"/>
        <v>0</v>
      </c>
      <c r="S452" s="316">
        <f t="shared" si="84"/>
        <v>0</v>
      </c>
    </row>
    <row r="453" spans="1:19">
      <c r="A453" s="150"/>
      <c r="B453" s="54"/>
      <c r="C453" s="21">
        <f t="shared" si="75"/>
        <v>1</v>
      </c>
      <c r="D453" s="667"/>
      <c r="E453" s="21">
        <f t="shared" si="76"/>
        <v>1</v>
      </c>
      <c r="F453" s="667"/>
      <c r="G453" s="21">
        <f t="shared" si="77"/>
        <v>1</v>
      </c>
      <c r="H453" s="667"/>
      <c r="I453" s="21">
        <f t="shared" si="78"/>
        <v>1</v>
      </c>
      <c r="J453" s="667"/>
      <c r="K453" s="21">
        <f t="shared" si="79"/>
        <v>1</v>
      </c>
      <c r="L453" s="667"/>
      <c r="M453" s="21">
        <f t="shared" si="80"/>
        <v>1</v>
      </c>
      <c r="N453" s="667"/>
      <c r="O453" s="21">
        <f t="shared" si="81"/>
        <v>1</v>
      </c>
      <c r="P453" s="667"/>
      <c r="Q453" s="21">
        <f t="shared" si="82"/>
        <v>1</v>
      </c>
      <c r="R453" s="663">
        <f t="shared" si="83"/>
        <v>0</v>
      </c>
      <c r="S453" s="316">
        <f t="shared" si="84"/>
        <v>0</v>
      </c>
    </row>
    <row r="454" spans="1:19">
      <c r="A454" s="150"/>
      <c r="B454" s="54"/>
      <c r="C454" s="21">
        <f t="shared" si="75"/>
        <v>1</v>
      </c>
      <c r="D454" s="667"/>
      <c r="E454" s="21">
        <f t="shared" si="76"/>
        <v>1</v>
      </c>
      <c r="F454" s="667"/>
      <c r="G454" s="21">
        <f t="shared" si="77"/>
        <v>1</v>
      </c>
      <c r="H454" s="667"/>
      <c r="I454" s="21">
        <f t="shared" si="78"/>
        <v>1</v>
      </c>
      <c r="J454" s="667"/>
      <c r="K454" s="21">
        <f t="shared" si="79"/>
        <v>1</v>
      </c>
      <c r="L454" s="667"/>
      <c r="M454" s="21">
        <f t="shared" si="80"/>
        <v>1</v>
      </c>
      <c r="N454" s="667"/>
      <c r="O454" s="21">
        <f t="shared" si="81"/>
        <v>1</v>
      </c>
      <c r="P454" s="667"/>
      <c r="Q454" s="21">
        <f t="shared" si="82"/>
        <v>1</v>
      </c>
      <c r="R454" s="663">
        <f t="shared" si="83"/>
        <v>0</v>
      </c>
      <c r="S454" s="316">
        <f t="shared" si="84"/>
        <v>0</v>
      </c>
    </row>
    <row r="455" spans="1:19">
      <c r="A455" s="150"/>
      <c r="B455" s="54"/>
      <c r="C455" s="21">
        <f t="shared" si="75"/>
        <v>1</v>
      </c>
      <c r="D455" s="667"/>
      <c r="E455" s="21">
        <f t="shared" si="76"/>
        <v>1</v>
      </c>
      <c r="F455" s="667"/>
      <c r="G455" s="21">
        <f t="shared" si="77"/>
        <v>1</v>
      </c>
      <c r="H455" s="667"/>
      <c r="I455" s="21">
        <f t="shared" si="78"/>
        <v>1</v>
      </c>
      <c r="J455" s="667"/>
      <c r="K455" s="21">
        <f t="shared" si="79"/>
        <v>1</v>
      </c>
      <c r="L455" s="667"/>
      <c r="M455" s="21">
        <f t="shared" si="80"/>
        <v>1</v>
      </c>
      <c r="N455" s="667"/>
      <c r="O455" s="21">
        <f t="shared" si="81"/>
        <v>1</v>
      </c>
      <c r="P455" s="667"/>
      <c r="Q455" s="21">
        <f t="shared" si="82"/>
        <v>1</v>
      </c>
      <c r="R455" s="663">
        <f t="shared" si="83"/>
        <v>0</v>
      </c>
      <c r="S455" s="316">
        <f t="shared" si="84"/>
        <v>0</v>
      </c>
    </row>
    <row r="456" spans="1:19">
      <c r="A456" s="150"/>
      <c r="B456" s="54"/>
      <c r="C456" s="21">
        <f t="shared" si="75"/>
        <v>1</v>
      </c>
      <c r="D456" s="667"/>
      <c r="E456" s="21">
        <f t="shared" si="76"/>
        <v>1</v>
      </c>
      <c r="F456" s="667"/>
      <c r="G456" s="21">
        <f t="shared" si="77"/>
        <v>1</v>
      </c>
      <c r="H456" s="667"/>
      <c r="I456" s="21">
        <f t="shared" si="78"/>
        <v>1</v>
      </c>
      <c r="J456" s="667"/>
      <c r="K456" s="21">
        <f t="shared" si="79"/>
        <v>1</v>
      </c>
      <c r="L456" s="667"/>
      <c r="M456" s="21">
        <f t="shared" si="80"/>
        <v>1</v>
      </c>
      <c r="N456" s="667"/>
      <c r="O456" s="21">
        <f t="shared" si="81"/>
        <v>1</v>
      </c>
      <c r="P456" s="667"/>
      <c r="Q456" s="21">
        <f t="shared" si="82"/>
        <v>1</v>
      </c>
      <c r="R456" s="663">
        <f t="shared" si="83"/>
        <v>0</v>
      </c>
      <c r="S456" s="316">
        <f t="shared" si="84"/>
        <v>0</v>
      </c>
    </row>
    <row r="457" spans="1:19">
      <c r="A457" s="150"/>
      <c r="B457" s="54"/>
      <c r="C457" s="21">
        <f t="shared" si="75"/>
        <v>1</v>
      </c>
      <c r="D457" s="667"/>
      <c r="E457" s="21">
        <f t="shared" si="76"/>
        <v>1</v>
      </c>
      <c r="F457" s="667"/>
      <c r="G457" s="21">
        <f t="shared" si="77"/>
        <v>1</v>
      </c>
      <c r="H457" s="667"/>
      <c r="I457" s="21">
        <f t="shared" si="78"/>
        <v>1</v>
      </c>
      <c r="J457" s="667"/>
      <c r="K457" s="21">
        <f t="shared" si="79"/>
        <v>1</v>
      </c>
      <c r="L457" s="667"/>
      <c r="M457" s="21">
        <f t="shared" si="80"/>
        <v>1</v>
      </c>
      <c r="N457" s="667"/>
      <c r="O457" s="21">
        <f t="shared" si="81"/>
        <v>1</v>
      </c>
      <c r="P457" s="667"/>
      <c r="Q457" s="21">
        <f t="shared" si="82"/>
        <v>1</v>
      </c>
      <c r="R457" s="663">
        <f t="shared" si="83"/>
        <v>0</v>
      </c>
      <c r="S457" s="316">
        <f t="shared" si="84"/>
        <v>0</v>
      </c>
    </row>
    <row r="458" spans="1:19">
      <c r="A458" s="150"/>
      <c r="B458" s="54"/>
      <c r="C458" s="21">
        <f t="shared" si="75"/>
        <v>1</v>
      </c>
      <c r="D458" s="667"/>
      <c r="E458" s="21">
        <f t="shared" si="76"/>
        <v>1</v>
      </c>
      <c r="F458" s="667"/>
      <c r="G458" s="21">
        <f t="shared" si="77"/>
        <v>1</v>
      </c>
      <c r="H458" s="667"/>
      <c r="I458" s="21">
        <f t="shared" si="78"/>
        <v>1</v>
      </c>
      <c r="J458" s="667"/>
      <c r="K458" s="21">
        <f t="shared" si="79"/>
        <v>1</v>
      </c>
      <c r="L458" s="667"/>
      <c r="M458" s="21">
        <f t="shared" si="80"/>
        <v>1</v>
      </c>
      <c r="N458" s="667"/>
      <c r="O458" s="21">
        <f t="shared" si="81"/>
        <v>1</v>
      </c>
      <c r="P458" s="667"/>
      <c r="Q458" s="21">
        <f t="shared" si="82"/>
        <v>1</v>
      </c>
      <c r="R458" s="663">
        <f t="shared" si="83"/>
        <v>0</v>
      </c>
      <c r="S458" s="316">
        <f t="shared" si="84"/>
        <v>0</v>
      </c>
    </row>
    <row r="459" spans="1:19">
      <c r="A459" s="150"/>
      <c r="B459" s="54"/>
      <c r="C459" s="21">
        <f t="shared" si="75"/>
        <v>1</v>
      </c>
      <c r="D459" s="667"/>
      <c r="E459" s="21">
        <f t="shared" si="76"/>
        <v>1</v>
      </c>
      <c r="F459" s="667"/>
      <c r="G459" s="21">
        <f t="shared" si="77"/>
        <v>1</v>
      </c>
      <c r="H459" s="667"/>
      <c r="I459" s="21">
        <f t="shared" si="78"/>
        <v>1</v>
      </c>
      <c r="J459" s="667"/>
      <c r="K459" s="21">
        <f t="shared" si="79"/>
        <v>1</v>
      </c>
      <c r="L459" s="667"/>
      <c r="M459" s="21">
        <f t="shared" si="80"/>
        <v>1</v>
      </c>
      <c r="N459" s="667"/>
      <c r="O459" s="21">
        <f t="shared" si="81"/>
        <v>1</v>
      </c>
      <c r="P459" s="667"/>
      <c r="Q459" s="21">
        <f t="shared" si="82"/>
        <v>1</v>
      </c>
      <c r="R459" s="663">
        <f t="shared" si="83"/>
        <v>0</v>
      </c>
      <c r="S459" s="316">
        <f t="shared" si="84"/>
        <v>0</v>
      </c>
    </row>
    <row r="460" spans="1:19">
      <c r="A460" s="150"/>
      <c r="B460" s="54"/>
      <c r="C460" s="21">
        <f t="shared" si="75"/>
        <v>1</v>
      </c>
      <c r="D460" s="667"/>
      <c r="E460" s="21">
        <f t="shared" si="76"/>
        <v>1</v>
      </c>
      <c r="F460" s="667"/>
      <c r="G460" s="21">
        <f t="shared" si="77"/>
        <v>1</v>
      </c>
      <c r="H460" s="667"/>
      <c r="I460" s="21">
        <f t="shared" si="78"/>
        <v>1</v>
      </c>
      <c r="J460" s="667"/>
      <c r="K460" s="21">
        <f t="shared" si="79"/>
        <v>1</v>
      </c>
      <c r="L460" s="667"/>
      <c r="M460" s="21">
        <f t="shared" si="80"/>
        <v>1</v>
      </c>
      <c r="N460" s="667"/>
      <c r="O460" s="21">
        <f t="shared" si="81"/>
        <v>1</v>
      </c>
      <c r="P460" s="667"/>
      <c r="Q460" s="21">
        <f t="shared" si="82"/>
        <v>1</v>
      </c>
      <c r="R460" s="663">
        <f t="shared" si="83"/>
        <v>0</v>
      </c>
      <c r="S460" s="316">
        <f t="shared" si="84"/>
        <v>0</v>
      </c>
    </row>
    <row r="461" spans="1:19">
      <c r="A461" s="150"/>
      <c r="B461" s="54"/>
      <c r="C461" s="21">
        <f t="shared" si="75"/>
        <v>1</v>
      </c>
      <c r="D461" s="667"/>
      <c r="E461" s="21">
        <f t="shared" si="76"/>
        <v>1</v>
      </c>
      <c r="F461" s="667"/>
      <c r="G461" s="21">
        <f t="shared" si="77"/>
        <v>1</v>
      </c>
      <c r="H461" s="667"/>
      <c r="I461" s="21">
        <f t="shared" si="78"/>
        <v>1</v>
      </c>
      <c r="J461" s="667"/>
      <c r="K461" s="21">
        <f t="shared" si="79"/>
        <v>1</v>
      </c>
      <c r="L461" s="667"/>
      <c r="M461" s="21">
        <f t="shared" si="80"/>
        <v>1</v>
      </c>
      <c r="N461" s="667"/>
      <c r="O461" s="21">
        <f t="shared" si="81"/>
        <v>1</v>
      </c>
      <c r="P461" s="667"/>
      <c r="Q461" s="21">
        <f t="shared" si="82"/>
        <v>1</v>
      </c>
      <c r="R461" s="663">
        <f t="shared" si="83"/>
        <v>0</v>
      </c>
      <c r="S461" s="316">
        <f t="shared" si="84"/>
        <v>0</v>
      </c>
    </row>
    <row r="462" spans="1:19">
      <c r="A462" s="150"/>
      <c r="B462" s="54"/>
      <c r="C462" s="21">
        <f t="shared" si="75"/>
        <v>1</v>
      </c>
      <c r="D462" s="667"/>
      <c r="E462" s="21">
        <f t="shared" si="76"/>
        <v>1</v>
      </c>
      <c r="F462" s="667"/>
      <c r="G462" s="21">
        <f t="shared" si="77"/>
        <v>1</v>
      </c>
      <c r="H462" s="667"/>
      <c r="I462" s="21">
        <f t="shared" si="78"/>
        <v>1</v>
      </c>
      <c r="J462" s="667"/>
      <c r="K462" s="21">
        <f t="shared" si="79"/>
        <v>1</v>
      </c>
      <c r="L462" s="667"/>
      <c r="M462" s="21">
        <f t="shared" si="80"/>
        <v>1</v>
      </c>
      <c r="N462" s="667"/>
      <c r="O462" s="21">
        <f t="shared" si="81"/>
        <v>1</v>
      </c>
      <c r="P462" s="667"/>
      <c r="Q462" s="21">
        <f t="shared" si="82"/>
        <v>1</v>
      </c>
      <c r="R462" s="663">
        <f t="shared" si="83"/>
        <v>0</v>
      </c>
      <c r="S462" s="316">
        <f t="shared" si="84"/>
        <v>0</v>
      </c>
    </row>
    <row r="463" spans="1:19">
      <c r="A463" s="150"/>
      <c r="B463" s="54"/>
      <c r="C463" s="21">
        <f t="shared" si="75"/>
        <v>1</v>
      </c>
      <c r="D463" s="667"/>
      <c r="E463" s="21">
        <f t="shared" si="76"/>
        <v>1</v>
      </c>
      <c r="F463" s="667"/>
      <c r="G463" s="21">
        <f t="shared" si="77"/>
        <v>1</v>
      </c>
      <c r="H463" s="667"/>
      <c r="I463" s="21">
        <f t="shared" si="78"/>
        <v>1</v>
      </c>
      <c r="J463" s="667"/>
      <c r="K463" s="21">
        <f t="shared" si="79"/>
        <v>1</v>
      </c>
      <c r="L463" s="667"/>
      <c r="M463" s="21">
        <f t="shared" si="80"/>
        <v>1</v>
      </c>
      <c r="N463" s="667"/>
      <c r="O463" s="21">
        <f t="shared" si="81"/>
        <v>1</v>
      </c>
      <c r="P463" s="667"/>
      <c r="Q463" s="21">
        <f t="shared" si="82"/>
        <v>1</v>
      </c>
      <c r="R463" s="663">
        <f t="shared" si="83"/>
        <v>0</v>
      </c>
      <c r="S463" s="316">
        <f t="shared" si="84"/>
        <v>0</v>
      </c>
    </row>
    <row r="464" spans="1:19">
      <c r="A464" s="150"/>
      <c r="B464" s="54"/>
      <c r="C464" s="21">
        <f t="shared" si="75"/>
        <v>1</v>
      </c>
      <c r="D464" s="667"/>
      <c r="E464" s="21">
        <f t="shared" si="76"/>
        <v>1</v>
      </c>
      <c r="F464" s="667"/>
      <c r="G464" s="21">
        <f t="shared" si="77"/>
        <v>1</v>
      </c>
      <c r="H464" s="667"/>
      <c r="I464" s="21">
        <f t="shared" si="78"/>
        <v>1</v>
      </c>
      <c r="J464" s="667"/>
      <c r="K464" s="21">
        <f t="shared" si="79"/>
        <v>1</v>
      </c>
      <c r="L464" s="667"/>
      <c r="M464" s="21">
        <f t="shared" si="80"/>
        <v>1</v>
      </c>
      <c r="N464" s="667"/>
      <c r="O464" s="21">
        <f t="shared" si="81"/>
        <v>1</v>
      </c>
      <c r="P464" s="667"/>
      <c r="Q464" s="21">
        <f t="shared" si="82"/>
        <v>1</v>
      </c>
      <c r="R464" s="663">
        <f t="shared" si="83"/>
        <v>0</v>
      </c>
      <c r="S464" s="316">
        <f t="shared" si="84"/>
        <v>0</v>
      </c>
    </row>
    <row r="465" spans="1:19">
      <c r="A465" s="150"/>
      <c r="B465" s="54"/>
      <c r="C465" s="21">
        <f t="shared" si="75"/>
        <v>1</v>
      </c>
      <c r="D465" s="667"/>
      <c r="E465" s="21">
        <f t="shared" si="76"/>
        <v>1</v>
      </c>
      <c r="F465" s="667"/>
      <c r="G465" s="21">
        <f t="shared" si="77"/>
        <v>1</v>
      </c>
      <c r="H465" s="667"/>
      <c r="I465" s="21">
        <f t="shared" si="78"/>
        <v>1</v>
      </c>
      <c r="J465" s="667"/>
      <c r="K465" s="21">
        <f t="shared" si="79"/>
        <v>1</v>
      </c>
      <c r="L465" s="667"/>
      <c r="M465" s="21">
        <f t="shared" si="80"/>
        <v>1</v>
      </c>
      <c r="N465" s="667"/>
      <c r="O465" s="21">
        <f t="shared" si="81"/>
        <v>1</v>
      </c>
      <c r="P465" s="667"/>
      <c r="Q465" s="21">
        <f t="shared" si="82"/>
        <v>1</v>
      </c>
      <c r="R465" s="663">
        <f t="shared" si="83"/>
        <v>0</v>
      </c>
      <c r="S465" s="316">
        <f t="shared" si="84"/>
        <v>0</v>
      </c>
    </row>
    <row r="466" spans="1:19">
      <c r="A466" s="150"/>
      <c r="B466" s="54"/>
      <c r="C466" s="21">
        <f t="shared" si="75"/>
        <v>1</v>
      </c>
      <c r="D466" s="667"/>
      <c r="E466" s="21">
        <f t="shared" si="76"/>
        <v>1</v>
      </c>
      <c r="F466" s="667"/>
      <c r="G466" s="21">
        <f t="shared" si="77"/>
        <v>1</v>
      </c>
      <c r="H466" s="667"/>
      <c r="I466" s="21">
        <f t="shared" si="78"/>
        <v>1</v>
      </c>
      <c r="J466" s="667"/>
      <c r="K466" s="21">
        <f t="shared" si="79"/>
        <v>1</v>
      </c>
      <c r="L466" s="667"/>
      <c r="M466" s="21">
        <f t="shared" si="80"/>
        <v>1</v>
      </c>
      <c r="N466" s="667"/>
      <c r="O466" s="21">
        <f t="shared" si="81"/>
        <v>1</v>
      </c>
      <c r="P466" s="667"/>
      <c r="Q466" s="21">
        <f t="shared" si="82"/>
        <v>1</v>
      </c>
      <c r="R466" s="663">
        <f t="shared" si="83"/>
        <v>0</v>
      </c>
      <c r="S466" s="316">
        <f t="shared" si="84"/>
        <v>0</v>
      </c>
    </row>
    <row r="467" spans="1:19">
      <c r="A467" s="150"/>
      <c r="B467" s="54"/>
      <c r="C467" s="21">
        <f t="shared" si="75"/>
        <v>1</v>
      </c>
      <c r="D467" s="667"/>
      <c r="E467" s="21">
        <f t="shared" si="76"/>
        <v>1</v>
      </c>
      <c r="F467" s="667"/>
      <c r="G467" s="21">
        <f t="shared" si="77"/>
        <v>1</v>
      </c>
      <c r="H467" s="667"/>
      <c r="I467" s="21">
        <f t="shared" si="78"/>
        <v>1</v>
      </c>
      <c r="J467" s="667"/>
      <c r="K467" s="21">
        <f t="shared" si="79"/>
        <v>1</v>
      </c>
      <c r="L467" s="667"/>
      <c r="M467" s="21">
        <f t="shared" si="80"/>
        <v>1</v>
      </c>
      <c r="N467" s="667"/>
      <c r="O467" s="21">
        <f t="shared" si="81"/>
        <v>1</v>
      </c>
      <c r="P467" s="667"/>
      <c r="Q467" s="21">
        <f t="shared" si="82"/>
        <v>1</v>
      </c>
      <c r="R467" s="663">
        <f t="shared" si="83"/>
        <v>0</v>
      </c>
      <c r="S467" s="316">
        <f t="shared" si="84"/>
        <v>0</v>
      </c>
    </row>
    <row r="468" spans="1:19">
      <c r="A468" s="150"/>
      <c r="B468" s="54"/>
      <c r="C468" s="21">
        <f t="shared" si="75"/>
        <v>1</v>
      </c>
      <c r="D468" s="667"/>
      <c r="E468" s="21">
        <f t="shared" si="76"/>
        <v>1</v>
      </c>
      <c r="F468" s="667"/>
      <c r="G468" s="21">
        <f t="shared" si="77"/>
        <v>1</v>
      </c>
      <c r="H468" s="667"/>
      <c r="I468" s="21">
        <f t="shared" si="78"/>
        <v>1</v>
      </c>
      <c r="J468" s="667"/>
      <c r="K468" s="21">
        <f t="shared" si="79"/>
        <v>1</v>
      </c>
      <c r="L468" s="667"/>
      <c r="M468" s="21">
        <f t="shared" si="80"/>
        <v>1</v>
      </c>
      <c r="N468" s="667"/>
      <c r="O468" s="21">
        <f t="shared" si="81"/>
        <v>1</v>
      </c>
      <c r="P468" s="667"/>
      <c r="Q468" s="21">
        <f t="shared" si="82"/>
        <v>1</v>
      </c>
      <c r="R468" s="663">
        <f t="shared" si="83"/>
        <v>0</v>
      </c>
      <c r="S468" s="316">
        <f t="shared" ref="S468:S497" si="85">ROUND(R468*B468/10000,0)</f>
        <v>0</v>
      </c>
    </row>
    <row r="469" spans="1:19">
      <c r="A469" s="150"/>
      <c r="B469" s="54"/>
      <c r="C469" s="21">
        <f t="shared" si="75"/>
        <v>1</v>
      </c>
      <c r="D469" s="667"/>
      <c r="E469" s="21">
        <f t="shared" si="76"/>
        <v>1</v>
      </c>
      <c r="F469" s="667"/>
      <c r="G469" s="21">
        <f t="shared" si="77"/>
        <v>1</v>
      </c>
      <c r="H469" s="667"/>
      <c r="I469" s="21">
        <f t="shared" si="78"/>
        <v>1</v>
      </c>
      <c r="J469" s="667"/>
      <c r="K469" s="21">
        <f t="shared" si="79"/>
        <v>1</v>
      </c>
      <c r="L469" s="667"/>
      <c r="M469" s="21">
        <f t="shared" si="80"/>
        <v>1</v>
      </c>
      <c r="N469" s="667"/>
      <c r="O469" s="21">
        <f t="shared" si="81"/>
        <v>1</v>
      </c>
      <c r="P469" s="667"/>
      <c r="Q469" s="21">
        <f t="shared" si="82"/>
        <v>1</v>
      </c>
      <c r="R469" s="663">
        <f t="shared" si="83"/>
        <v>0</v>
      </c>
      <c r="S469" s="316">
        <f t="shared" si="85"/>
        <v>0</v>
      </c>
    </row>
    <row r="470" spans="1:19">
      <c r="A470" s="150"/>
      <c r="B470" s="54"/>
      <c r="C470" s="21">
        <f t="shared" si="75"/>
        <v>1</v>
      </c>
      <c r="D470" s="667"/>
      <c r="E470" s="21">
        <f t="shared" si="76"/>
        <v>1</v>
      </c>
      <c r="F470" s="667"/>
      <c r="G470" s="21">
        <f t="shared" si="77"/>
        <v>1</v>
      </c>
      <c r="H470" s="667"/>
      <c r="I470" s="21">
        <f t="shared" si="78"/>
        <v>1</v>
      </c>
      <c r="J470" s="667"/>
      <c r="K470" s="21">
        <f t="shared" si="79"/>
        <v>1</v>
      </c>
      <c r="L470" s="667"/>
      <c r="M470" s="21">
        <f t="shared" si="80"/>
        <v>1</v>
      </c>
      <c r="N470" s="667"/>
      <c r="O470" s="21">
        <f t="shared" si="81"/>
        <v>1</v>
      </c>
      <c r="P470" s="667"/>
      <c r="Q470" s="21">
        <f t="shared" si="82"/>
        <v>1</v>
      </c>
      <c r="R470" s="663">
        <f t="shared" si="83"/>
        <v>0</v>
      </c>
      <c r="S470" s="316">
        <f t="shared" si="85"/>
        <v>0</v>
      </c>
    </row>
    <row r="471" spans="1:19">
      <c r="A471" s="150"/>
      <c r="B471" s="54"/>
      <c r="C471" s="21">
        <f t="shared" si="75"/>
        <v>1</v>
      </c>
      <c r="D471" s="667"/>
      <c r="E471" s="21">
        <f t="shared" si="76"/>
        <v>1</v>
      </c>
      <c r="F471" s="667"/>
      <c r="G471" s="21">
        <f t="shared" si="77"/>
        <v>1</v>
      </c>
      <c r="H471" s="667"/>
      <c r="I471" s="21">
        <f t="shared" si="78"/>
        <v>1</v>
      </c>
      <c r="J471" s="667"/>
      <c r="K471" s="21">
        <f t="shared" si="79"/>
        <v>1</v>
      </c>
      <c r="L471" s="667"/>
      <c r="M471" s="21">
        <f t="shared" si="80"/>
        <v>1</v>
      </c>
      <c r="N471" s="667"/>
      <c r="O471" s="21">
        <f t="shared" si="81"/>
        <v>1</v>
      </c>
      <c r="P471" s="667"/>
      <c r="Q471" s="21">
        <f t="shared" si="82"/>
        <v>1</v>
      </c>
      <c r="R471" s="663">
        <f t="shared" si="83"/>
        <v>0</v>
      </c>
      <c r="S471" s="316">
        <f t="shared" si="85"/>
        <v>0</v>
      </c>
    </row>
    <row r="472" spans="1:19">
      <c r="A472" s="150"/>
      <c r="B472" s="54"/>
      <c r="C472" s="21">
        <f t="shared" si="75"/>
        <v>1</v>
      </c>
      <c r="D472" s="667"/>
      <c r="E472" s="21">
        <f t="shared" si="76"/>
        <v>1</v>
      </c>
      <c r="F472" s="667"/>
      <c r="G472" s="21">
        <f t="shared" si="77"/>
        <v>1</v>
      </c>
      <c r="H472" s="667"/>
      <c r="I472" s="21">
        <f t="shared" si="78"/>
        <v>1</v>
      </c>
      <c r="J472" s="667"/>
      <c r="K472" s="21">
        <f t="shared" si="79"/>
        <v>1</v>
      </c>
      <c r="L472" s="667"/>
      <c r="M472" s="21">
        <f t="shared" si="80"/>
        <v>1</v>
      </c>
      <c r="N472" s="667"/>
      <c r="O472" s="21">
        <f t="shared" si="81"/>
        <v>1</v>
      </c>
      <c r="P472" s="667"/>
      <c r="Q472" s="21">
        <f t="shared" si="82"/>
        <v>1</v>
      </c>
      <c r="R472" s="663">
        <f t="shared" si="83"/>
        <v>0</v>
      </c>
      <c r="S472" s="316">
        <f t="shared" si="85"/>
        <v>0</v>
      </c>
    </row>
    <row r="473" spans="1:19">
      <c r="A473" s="150"/>
      <c r="B473" s="54"/>
      <c r="C473" s="21">
        <f t="shared" si="75"/>
        <v>1</v>
      </c>
      <c r="D473" s="667"/>
      <c r="E473" s="21">
        <f t="shared" si="76"/>
        <v>1</v>
      </c>
      <c r="F473" s="667"/>
      <c r="G473" s="21">
        <f t="shared" si="77"/>
        <v>1</v>
      </c>
      <c r="H473" s="667"/>
      <c r="I473" s="21">
        <f t="shared" si="78"/>
        <v>1</v>
      </c>
      <c r="J473" s="667"/>
      <c r="K473" s="21">
        <f t="shared" si="79"/>
        <v>1</v>
      </c>
      <c r="L473" s="667"/>
      <c r="M473" s="21">
        <f t="shared" si="80"/>
        <v>1</v>
      </c>
      <c r="N473" s="667"/>
      <c r="O473" s="21">
        <f t="shared" si="81"/>
        <v>1</v>
      </c>
      <c r="P473" s="667"/>
      <c r="Q473" s="21">
        <f t="shared" si="82"/>
        <v>1</v>
      </c>
      <c r="R473" s="663">
        <f t="shared" si="83"/>
        <v>0</v>
      </c>
      <c r="S473" s="316">
        <f t="shared" si="85"/>
        <v>0</v>
      </c>
    </row>
    <row r="474" spans="1:19">
      <c r="A474" s="150"/>
      <c r="B474" s="54"/>
      <c r="C474" s="21">
        <f t="shared" ref="C474:C524" si="86">IF(B474="",1,(LOOKUP(B474,$3:$3,$4:$4)-LOOKUP($B$24,$3:$3,$4:$4)+100)/100)</f>
        <v>1</v>
      </c>
      <c r="D474" s="667"/>
      <c r="E474" s="21">
        <f t="shared" ref="E474:E524" si="87">(SUMIF($5:$5,D474,$6:$6)-SUMIF($5:$5,$D$24,$6:$6)+100)/100</f>
        <v>1</v>
      </c>
      <c r="F474" s="667"/>
      <c r="G474" s="21">
        <f t="shared" ref="G474:G524" si="88">(SUMIF($7:$7,F474,$8:$8)-SUMIF($7:$7,$F$24,$8:$8)+100)/100</f>
        <v>1</v>
      </c>
      <c r="H474" s="667"/>
      <c r="I474" s="21">
        <f t="shared" ref="I474:I524" si="89">(SUMIF($9:$9,H474,$10:$10)-SUMIF($9:$9,$H$24,$10:$10)+100)/100</f>
        <v>1</v>
      </c>
      <c r="J474" s="667"/>
      <c r="K474" s="21">
        <f t="shared" ref="K474:K524" si="90">(SUMIF($11:$11,J474,$12:$12)-SUMIF($11:$11,$J$24,$12:$12)+100)/100</f>
        <v>1</v>
      </c>
      <c r="L474" s="667"/>
      <c r="M474" s="21">
        <f t="shared" ref="M474:M524" si="91">(SUMIF($13:$13,L474,$14:$14)-SUMIF($13:$13,$L$24,$14:$14)+100)/100</f>
        <v>1</v>
      </c>
      <c r="N474" s="667"/>
      <c r="O474" s="21">
        <f t="shared" ref="O474:O524" si="92">(SUMIF($15:$15,N474,$16:$16)-SUMIF($15:$15,$N$24,$16:$16)+100)/100</f>
        <v>1</v>
      </c>
      <c r="P474" s="667"/>
      <c r="Q474" s="21">
        <f t="shared" ref="Q474:Q524" si="93">(SUMIF($17:$17,P474,$18:$18)-SUMIF($17:$17,$P$24,$18:$18)+100)/100</f>
        <v>1</v>
      </c>
      <c r="R474" s="663">
        <f t="shared" ref="R474:R524" si="94">IF(B474="",0,ROUND($R$24*C474*E474*G474*I474*K474*M474*O474*Q474,0))</f>
        <v>0</v>
      </c>
      <c r="S474" s="316">
        <f t="shared" si="85"/>
        <v>0</v>
      </c>
    </row>
    <row r="475" spans="1:19">
      <c r="A475" s="150"/>
      <c r="B475" s="54"/>
      <c r="C475" s="21">
        <f t="shared" si="86"/>
        <v>1</v>
      </c>
      <c r="D475" s="667"/>
      <c r="E475" s="21">
        <f t="shared" si="87"/>
        <v>1</v>
      </c>
      <c r="F475" s="667"/>
      <c r="G475" s="21">
        <f t="shared" si="88"/>
        <v>1</v>
      </c>
      <c r="H475" s="667"/>
      <c r="I475" s="21">
        <f t="shared" si="89"/>
        <v>1</v>
      </c>
      <c r="J475" s="667"/>
      <c r="K475" s="21">
        <f t="shared" si="90"/>
        <v>1</v>
      </c>
      <c r="L475" s="667"/>
      <c r="M475" s="21">
        <f t="shared" si="91"/>
        <v>1</v>
      </c>
      <c r="N475" s="667"/>
      <c r="O475" s="21">
        <f t="shared" si="92"/>
        <v>1</v>
      </c>
      <c r="P475" s="667"/>
      <c r="Q475" s="21">
        <f t="shared" si="93"/>
        <v>1</v>
      </c>
      <c r="R475" s="663">
        <f t="shared" si="94"/>
        <v>0</v>
      </c>
      <c r="S475" s="316">
        <f t="shared" si="85"/>
        <v>0</v>
      </c>
    </row>
    <row r="476" spans="1:19">
      <c r="A476" s="150"/>
      <c r="B476" s="54"/>
      <c r="C476" s="21">
        <f t="shared" si="86"/>
        <v>1</v>
      </c>
      <c r="D476" s="667"/>
      <c r="E476" s="21">
        <f t="shared" si="87"/>
        <v>1</v>
      </c>
      <c r="F476" s="667"/>
      <c r="G476" s="21">
        <f t="shared" si="88"/>
        <v>1</v>
      </c>
      <c r="H476" s="667"/>
      <c r="I476" s="21">
        <f t="shared" si="89"/>
        <v>1</v>
      </c>
      <c r="J476" s="667"/>
      <c r="K476" s="21">
        <f t="shared" si="90"/>
        <v>1</v>
      </c>
      <c r="L476" s="667"/>
      <c r="M476" s="21">
        <f t="shared" si="91"/>
        <v>1</v>
      </c>
      <c r="N476" s="667"/>
      <c r="O476" s="21">
        <f t="shared" si="92"/>
        <v>1</v>
      </c>
      <c r="P476" s="667"/>
      <c r="Q476" s="21">
        <f t="shared" si="93"/>
        <v>1</v>
      </c>
      <c r="R476" s="663">
        <f t="shared" si="94"/>
        <v>0</v>
      </c>
      <c r="S476" s="316">
        <f t="shared" si="85"/>
        <v>0</v>
      </c>
    </row>
    <row r="477" spans="1:19">
      <c r="A477" s="150"/>
      <c r="B477" s="54"/>
      <c r="C477" s="21">
        <f t="shared" si="86"/>
        <v>1</v>
      </c>
      <c r="D477" s="667"/>
      <c r="E477" s="21">
        <f t="shared" si="87"/>
        <v>1</v>
      </c>
      <c r="F477" s="667"/>
      <c r="G477" s="21">
        <f t="shared" si="88"/>
        <v>1</v>
      </c>
      <c r="H477" s="667"/>
      <c r="I477" s="21">
        <f t="shared" si="89"/>
        <v>1</v>
      </c>
      <c r="J477" s="667"/>
      <c r="K477" s="21">
        <f t="shared" si="90"/>
        <v>1</v>
      </c>
      <c r="L477" s="667"/>
      <c r="M477" s="21">
        <f t="shared" si="91"/>
        <v>1</v>
      </c>
      <c r="N477" s="667"/>
      <c r="O477" s="21">
        <f t="shared" si="92"/>
        <v>1</v>
      </c>
      <c r="P477" s="667"/>
      <c r="Q477" s="21">
        <f t="shared" si="93"/>
        <v>1</v>
      </c>
      <c r="R477" s="663">
        <f t="shared" si="94"/>
        <v>0</v>
      </c>
      <c r="S477" s="316">
        <f t="shared" si="85"/>
        <v>0</v>
      </c>
    </row>
    <row r="478" spans="1:19">
      <c r="A478" s="150"/>
      <c r="B478" s="54"/>
      <c r="C478" s="21">
        <f t="shared" si="86"/>
        <v>1</v>
      </c>
      <c r="D478" s="667"/>
      <c r="E478" s="21">
        <f t="shared" si="87"/>
        <v>1</v>
      </c>
      <c r="F478" s="667"/>
      <c r="G478" s="21">
        <f t="shared" si="88"/>
        <v>1</v>
      </c>
      <c r="H478" s="667"/>
      <c r="I478" s="21">
        <f t="shared" si="89"/>
        <v>1</v>
      </c>
      <c r="J478" s="667"/>
      <c r="K478" s="21">
        <f t="shared" si="90"/>
        <v>1</v>
      </c>
      <c r="L478" s="667"/>
      <c r="M478" s="21">
        <f t="shared" si="91"/>
        <v>1</v>
      </c>
      <c r="N478" s="667"/>
      <c r="O478" s="21">
        <f t="shared" si="92"/>
        <v>1</v>
      </c>
      <c r="P478" s="667"/>
      <c r="Q478" s="21">
        <f t="shared" si="93"/>
        <v>1</v>
      </c>
      <c r="R478" s="663">
        <f t="shared" si="94"/>
        <v>0</v>
      </c>
      <c r="S478" s="316">
        <f t="shared" si="85"/>
        <v>0</v>
      </c>
    </row>
    <row r="479" spans="1:19">
      <c r="A479" s="150"/>
      <c r="B479" s="54"/>
      <c r="C479" s="21">
        <f t="shared" si="86"/>
        <v>1</v>
      </c>
      <c r="D479" s="667"/>
      <c r="E479" s="21">
        <f t="shared" si="87"/>
        <v>1</v>
      </c>
      <c r="F479" s="667"/>
      <c r="G479" s="21">
        <f t="shared" si="88"/>
        <v>1</v>
      </c>
      <c r="H479" s="667"/>
      <c r="I479" s="21">
        <f t="shared" si="89"/>
        <v>1</v>
      </c>
      <c r="J479" s="667"/>
      <c r="K479" s="21">
        <f t="shared" si="90"/>
        <v>1</v>
      </c>
      <c r="L479" s="667"/>
      <c r="M479" s="21">
        <f t="shared" si="91"/>
        <v>1</v>
      </c>
      <c r="N479" s="667"/>
      <c r="O479" s="21">
        <f t="shared" si="92"/>
        <v>1</v>
      </c>
      <c r="P479" s="667"/>
      <c r="Q479" s="21">
        <f t="shared" si="93"/>
        <v>1</v>
      </c>
      <c r="R479" s="663">
        <f t="shared" si="94"/>
        <v>0</v>
      </c>
      <c r="S479" s="316">
        <f t="shared" si="85"/>
        <v>0</v>
      </c>
    </row>
    <row r="480" spans="1:19">
      <c r="A480" s="150"/>
      <c r="B480" s="54"/>
      <c r="C480" s="21">
        <f t="shared" si="86"/>
        <v>1</v>
      </c>
      <c r="D480" s="667"/>
      <c r="E480" s="21">
        <f t="shared" si="87"/>
        <v>1</v>
      </c>
      <c r="F480" s="667"/>
      <c r="G480" s="21">
        <f t="shared" si="88"/>
        <v>1</v>
      </c>
      <c r="H480" s="667"/>
      <c r="I480" s="21">
        <f t="shared" si="89"/>
        <v>1</v>
      </c>
      <c r="J480" s="667"/>
      <c r="K480" s="21">
        <f t="shared" si="90"/>
        <v>1</v>
      </c>
      <c r="L480" s="667"/>
      <c r="M480" s="21">
        <f t="shared" si="91"/>
        <v>1</v>
      </c>
      <c r="N480" s="667"/>
      <c r="O480" s="21">
        <f t="shared" si="92"/>
        <v>1</v>
      </c>
      <c r="P480" s="667"/>
      <c r="Q480" s="21">
        <f t="shared" si="93"/>
        <v>1</v>
      </c>
      <c r="R480" s="663">
        <f t="shared" si="94"/>
        <v>0</v>
      </c>
      <c r="S480" s="316">
        <f t="shared" si="85"/>
        <v>0</v>
      </c>
    </row>
    <row r="481" spans="1:19">
      <c r="A481" s="150"/>
      <c r="B481" s="54"/>
      <c r="C481" s="21">
        <f t="shared" si="86"/>
        <v>1</v>
      </c>
      <c r="D481" s="667"/>
      <c r="E481" s="21">
        <f t="shared" si="87"/>
        <v>1</v>
      </c>
      <c r="F481" s="667"/>
      <c r="G481" s="21">
        <f t="shared" si="88"/>
        <v>1</v>
      </c>
      <c r="H481" s="667"/>
      <c r="I481" s="21">
        <f t="shared" si="89"/>
        <v>1</v>
      </c>
      <c r="J481" s="667"/>
      <c r="K481" s="21">
        <f t="shared" si="90"/>
        <v>1</v>
      </c>
      <c r="L481" s="667"/>
      <c r="M481" s="21">
        <f t="shared" si="91"/>
        <v>1</v>
      </c>
      <c r="N481" s="667"/>
      <c r="O481" s="21">
        <f t="shared" si="92"/>
        <v>1</v>
      </c>
      <c r="P481" s="667"/>
      <c r="Q481" s="21">
        <f t="shared" si="93"/>
        <v>1</v>
      </c>
      <c r="R481" s="663">
        <f t="shared" si="94"/>
        <v>0</v>
      </c>
      <c r="S481" s="316">
        <f t="shared" si="85"/>
        <v>0</v>
      </c>
    </row>
    <row r="482" spans="1:19">
      <c r="A482" s="150"/>
      <c r="B482" s="54"/>
      <c r="C482" s="21">
        <f t="shared" si="86"/>
        <v>1</v>
      </c>
      <c r="D482" s="667"/>
      <c r="E482" s="21">
        <f t="shared" si="87"/>
        <v>1</v>
      </c>
      <c r="F482" s="667"/>
      <c r="G482" s="21">
        <f t="shared" si="88"/>
        <v>1</v>
      </c>
      <c r="H482" s="667"/>
      <c r="I482" s="21">
        <f t="shared" si="89"/>
        <v>1</v>
      </c>
      <c r="J482" s="667"/>
      <c r="K482" s="21">
        <f t="shared" si="90"/>
        <v>1</v>
      </c>
      <c r="L482" s="667"/>
      <c r="M482" s="21">
        <f t="shared" si="91"/>
        <v>1</v>
      </c>
      <c r="N482" s="667"/>
      <c r="O482" s="21">
        <f t="shared" si="92"/>
        <v>1</v>
      </c>
      <c r="P482" s="667"/>
      <c r="Q482" s="21">
        <f t="shared" si="93"/>
        <v>1</v>
      </c>
      <c r="R482" s="663">
        <f t="shared" si="94"/>
        <v>0</v>
      </c>
      <c r="S482" s="316">
        <f t="shared" si="85"/>
        <v>0</v>
      </c>
    </row>
    <row r="483" spans="1:19">
      <c r="A483" s="150"/>
      <c r="B483" s="54"/>
      <c r="C483" s="21">
        <f t="shared" si="86"/>
        <v>1</v>
      </c>
      <c r="D483" s="667"/>
      <c r="E483" s="21">
        <f t="shared" si="87"/>
        <v>1</v>
      </c>
      <c r="F483" s="667"/>
      <c r="G483" s="21">
        <f t="shared" si="88"/>
        <v>1</v>
      </c>
      <c r="H483" s="667"/>
      <c r="I483" s="21">
        <f t="shared" si="89"/>
        <v>1</v>
      </c>
      <c r="J483" s="667"/>
      <c r="K483" s="21">
        <f t="shared" si="90"/>
        <v>1</v>
      </c>
      <c r="L483" s="667"/>
      <c r="M483" s="21">
        <f t="shared" si="91"/>
        <v>1</v>
      </c>
      <c r="N483" s="667"/>
      <c r="O483" s="21">
        <f t="shared" si="92"/>
        <v>1</v>
      </c>
      <c r="P483" s="667"/>
      <c r="Q483" s="21">
        <f t="shared" si="93"/>
        <v>1</v>
      </c>
      <c r="R483" s="663">
        <f t="shared" si="94"/>
        <v>0</v>
      </c>
      <c r="S483" s="316">
        <f t="shared" si="85"/>
        <v>0</v>
      </c>
    </row>
    <row r="484" spans="1:19">
      <c r="A484" s="150"/>
      <c r="B484" s="54"/>
      <c r="C484" s="21">
        <f t="shared" si="86"/>
        <v>1</v>
      </c>
      <c r="D484" s="667"/>
      <c r="E484" s="21">
        <f t="shared" si="87"/>
        <v>1</v>
      </c>
      <c r="F484" s="667"/>
      <c r="G484" s="21">
        <f t="shared" si="88"/>
        <v>1</v>
      </c>
      <c r="H484" s="667"/>
      <c r="I484" s="21">
        <f t="shared" si="89"/>
        <v>1</v>
      </c>
      <c r="J484" s="667"/>
      <c r="K484" s="21">
        <f t="shared" si="90"/>
        <v>1</v>
      </c>
      <c r="L484" s="667"/>
      <c r="M484" s="21">
        <f t="shared" si="91"/>
        <v>1</v>
      </c>
      <c r="N484" s="667"/>
      <c r="O484" s="21">
        <f t="shared" si="92"/>
        <v>1</v>
      </c>
      <c r="P484" s="667"/>
      <c r="Q484" s="21">
        <f t="shared" si="93"/>
        <v>1</v>
      </c>
      <c r="R484" s="663">
        <f t="shared" si="94"/>
        <v>0</v>
      </c>
      <c r="S484" s="316">
        <f t="shared" si="85"/>
        <v>0</v>
      </c>
    </row>
    <row r="485" spans="1:19">
      <c r="A485" s="150"/>
      <c r="B485" s="54"/>
      <c r="C485" s="21">
        <f t="shared" si="86"/>
        <v>1</v>
      </c>
      <c r="D485" s="667"/>
      <c r="E485" s="21">
        <f t="shared" si="87"/>
        <v>1</v>
      </c>
      <c r="F485" s="667"/>
      <c r="G485" s="21">
        <f t="shared" si="88"/>
        <v>1</v>
      </c>
      <c r="H485" s="667"/>
      <c r="I485" s="21">
        <f t="shared" si="89"/>
        <v>1</v>
      </c>
      <c r="J485" s="667"/>
      <c r="K485" s="21">
        <f t="shared" si="90"/>
        <v>1</v>
      </c>
      <c r="L485" s="667"/>
      <c r="M485" s="21">
        <f t="shared" si="91"/>
        <v>1</v>
      </c>
      <c r="N485" s="667"/>
      <c r="O485" s="21">
        <f t="shared" si="92"/>
        <v>1</v>
      </c>
      <c r="P485" s="667"/>
      <c r="Q485" s="21">
        <f t="shared" si="93"/>
        <v>1</v>
      </c>
      <c r="R485" s="663">
        <f t="shared" si="94"/>
        <v>0</v>
      </c>
      <c r="S485" s="316">
        <f t="shared" si="85"/>
        <v>0</v>
      </c>
    </row>
    <row r="486" spans="1:19">
      <c r="A486" s="150"/>
      <c r="B486" s="54"/>
      <c r="C486" s="21">
        <f t="shared" si="86"/>
        <v>1</v>
      </c>
      <c r="D486" s="667"/>
      <c r="E486" s="21">
        <f t="shared" si="87"/>
        <v>1</v>
      </c>
      <c r="F486" s="667"/>
      <c r="G486" s="21">
        <f t="shared" si="88"/>
        <v>1</v>
      </c>
      <c r="H486" s="667"/>
      <c r="I486" s="21">
        <f t="shared" si="89"/>
        <v>1</v>
      </c>
      <c r="J486" s="667"/>
      <c r="K486" s="21">
        <f t="shared" si="90"/>
        <v>1</v>
      </c>
      <c r="L486" s="667"/>
      <c r="M486" s="21">
        <f t="shared" si="91"/>
        <v>1</v>
      </c>
      <c r="N486" s="667"/>
      <c r="O486" s="21">
        <f t="shared" si="92"/>
        <v>1</v>
      </c>
      <c r="P486" s="667"/>
      <c r="Q486" s="21">
        <f t="shared" si="93"/>
        <v>1</v>
      </c>
      <c r="R486" s="663">
        <f t="shared" si="94"/>
        <v>0</v>
      </c>
      <c r="S486" s="316">
        <f t="shared" si="85"/>
        <v>0</v>
      </c>
    </row>
    <row r="487" spans="1:19">
      <c r="A487" s="150"/>
      <c r="B487" s="54"/>
      <c r="C487" s="21">
        <f t="shared" si="86"/>
        <v>1</v>
      </c>
      <c r="D487" s="667"/>
      <c r="E487" s="21">
        <f t="shared" si="87"/>
        <v>1</v>
      </c>
      <c r="F487" s="667"/>
      <c r="G487" s="21">
        <f t="shared" si="88"/>
        <v>1</v>
      </c>
      <c r="H487" s="667"/>
      <c r="I487" s="21">
        <f t="shared" si="89"/>
        <v>1</v>
      </c>
      <c r="J487" s="667"/>
      <c r="K487" s="21">
        <f t="shared" si="90"/>
        <v>1</v>
      </c>
      <c r="L487" s="667"/>
      <c r="M487" s="21">
        <f t="shared" si="91"/>
        <v>1</v>
      </c>
      <c r="N487" s="667"/>
      <c r="O487" s="21">
        <f t="shared" si="92"/>
        <v>1</v>
      </c>
      <c r="P487" s="667"/>
      <c r="Q487" s="21">
        <f t="shared" si="93"/>
        <v>1</v>
      </c>
      <c r="R487" s="663">
        <f t="shared" si="94"/>
        <v>0</v>
      </c>
      <c r="S487" s="316">
        <f t="shared" si="85"/>
        <v>0</v>
      </c>
    </row>
    <row r="488" spans="1:19">
      <c r="A488" s="150"/>
      <c r="B488" s="54"/>
      <c r="C488" s="21">
        <f t="shared" si="86"/>
        <v>1</v>
      </c>
      <c r="D488" s="667"/>
      <c r="E488" s="21">
        <f t="shared" si="87"/>
        <v>1</v>
      </c>
      <c r="F488" s="667"/>
      <c r="G488" s="21">
        <f t="shared" si="88"/>
        <v>1</v>
      </c>
      <c r="H488" s="667"/>
      <c r="I488" s="21">
        <f t="shared" si="89"/>
        <v>1</v>
      </c>
      <c r="J488" s="667"/>
      <c r="K488" s="21">
        <f t="shared" si="90"/>
        <v>1</v>
      </c>
      <c r="L488" s="667"/>
      <c r="M488" s="21">
        <f t="shared" si="91"/>
        <v>1</v>
      </c>
      <c r="N488" s="667"/>
      <c r="O488" s="21">
        <f t="shared" si="92"/>
        <v>1</v>
      </c>
      <c r="P488" s="667"/>
      <c r="Q488" s="21">
        <f t="shared" si="93"/>
        <v>1</v>
      </c>
      <c r="R488" s="663">
        <f t="shared" si="94"/>
        <v>0</v>
      </c>
      <c r="S488" s="316">
        <f t="shared" si="85"/>
        <v>0</v>
      </c>
    </row>
    <row r="489" spans="1:19">
      <c r="A489" s="150"/>
      <c r="B489" s="54"/>
      <c r="C489" s="21">
        <f t="shared" si="86"/>
        <v>1</v>
      </c>
      <c r="D489" s="667"/>
      <c r="E489" s="21">
        <f t="shared" si="87"/>
        <v>1</v>
      </c>
      <c r="F489" s="667"/>
      <c r="G489" s="21">
        <f t="shared" si="88"/>
        <v>1</v>
      </c>
      <c r="H489" s="667"/>
      <c r="I489" s="21">
        <f t="shared" si="89"/>
        <v>1</v>
      </c>
      <c r="J489" s="667"/>
      <c r="K489" s="21">
        <f t="shared" si="90"/>
        <v>1</v>
      </c>
      <c r="L489" s="667"/>
      <c r="M489" s="21">
        <f t="shared" si="91"/>
        <v>1</v>
      </c>
      <c r="N489" s="667"/>
      <c r="O489" s="21">
        <f t="shared" si="92"/>
        <v>1</v>
      </c>
      <c r="P489" s="667"/>
      <c r="Q489" s="21">
        <f t="shared" si="93"/>
        <v>1</v>
      </c>
      <c r="R489" s="663">
        <f t="shared" si="94"/>
        <v>0</v>
      </c>
      <c r="S489" s="316">
        <f t="shared" si="85"/>
        <v>0</v>
      </c>
    </row>
    <row r="490" spans="1:19">
      <c r="A490" s="150"/>
      <c r="B490" s="54"/>
      <c r="C490" s="21">
        <f t="shared" si="86"/>
        <v>1</v>
      </c>
      <c r="D490" s="667"/>
      <c r="E490" s="21">
        <f t="shared" si="87"/>
        <v>1</v>
      </c>
      <c r="F490" s="667"/>
      <c r="G490" s="21">
        <f t="shared" si="88"/>
        <v>1</v>
      </c>
      <c r="H490" s="667"/>
      <c r="I490" s="21">
        <f t="shared" si="89"/>
        <v>1</v>
      </c>
      <c r="J490" s="667"/>
      <c r="K490" s="21">
        <f t="shared" si="90"/>
        <v>1</v>
      </c>
      <c r="L490" s="667"/>
      <c r="M490" s="21">
        <f t="shared" si="91"/>
        <v>1</v>
      </c>
      <c r="N490" s="667"/>
      <c r="O490" s="21">
        <f t="shared" si="92"/>
        <v>1</v>
      </c>
      <c r="P490" s="667"/>
      <c r="Q490" s="21">
        <f t="shared" si="93"/>
        <v>1</v>
      </c>
      <c r="R490" s="663">
        <f t="shared" si="94"/>
        <v>0</v>
      </c>
      <c r="S490" s="316">
        <f t="shared" si="85"/>
        <v>0</v>
      </c>
    </row>
    <row r="491" spans="1:19">
      <c r="A491" s="150"/>
      <c r="B491" s="54"/>
      <c r="C491" s="21">
        <f t="shared" si="86"/>
        <v>1</v>
      </c>
      <c r="D491" s="667"/>
      <c r="E491" s="21">
        <f t="shared" si="87"/>
        <v>1</v>
      </c>
      <c r="F491" s="667"/>
      <c r="G491" s="21">
        <f t="shared" si="88"/>
        <v>1</v>
      </c>
      <c r="H491" s="667"/>
      <c r="I491" s="21">
        <f t="shared" si="89"/>
        <v>1</v>
      </c>
      <c r="J491" s="667"/>
      <c r="K491" s="21">
        <f t="shared" si="90"/>
        <v>1</v>
      </c>
      <c r="L491" s="667"/>
      <c r="M491" s="21">
        <f t="shared" si="91"/>
        <v>1</v>
      </c>
      <c r="N491" s="667"/>
      <c r="O491" s="21">
        <f t="shared" si="92"/>
        <v>1</v>
      </c>
      <c r="P491" s="667"/>
      <c r="Q491" s="21">
        <f t="shared" si="93"/>
        <v>1</v>
      </c>
      <c r="R491" s="663">
        <f t="shared" si="94"/>
        <v>0</v>
      </c>
      <c r="S491" s="316">
        <f t="shared" si="85"/>
        <v>0</v>
      </c>
    </row>
    <row r="492" spans="1:19">
      <c r="A492" s="150"/>
      <c r="B492" s="54"/>
      <c r="C492" s="21">
        <f t="shared" si="86"/>
        <v>1</v>
      </c>
      <c r="D492" s="667"/>
      <c r="E492" s="21">
        <f t="shared" si="87"/>
        <v>1</v>
      </c>
      <c r="F492" s="667"/>
      <c r="G492" s="21">
        <f t="shared" si="88"/>
        <v>1</v>
      </c>
      <c r="H492" s="667"/>
      <c r="I492" s="21">
        <f t="shared" si="89"/>
        <v>1</v>
      </c>
      <c r="J492" s="667"/>
      <c r="K492" s="21">
        <f t="shared" si="90"/>
        <v>1</v>
      </c>
      <c r="L492" s="667"/>
      <c r="M492" s="21">
        <f t="shared" si="91"/>
        <v>1</v>
      </c>
      <c r="N492" s="667"/>
      <c r="O492" s="21">
        <f t="shared" si="92"/>
        <v>1</v>
      </c>
      <c r="P492" s="667"/>
      <c r="Q492" s="21">
        <f t="shared" si="93"/>
        <v>1</v>
      </c>
      <c r="R492" s="663">
        <f t="shared" si="94"/>
        <v>0</v>
      </c>
      <c r="S492" s="316">
        <f t="shared" si="85"/>
        <v>0</v>
      </c>
    </row>
    <row r="493" spans="1:19">
      <c r="A493" s="150"/>
      <c r="B493" s="54"/>
      <c r="C493" s="21">
        <f t="shared" si="86"/>
        <v>1</v>
      </c>
      <c r="D493" s="667"/>
      <c r="E493" s="21">
        <f t="shared" si="87"/>
        <v>1</v>
      </c>
      <c r="F493" s="667"/>
      <c r="G493" s="21">
        <f t="shared" si="88"/>
        <v>1</v>
      </c>
      <c r="H493" s="667"/>
      <c r="I493" s="21">
        <f t="shared" si="89"/>
        <v>1</v>
      </c>
      <c r="J493" s="667"/>
      <c r="K493" s="21">
        <f t="shared" si="90"/>
        <v>1</v>
      </c>
      <c r="L493" s="667"/>
      <c r="M493" s="21">
        <f t="shared" si="91"/>
        <v>1</v>
      </c>
      <c r="N493" s="667"/>
      <c r="O493" s="21">
        <f t="shared" si="92"/>
        <v>1</v>
      </c>
      <c r="P493" s="667"/>
      <c r="Q493" s="21">
        <f t="shared" si="93"/>
        <v>1</v>
      </c>
      <c r="R493" s="663">
        <f t="shared" si="94"/>
        <v>0</v>
      </c>
      <c r="S493" s="316">
        <f t="shared" si="85"/>
        <v>0</v>
      </c>
    </row>
    <row r="494" spans="1:19">
      <c r="A494" s="150"/>
      <c r="B494" s="54"/>
      <c r="C494" s="21">
        <f t="shared" si="86"/>
        <v>1</v>
      </c>
      <c r="D494" s="667"/>
      <c r="E494" s="21">
        <f t="shared" si="87"/>
        <v>1</v>
      </c>
      <c r="F494" s="667"/>
      <c r="G494" s="21">
        <f t="shared" si="88"/>
        <v>1</v>
      </c>
      <c r="H494" s="667"/>
      <c r="I494" s="21">
        <f t="shared" si="89"/>
        <v>1</v>
      </c>
      <c r="J494" s="667"/>
      <c r="K494" s="21">
        <f t="shared" si="90"/>
        <v>1</v>
      </c>
      <c r="L494" s="667"/>
      <c r="M494" s="21">
        <f t="shared" si="91"/>
        <v>1</v>
      </c>
      <c r="N494" s="667"/>
      <c r="O494" s="21">
        <f t="shared" si="92"/>
        <v>1</v>
      </c>
      <c r="P494" s="667"/>
      <c r="Q494" s="21">
        <f t="shared" si="93"/>
        <v>1</v>
      </c>
      <c r="R494" s="663">
        <f t="shared" si="94"/>
        <v>0</v>
      </c>
      <c r="S494" s="316">
        <f t="shared" si="85"/>
        <v>0</v>
      </c>
    </row>
    <row r="495" spans="1:19">
      <c r="A495" s="150"/>
      <c r="B495" s="54"/>
      <c r="C495" s="21">
        <f t="shared" si="86"/>
        <v>1</v>
      </c>
      <c r="D495" s="667"/>
      <c r="E495" s="21">
        <f t="shared" si="87"/>
        <v>1</v>
      </c>
      <c r="F495" s="667"/>
      <c r="G495" s="21">
        <f t="shared" si="88"/>
        <v>1</v>
      </c>
      <c r="H495" s="667"/>
      <c r="I495" s="21">
        <f t="shared" si="89"/>
        <v>1</v>
      </c>
      <c r="J495" s="667"/>
      <c r="K495" s="21">
        <f t="shared" si="90"/>
        <v>1</v>
      </c>
      <c r="L495" s="667"/>
      <c r="M495" s="21">
        <f t="shared" si="91"/>
        <v>1</v>
      </c>
      <c r="N495" s="667"/>
      <c r="O495" s="21">
        <f t="shared" si="92"/>
        <v>1</v>
      </c>
      <c r="P495" s="667"/>
      <c r="Q495" s="21">
        <f t="shared" si="93"/>
        <v>1</v>
      </c>
      <c r="R495" s="663">
        <f t="shared" si="94"/>
        <v>0</v>
      </c>
      <c r="S495" s="316">
        <f t="shared" si="85"/>
        <v>0</v>
      </c>
    </row>
    <row r="496" spans="1:19">
      <c r="A496" s="150"/>
      <c r="B496" s="54"/>
      <c r="C496" s="21">
        <f t="shared" si="86"/>
        <v>1</v>
      </c>
      <c r="D496" s="667"/>
      <c r="E496" s="21">
        <f t="shared" si="87"/>
        <v>1</v>
      </c>
      <c r="F496" s="667"/>
      <c r="G496" s="21">
        <f t="shared" si="88"/>
        <v>1</v>
      </c>
      <c r="H496" s="667"/>
      <c r="I496" s="21">
        <f t="shared" si="89"/>
        <v>1</v>
      </c>
      <c r="J496" s="667"/>
      <c r="K496" s="21">
        <f t="shared" si="90"/>
        <v>1</v>
      </c>
      <c r="L496" s="667"/>
      <c r="M496" s="21">
        <f t="shared" si="91"/>
        <v>1</v>
      </c>
      <c r="N496" s="667"/>
      <c r="O496" s="21">
        <f t="shared" si="92"/>
        <v>1</v>
      </c>
      <c r="P496" s="667"/>
      <c r="Q496" s="21">
        <f t="shared" si="93"/>
        <v>1</v>
      </c>
      <c r="R496" s="663">
        <f t="shared" si="94"/>
        <v>0</v>
      </c>
      <c r="S496" s="316">
        <f t="shared" si="85"/>
        <v>0</v>
      </c>
    </row>
    <row r="497" spans="1:19">
      <c r="A497" s="150"/>
      <c r="B497" s="54"/>
      <c r="C497" s="21">
        <f t="shared" si="86"/>
        <v>1</v>
      </c>
      <c r="D497" s="667"/>
      <c r="E497" s="21">
        <f t="shared" si="87"/>
        <v>1</v>
      </c>
      <c r="F497" s="667"/>
      <c r="G497" s="21">
        <f t="shared" si="88"/>
        <v>1</v>
      </c>
      <c r="H497" s="667"/>
      <c r="I497" s="21">
        <f t="shared" si="89"/>
        <v>1</v>
      </c>
      <c r="J497" s="667"/>
      <c r="K497" s="21">
        <f t="shared" si="90"/>
        <v>1</v>
      </c>
      <c r="L497" s="667"/>
      <c r="M497" s="21">
        <f t="shared" si="91"/>
        <v>1</v>
      </c>
      <c r="N497" s="667"/>
      <c r="O497" s="21">
        <f t="shared" si="92"/>
        <v>1</v>
      </c>
      <c r="P497" s="667"/>
      <c r="Q497" s="21">
        <f t="shared" si="93"/>
        <v>1</v>
      </c>
      <c r="R497" s="663">
        <f t="shared" si="94"/>
        <v>0</v>
      </c>
      <c r="S497" s="316">
        <f t="shared" si="85"/>
        <v>0</v>
      </c>
    </row>
    <row r="498" spans="1:19">
      <c r="A498" s="150"/>
      <c r="B498" s="54"/>
      <c r="C498" s="21">
        <f t="shared" si="86"/>
        <v>1</v>
      </c>
      <c r="D498" s="667"/>
      <c r="E498" s="21">
        <f t="shared" si="87"/>
        <v>1</v>
      </c>
      <c r="F498" s="667"/>
      <c r="G498" s="21">
        <f t="shared" si="88"/>
        <v>1</v>
      </c>
      <c r="H498" s="667"/>
      <c r="I498" s="21">
        <f t="shared" si="89"/>
        <v>1</v>
      </c>
      <c r="J498" s="667"/>
      <c r="K498" s="21">
        <f t="shared" si="90"/>
        <v>1</v>
      </c>
      <c r="L498" s="667"/>
      <c r="M498" s="21">
        <f t="shared" si="91"/>
        <v>1</v>
      </c>
      <c r="N498" s="667"/>
      <c r="O498" s="21">
        <f t="shared" si="92"/>
        <v>1</v>
      </c>
      <c r="P498" s="667"/>
      <c r="Q498" s="21">
        <f t="shared" si="93"/>
        <v>1</v>
      </c>
      <c r="R498" s="663">
        <f t="shared" si="94"/>
        <v>0</v>
      </c>
      <c r="S498" s="316">
        <f t="shared" ref="S498:S524" si="95">ROUND(R498*B498/10000,0)</f>
        <v>0</v>
      </c>
    </row>
    <row r="499" spans="1:19">
      <c r="A499" s="150"/>
      <c r="B499" s="54"/>
      <c r="C499" s="21">
        <f t="shared" si="86"/>
        <v>1</v>
      </c>
      <c r="D499" s="667"/>
      <c r="E499" s="21">
        <f t="shared" si="87"/>
        <v>1</v>
      </c>
      <c r="F499" s="667"/>
      <c r="G499" s="21">
        <f t="shared" si="88"/>
        <v>1</v>
      </c>
      <c r="H499" s="667"/>
      <c r="I499" s="21">
        <f t="shared" si="89"/>
        <v>1</v>
      </c>
      <c r="J499" s="667"/>
      <c r="K499" s="21">
        <f t="shared" si="90"/>
        <v>1</v>
      </c>
      <c r="L499" s="667"/>
      <c r="M499" s="21">
        <f t="shared" si="91"/>
        <v>1</v>
      </c>
      <c r="N499" s="667"/>
      <c r="O499" s="21">
        <f t="shared" si="92"/>
        <v>1</v>
      </c>
      <c r="P499" s="667"/>
      <c r="Q499" s="21">
        <f t="shared" si="93"/>
        <v>1</v>
      </c>
      <c r="R499" s="663">
        <f t="shared" si="94"/>
        <v>0</v>
      </c>
      <c r="S499" s="316">
        <f t="shared" si="95"/>
        <v>0</v>
      </c>
    </row>
    <row r="500" spans="1:19">
      <c r="A500" s="150"/>
      <c r="B500" s="54"/>
      <c r="C500" s="21">
        <f t="shared" si="86"/>
        <v>1</v>
      </c>
      <c r="D500" s="667"/>
      <c r="E500" s="21">
        <f t="shared" si="87"/>
        <v>1</v>
      </c>
      <c r="F500" s="667"/>
      <c r="G500" s="21">
        <f t="shared" si="88"/>
        <v>1</v>
      </c>
      <c r="H500" s="667"/>
      <c r="I500" s="21">
        <f t="shared" si="89"/>
        <v>1</v>
      </c>
      <c r="J500" s="667"/>
      <c r="K500" s="21">
        <f t="shared" si="90"/>
        <v>1</v>
      </c>
      <c r="L500" s="667"/>
      <c r="M500" s="21">
        <f t="shared" si="91"/>
        <v>1</v>
      </c>
      <c r="N500" s="667"/>
      <c r="O500" s="21">
        <f t="shared" si="92"/>
        <v>1</v>
      </c>
      <c r="P500" s="667"/>
      <c r="Q500" s="21">
        <f t="shared" si="93"/>
        <v>1</v>
      </c>
      <c r="R500" s="663">
        <f t="shared" si="94"/>
        <v>0</v>
      </c>
      <c r="S500" s="316">
        <f t="shared" si="95"/>
        <v>0</v>
      </c>
    </row>
    <row r="501" spans="1:19">
      <c r="A501" s="150"/>
      <c r="B501" s="54"/>
      <c r="C501" s="21">
        <f t="shared" si="86"/>
        <v>1</v>
      </c>
      <c r="D501" s="667"/>
      <c r="E501" s="21">
        <f t="shared" si="87"/>
        <v>1</v>
      </c>
      <c r="F501" s="667"/>
      <c r="G501" s="21">
        <f t="shared" si="88"/>
        <v>1</v>
      </c>
      <c r="H501" s="667"/>
      <c r="I501" s="21">
        <f t="shared" si="89"/>
        <v>1</v>
      </c>
      <c r="J501" s="667"/>
      <c r="K501" s="21">
        <f t="shared" si="90"/>
        <v>1</v>
      </c>
      <c r="L501" s="667"/>
      <c r="M501" s="21">
        <f t="shared" si="91"/>
        <v>1</v>
      </c>
      <c r="N501" s="667"/>
      <c r="O501" s="21">
        <f t="shared" si="92"/>
        <v>1</v>
      </c>
      <c r="P501" s="667"/>
      <c r="Q501" s="21">
        <f t="shared" si="93"/>
        <v>1</v>
      </c>
      <c r="R501" s="663">
        <f t="shared" si="94"/>
        <v>0</v>
      </c>
      <c r="S501" s="316">
        <f t="shared" si="95"/>
        <v>0</v>
      </c>
    </row>
    <row r="502" spans="1:19">
      <c r="A502" s="150"/>
      <c r="B502" s="54"/>
      <c r="C502" s="21">
        <f t="shared" si="86"/>
        <v>1</v>
      </c>
      <c r="D502" s="667"/>
      <c r="E502" s="21">
        <f t="shared" si="87"/>
        <v>1</v>
      </c>
      <c r="F502" s="667"/>
      <c r="G502" s="21">
        <f t="shared" si="88"/>
        <v>1</v>
      </c>
      <c r="H502" s="667"/>
      <c r="I502" s="21">
        <f t="shared" si="89"/>
        <v>1</v>
      </c>
      <c r="J502" s="667"/>
      <c r="K502" s="21">
        <f t="shared" si="90"/>
        <v>1</v>
      </c>
      <c r="L502" s="667"/>
      <c r="M502" s="21">
        <f t="shared" si="91"/>
        <v>1</v>
      </c>
      <c r="N502" s="667"/>
      <c r="O502" s="21">
        <f t="shared" si="92"/>
        <v>1</v>
      </c>
      <c r="P502" s="667"/>
      <c r="Q502" s="21">
        <f t="shared" si="93"/>
        <v>1</v>
      </c>
      <c r="R502" s="663">
        <f t="shared" si="94"/>
        <v>0</v>
      </c>
      <c r="S502" s="316">
        <f t="shared" si="95"/>
        <v>0</v>
      </c>
    </row>
    <row r="503" spans="1:19">
      <c r="A503" s="150"/>
      <c r="B503" s="54"/>
      <c r="C503" s="21">
        <f t="shared" si="86"/>
        <v>1</v>
      </c>
      <c r="D503" s="667"/>
      <c r="E503" s="21">
        <f t="shared" si="87"/>
        <v>1</v>
      </c>
      <c r="F503" s="667"/>
      <c r="G503" s="21">
        <f t="shared" si="88"/>
        <v>1</v>
      </c>
      <c r="H503" s="667"/>
      <c r="I503" s="21">
        <f t="shared" si="89"/>
        <v>1</v>
      </c>
      <c r="J503" s="667"/>
      <c r="K503" s="21">
        <f t="shared" si="90"/>
        <v>1</v>
      </c>
      <c r="L503" s="667"/>
      <c r="M503" s="21">
        <f t="shared" si="91"/>
        <v>1</v>
      </c>
      <c r="N503" s="667"/>
      <c r="O503" s="21">
        <f t="shared" si="92"/>
        <v>1</v>
      </c>
      <c r="P503" s="667"/>
      <c r="Q503" s="21">
        <f t="shared" si="93"/>
        <v>1</v>
      </c>
      <c r="R503" s="663">
        <f t="shared" si="94"/>
        <v>0</v>
      </c>
      <c r="S503" s="316">
        <f t="shared" si="95"/>
        <v>0</v>
      </c>
    </row>
    <row r="504" spans="1:19">
      <c r="A504" s="150"/>
      <c r="B504" s="54"/>
      <c r="C504" s="21">
        <f t="shared" si="86"/>
        <v>1</v>
      </c>
      <c r="D504" s="667"/>
      <c r="E504" s="21">
        <f t="shared" si="87"/>
        <v>1</v>
      </c>
      <c r="F504" s="667"/>
      <c r="G504" s="21">
        <f t="shared" si="88"/>
        <v>1</v>
      </c>
      <c r="H504" s="667"/>
      <c r="I504" s="21">
        <f t="shared" si="89"/>
        <v>1</v>
      </c>
      <c r="J504" s="667"/>
      <c r="K504" s="21">
        <f t="shared" si="90"/>
        <v>1</v>
      </c>
      <c r="L504" s="667"/>
      <c r="M504" s="21">
        <f t="shared" si="91"/>
        <v>1</v>
      </c>
      <c r="N504" s="667"/>
      <c r="O504" s="21">
        <f t="shared" si="92"/>
        <v>1</v>
      </c>
      <c r="P504" s="667"/>
      <c r="Q504" s="21">
        <f t="shared" si="93"/>
        <v>1</v>
      </c>
      <c r="R504" s="663">
        <f t="shared" si="94"/>
        <v>0</v>
      </c>
      <c r="S504" s="316">
        <f t="shared" si="95"/>
        <v>0</v>
      </c>
    </row>
    <row r="505" spans="1:19">
      <c r="A505" s="150"/>
      <c r="B505" s="54"/>
      <c r="C505" s="21">
        <f t="shared" si="86"/>
        <v>1</v>
      </c>
      <c r="D505" s="667"/>
      <c r="E505" s="21">
        <f t="shared" si="87"/>
        <v>1</v>
      </c>
      <c r="F505" s="667"/>
      <c r="G505" s="21">
        <f t="shared" si="88"/>
        <v>1</v>
      </c>
      <c r="H505" s="667"/>
      <c r="I505" s="21">
        <f t="shared" si="89"/>
        <v>1</v>
      </c>
      <c r="J505" s="667"/>
      <c r="K505" s="21">
        <f t="shared" si="90"/>
        <v>1</v>
      </c>
      <c r="L505" s="667"/>
      <c r="M505" s="21">
        <f t="shared" si="91"/>
        <v>1</v>
      </c>
      <c r="N505" s="667"/>
      <c r="O505" s="21">
        <f t="shared" si="92"/>
        <v>1</v>
      </c>
      <c r="P505" s="667"/>
      <c r="Q505" s="21">
        <f t="shared" si="93"/>
        <v>1</v>
      </c>
      <c r="R505" s="663">
        <f t="shared" si="94"/>
        <v>0</v>
      </c>
      <c r="S505" s="316">
        <f t="shared" si="95"/>
        <v>0</v>
      </c>
    </row>
    <row r="506" spans="1:19">
      <c r="A506" s="150"/>
      <c r="B506" s="54"/>
      <c r="C506" s="21">
        <f t="shared" si="86"/>
        <v>1</v>
      </c>
      <c r="D506" s="667"/>
      <c r="E506" s="21">
        <f t="shared" si="87"/>
        <v>1</v>
      </c>
      <c r="F506" s="667"/>
      <c r="G506" s="21">
        <f t="shared" si="88"/>
        <v>1</v>
      </c>
      <c r="H506" s="667"/>
      <c r="I506" s="21">
        <f t="shared" si="89"/>
        <v>1</v>
      </c>
      <c r="J506" s="667"/>
      <c r="K506" s="21">
        <f t="shared" si="90"/>
        <v>1</v>
      </c>
      <c r="L506" s="667"/>
      <c r="M506" s="21">
        <f t="shared" si="91"/>
        <v>1</v>
      </c>
      <c r="N506" s="667"/>
      <c r="O506" s="21">
        <f t="shared" si="92"/>
        <v>1</v>
      </c>
      <c r="P506" s="667"/>
      <c r="Q506" s="21">
        <f t="shared" si="93"/>
        <v>1</v>
      </c>
      <c r="R506" s="663">
        <f t="shared" si="94"/>
        <v>0</v>
      </c>
      <c r="S506" s="316">
        <f t="shared" si="95"/>
        <v>0</v>
      </c>
    </row>
    <row r="507" spans="1:19">
      <c r="A507" s="150"/>
      <c r="B507" s="54"/>
      <c r="C507" s="21">
        <f t="shared" si="86"/>
        <v>1</v>
      </c>
      <c r="D507" s="667"/>
      <c r="E507" s="21">
        <f t="shared" si="87"/>
        <v>1</v>
      </c>
      <c r="F507" s="667"/>
      <c r="G507" s="21">
        <f t="shared" si="88"/>
        <v>1</v>
      </c>
      <c r="H507" s="667"/>
      <c r="I507" s="21">
        <f t="shared" si="89"/>
        <v>1</v>
      </c>
      <c r="J507" s="667"/>
      <c r="K507" s="21">
        <f t="shared" si="90"/>
        <v>1</v>
      </c>
      <c r="L507" s="667"/>
      <c r="M507" s="21">
        <f t="shared" si="91"/>
        <v>1</v>
      </c>
      <c r="N507" s="667"/>
      <c r="O507" s="21">
        <f t="shared" si="92"/>
        <v>1</v>
      </c>
      <c r="P507" s="667"/>
      <c r="Q507" s="21">
        <f t="shared" si="93"/>
        <v>1</v>
      </c>
      <c r="R507" s="663">
        <f t="shared" si="94"/>
        <v>0</v>
      </c>
      <c r="S507" s="316">
        <f t="shared" si="95"/>
        <v>0</v>
      </c>
    </row>
    <row r="508" spans="1:19">
      <c r="A508" s="150"/>
      <c r="B508" s="54"/>
      <c r="C508" s="21">
        <f t="shared" si="86"/>
        <v>1</v>
      </c>
      <c r="D508" s="667"/>
      <c r="E508" s="21">
        <f t="shared" si="87"/>
        <v>1</v>
      </c>
      <c r="F508" s="667"/>
      <c r="G508" s="21">
        <f t="shared" si="88"/>
        <v>1</v>
      </c>
      <c r="H508" s="667"/>
      <c r="I508" s="21">
        <f t="shared" si="89"/>
        <v>1</v>
      </c>
      <c r="J508" s="667"/>
      <c r="K508" s="21">
        <f t="shared" si="90"/>
        <v>1</v>
      </c>
      <c r="L508" s="667"/>
      <c r="M508" s="21">
        <f t="shared" si="91"/>
        <v>1</v>
      </c>
      <c r="N508" s="667"/>
      <c r="O508" s="21">
        <f t="shared" si="92"/>
        <v>1</v>
      </c>
      <c r="P508" s="667"/>
      <c r="Q508" s="21">
        <f t="shared" si="93"/>
        <v>1</v>
      </c>
      <c r="R508" s="663">
        <f t="shared" si="94"/>
        <v>0</v>
      </c>
      <c r="S508" s="316">
        <f t="shared" si="95"/>
        <v>0</v>
      </c>
    </row>
    <row r="509" spans="1:19">
      <c r="A509" s="150"/>
      <c r="B509" s="54"/>
      <c r="C509" s="21">
        <f t="shared" si="86"/>
        <v>1</v>
      </c>
      <c r="D509" s="667"/>
      <c r="E509" s="21">
        <f t="shared" si="87"/>
        <v>1</v>
      </c>
      <c r="F509" s="667"/>
      <c r="G509" s="21">
        <f t="shared" si="88"/>
        <v>1</v>
      </c>
      <c r="H509" s="667"/>
      <c r="I509" s="21">
        <f t="shared" si="89"/>
        <v>1</v>
      </c>
      <c r="J509" s="667"/>
      <c r="K509" s="21">
        <f t="shared" si="90"/>
        <v>1</v>
      </c>
      <c r="L509" s="667"/>
      <c r="M509" s="21">
        <f t="shared" si="91"/>
        <v>1</v>
      </c>
      <c r="N509" s="667"/>
      <c r="O509" s="21">
        <f t="shared" si="92"/>
        <v>1</v>
      </c>
      <c r="P509" s="667"/>
      <c r="Q509" s="21">
        <f t="shared" si="93"/>
        <v>1</v>
      </c>
      <c r="R509" s="663">
        <f t="shared" si="94"/>
        <v>0</v>
      </c>
      <c r="S509" s="316">
        <f t="shared" si="95"/>
        <v>0</v>
      </c>
    </row>
    <row r="510" spans="1:19">
      <c r="A510" s="150"/>
      <c r="B510" s="54"/>
      <c r="C510" s="21">
        <f t="shared" si="86"/>
        <v>1</v>
      </c>
      <c r="D510" s="667"/>
      <c r="E510" s="21">
        <f t="shared" si="87"/>
        <v>1</v>
      </c>
      <c r="F510" s="667"/>
      <c r="G510" s="21">
        <f t="shared" si="88"/>
        <v>1</v>
      </c>
      <c r="H510" s="667"/>
      <c r="I510" s="21">
        <f t="shared" si="89"/>
        <v>1</v>
      </c>
      <c r="J510" s="667"/>
      <c r="K510" s="21">
        <f t="shared" si="90"/>
        <v>1</v>
      </c>
      <c r="L510" s="667"/>
      <c r="M510" s="21">
        <f t="shared" si="91"/>
        <v>1</v>
      </c>
      <c r="N510" s="667"/>
      <c r="O510" s="21">
        <f t="shared" si="92"/>
        <v>1</v>
      </c>
      <c r="P510" s="667"/>
      <c r="Q510" s="21">
        <f t="shared" si="93"/>
        <v>1</v>
      </c>
      <c r="R510" s="663">
        <f t="shared" si="94"/>
        <v>0</v>
      </c>
      <c r="S510" s="316">
        <f t="shared" si="95"/>
        <v>0</v>
      </c>
    </row>
    <row r="511" spans="1:19">
      <c r="A511" s="150"/>
      <c r="B511" s="54"/>
      <c r="C511" s="21">
        <f t="shared" si="86"/>
        <v>1</v>
      </c>
      <c r="D511" s="667"/>
      <c r="E511" s="21">
        <f t="shared" si="87"/>
        <v>1</v>
      </c>
      <c r="F511" s="667"/>
      <c r="G511" s="21">
        <f t="shared" si="88"/>
        <v>1</v>
      </c>
      <c r="H511" s="667"/>
      <c r="I511" s="21">
        <f t="shared" si="89"/>
        <v>1</v>
      </c>
      <c r="J511" s="667"/>
      <c r="K511" s="21">
        <f t="shared" si="90"/>
        <v>1</v>
      </c>
      <c r="L511" s="667"/>
      <c r="M511" s="21">
        <f t="shared" si="91"/>
        <v>1</v>
      </c>
      <c r="N511" s="667"/>
      <c r="O511" s="21">
        <f t="shared" si="92"/>
        <v>1</v>
      </c>
      <c r="P511" s="667"/>
      <c r="Q511" s="21">
        <f t="shared" si="93"/>
        <v>1</v>
      </c>
      <c r="R511" s="663">
        <f t="shared" si="94"/>
        <v>0</v>
      </c>
      <c r="S511" s="316">
        <f t="shared" si="95"/>
        <v>0</v>
      </c>
    </row>
    <row r="512" spans="1:19">
      <c r="A512" s="150"/>
      <c r="B512" s="54"/>
      <c r="C512" s="21">
        <f t="shared" si="86"/>
        <v>1</v>
      </c>
      <c r="D512" s="667"/>
      <c r="E512" s="21">
        <f t="shared" si="87"/>
        <v>1</v>
      </c>
      <c r="F512" s="667"/>
      <c r="G512" s="21">
        <f t="shared" si="88"/>
        <v>1</v>
      </c>
      <c r="H512" s="667"/>
      <c r="I512" s="21">
        <f t="shared" si="89"/>
        <v>1</v>
      </c>
      <c r="J512" s="667"/>
      <c r="K512" s="21">
        <f t="shared" si="90"/>
        <v>1</v>
      </c>
      <c r="L512" s="667"/>
      <c r="M512" s="21">
        <f t="shared" si="91"/>
        <v>1</v>
      </c>
      <c r="N512" s="667"/>
      <c r="O512" s="21">
        <f t="shared" si="92"/>
        <v>1</v>
      </c>
      <c r="P512" s="667"/>
      <c r="Q512" s="21">
        <f t="shared" si="93"/>
        <v>1</v>
      </c>
      <c r="R512" s="663">
        <f t="shared" si="94"/>
        <v>0</v>
      </c>
      <c r="S512" s="316">
        <f t="shared" si="95"/>
        <v>0</v>
      </c>
    </row>
    <row r="513" spans="1:19">
      <c r="A513" s="150"/>
      <c r="B513" s="54"/>
      <c r="C513" s="21">
        <f t="shared" si="86"/>
        <v>1</v>
      </c>
      <c r="D513" s="667"/>
      <c r="E513" s="21">
        <f t="shared" si="87"/>
        <v>1</v>
      </c>
      <c r="F513" s="667"/>
      <c r="G513" s="21">
        <f t="shared" si="88"/>
        <v>1</v>
      </c>
      <c r="H513" s="667"/>
      <c r="I513" s="21">
        <f t="shared" si="89"/>
        <v>1</v>
      </c>
      <c r="J513" s="667"/>
      <c r="K513" s="21">
        <f t="shared" si="90"/>
        <v>1</v>
      </c>
      <c r="L513" s="667"/>
      <c r="M513" s="21">
        <f t="shared" si="91"/>
        <v>1</v>
      </c>
      <c r="N513" s="667"/>
      <c r="O513" s="21">
        <f t="shared" si="92"/>
        <v>1</v>
      </c>
      <c r="P513" s="667"/>
      <c r="Q513" s="21">
        <f t="shared" si="93"/>
        <v>1</v>
      </c>
      <c r="R513" s="663">
        <f t="shared" si="94"/>
        <v>0</v>
      </c>
      <c r="S513" s="316">
        <f t="shared" si="95"/>
        <v>0</v>
      </c>
    </row>
    <row r="514" spans="1:19">
      <c r="A514" s="150"/>
      <c r="B514" s="54"/>
      <c r="C514" s="21">
        <f t="shared" si="86"/>
        <v>1</v>
      </c>
      <c r="D514" s="667"/>
      <c r="E514" s="21">
        <f t="shared" si="87"/>
        <v>1</v>
      </c>
      <c r="F514" s="667"/>
      <c r="G514" s="21">
        <f t="shared" si="88"/>
        <v>1</v>
      </c>
      <c r="H514" s="667"/>
      <c r="I514" s="21">
        <f t="shared" si="89"/>
        <v>1</v>
      </c>
      <c r="J514" s="667"/>
      <c r="K514" s="21">
        <f t="shared" si="90"/>
        <v>1</v>
      </c>
      <c r="L514" s="667"/>
      <c r="M514" s="21">
        <f t="shared" si="91"/>
        <v>1</v>
      </c>
      <c r="N514" s="667"/>
      <c r="O514" s="21">
        <f t="shared" si="92"/>
        <v>1</v>
      </c>
      <c r="P514" s="667"/>
      <c r="Q514" s="21">
        <f t="shared" si="93"/>
        <v>1</v>
      </c>
      <c r="R514" s="663">
        <f t="shared" si="94"/>
        <v>0</v>
      </c>
      <c r="S514" s="316">
        <f t="shared" si="95"/>
        <v>0</v>
      </c>
    </row>
    <row r="515" spans="1:19">
      <c r="A515" s="150"/>
      <c r="B515" s="54"/>
      <c r="C515" s="21">
        <f t="shared" si="86"/>
        <v>1</v>
      </c>
      <c r="D515" s="667"/>
      <c r="E515" s="21">
        <f t="shared" si="87"/>
        <v>1</v>
      </c>
      <c r="F515" s="667"/>
      <c r="G515" s="21">
        <f t="shared" si="88"/>
        <v>1</v>
      </c>
      <c r="H515" s="667"/>
      <c r="I515" s="21">
        <f t="shared" si="89"/>
        <v>1</v>
      </c>
      <c r="J515" s="667"/>
      <c r="K515" s="21">
        <f t="shared" si="90"/>
        <v>1</v>
      </c>
      <c r="L515" s="667"/>
      <c r="M515" s="21">
        <f t="shared" si="91"/>
        <v>1</v>
      </c>
      <c r="N515" s="667"/>
      <c r="O515" s="21">
        <f t="shared" si="92"/>
        <v>1</v>
      </c>
      <c r="P515" s="667"/>
      <c r="Q515" s="21">
        <f t="shared" si="93"/>
        <v>1</v>
      </c>
      <c r="R515" s="663">
        <f t="shared" si="94"/>
        <v>0</v>
      </c>
      <c r="S515" s="316">
        <f t="shared" si="95"/>
        <v>0</v>
      </c>
    </row>
    <row r="516" spans="1:19">
      <c r="A516" s="150"/>
      <c r="B516" s="54"/>
      <c r="C516" s="21">
        <f t="shared" si="86"/>
        <v>1</v>
      </c>
      <c r="D516" s="667"/>
      <c r="E516" s="21">
        <f t="shared" si="87"/>
        <v>1</v>
      </c>
      <c r="F516" s="667"/>
      <c r="G516" s="21">
        <f t="shared" si="88"/>
        <v>1</v>
      </c>
      <c r="H516" s="667"/>
      <c r="I516" s="21">
        <f t="shared" si="89"/>
        <v>1</v>
      </c>
      <c r="J516" s="667"/>
      <c r="K516" s="21">
        <f t="shared" si="90"/>
        <v>1</v>
      </c>
      <c r="L516" s="667"/>
      <c r="M516" s="21">
        <f t="shared" si="91"/>
        <v>1</v>
      </c>
      <c r="N516" s="667"/>
      <c r="O516" s="21">
        <f t="shared" si="92"/>
        <v>1</v>
      </c>
      <c r="P516" s="667"/>
      <c r="Q516" s="21">
        <f t="shared" si="93"/>
        <v>1</v>
      </c>
      <c r="R516" s="663">
        <f t="shared" si="94"/>
        <v>0</v>
      </c>
      <c r="S516" s="316">
        <f t="shared" si="95"/>
        <v>0</v>
      </c>
    </row>
    <row r="517" spans="1:19">
      <c r="A517" s="150"/>
      <c r="B517" s="54"/>
      <c r="C517" s="21">
        <f t="shared" si="86"/>
        <v>1</v>
      </c>
      <c r="D517" s="667"/>
      <c r="E517" s="21">
        <f t="shared" si="87"/>
        <v>1</v>
      </c>
      <c r="F517" s="667"/>
      <c r="G517" s="21">
        <f t="shared" si="88"/>
        <v>1</v>
      </c>
      <c r="H517" s="667"/>
      <c r="I517" s="21">
        <f t="shared" si="89"/>
        <v>1</v>
      </c>
      <c r="J517" s="667"/>
      <c r="K517" s="21">
        <f t="shared" si="90"/>
        <v>1</v>
      </c>
      <c r="L517" s="667"/>
      <c r="M517" s="21">
        <f t="shared" si="91"/>
        <v>1</v>
      </c>
      <c r="N517" s="667"/>
      <c r="O517" s="21">
        <f t="shared" si="92"/>
        <v>1</v>
      </c>
      <c r="P517" s="667"/>
      <c r="Q517" s="21">
        <f t="shared" si="93"/>
        <v>1</v>
      </c>
      <c r="R517" s="663">
        <f t="shared" si="94"/>
        <v>0</v>
      </c>
      <c r="S517" s="316">
        <f t="shared" si="95"/>
        <v>0</v>
      </c>
    </row>
    <row r="518" spans="1:19">
      <c r="A518" s="150"/>
      <c r="B518" s="54"/>
      <c r="C518" s="21">
        <f t="shared" si="86"/>
        <v>1</v>
      </c>
      <c r="D518" s="667"/>
      <c r="E518" s="21">
        <f t="shared" si="87"/>
        <v>1</v>
      </c>
      <c r="F518" s="667"/>
      <c r="G518" s="21">
        <f t="shared" si="88"/>
        <v>1</v>
      </c>
      <c r="H518" s="667"/>
      <c r="I518" s="21">
        <f t="shared" si="89"/>
        <v>1</v>
      </c>
      <c r="J518" s="667"/>
      <c r="K518" s="21">
        <f t="shared" si="90"/>
        <v>1</v>
      </c>
      <c r="L518" s="667"/>
      <c r="M518" s="21">
        <f t="shared" si="91"/>
        <v>1</v>
      </c>
      <c r="N518" s="667"/>
      <c r="O518" s="21">
        <f t="shared" si="92"/>
        <v>1</v>
      </c>
      <c r="P518" s="667"/>
      <c r="Q518" s="21">
        <f t="shared" si="93"/>
        <v>1</v>
      </c>
      <c r="R518" s="663">
        <f t="shared" si="94"/>
        <v>0</v>
      </c>
      <c r="S518" s="316">
        <f t="shared" si="95"/>
        <v>0</v>
      </c>
    </row>
    <row r="519" spans="1:19">
      <c r="A519" s="150"/>
      <c r="B519" s="54"/>
      <c r="C519" s="21">
        <f t="shared" si="86"/>
        <v>1</v>
      </c>
      <c r="D519" s="667"/>
      <c r="E519" s="21">
        <f t="shared" si="87"/>
        <v>1</v>
      </c>
      <c r="F519" s="667"/>
      <c r="G519" s="21">
        <f t="shared" si="88"/>
        <v>1</v>
      </c>
      <c r="H519" s="667"/>
      <c r="I519" s="21">
        <f t="shared" si="89"/>
        <v>1</v>
      </c>
      <c r="J519" s="667"/>
      <c r="K519" s="21">
        <f t="shared" si="90"/>
        <v>1</v>
      </c>
      <c r="L519" s="667"/>
      <c r="M519" s="21">
        <f t="shared" si="91"/>
        <v>1</v>
      </c>
      <c r="N519" s="667"/>
      <c r="O519" s="21">
        <f t="shared" si="92"/>
        <v>1</v>
      </c>
      <c r="P519" s="667"/>
      <c r="Q519" s="21">
        <f t="shared" si="93"/>
        <v>1</v>
      </c>
      <c r="R519" s="663">
        <f t="shared" si="94"/>
        <v>0</v>
      </c>
      <c r="S519" s="316">
        <f t="shared" si="95"/>
        <v>0</v>
      </c>
    </row>
    <row r="520" spans="1:19">
      <c r="A520" s="150"/>
      <c r="B520" s="54"/>
      <c r="C520" s="21">
        <f t="shared" si="86"/>
        <v>1</v>
      </c>
      <c r="D520" s="667"/>
      <c r="E520" s="21">
        <f t="shared" si="87"/>
        <v>1</v>
      </c>
      <c r="F520" s="667"/>
      <c r="G520" s="21">
        <f t="shared" si="88"/>
        <v>1</v>
      </c>
      <c r="H520" s="667"/>
      <c r="I520" s="21">
        <f t="shared" si="89"/>
        <v>1</v>
      </c>
      <c r="J520" s="667"/>
      <c r="K520" s="21">
        <f t="shared" si="90"/>
        <v>1</v>
      </c>
      <c r="L520" s="667"/>
      <c r="M520" s="21">
        <f t="shared" si="91"/>
        <v>1</v>
      </c>
      <c r="N520" s="667"/>
      <c r="O520" s="21">
        <f t="shared" si="92"/>
        <v>1</v>
      </c>
      <c r="P520" s="667"/>
      <c r="Q520" s="21">
        <f t="shared" si="93"/>
        <v>1</v>
      </c>
      <c r="R520" s="663">
        <f t="shared" si="94"/>
        <v>0</v>
      </c>
      <c r="S520" s="316">
        <f t="shared" si="95"/>
        <v>0</v>
      </c>
    </row>
    <row r="521" spans="1:19">
      <c r="A521" s="150"/>
      <c r="B521" s="54"/>
      <c r="C521" s="21">
        <f t="shared" si="86"/>
        <v>1</v>
      </c>
      <c r="D521" s="667"/>
      <c r="E521" s="21">
        <f t="shared" si="87"/>
        <v>1</v>
      </c>
      <c r="F521" s="667"/>
      <c r="G521" s="21">
        <f t="shared" si="88"/>
        <v>1</v>
      </c>
      <c r="H521" s="667"/>
      <c r="I521" s="21">
        <f t="shared" si="89"/>
        <v>1</v>
      </c>
      <c r="J521" s="667"/>
      <c r="K521" s="21">
        <f t="shared" si="90"/>
        <v>1</v>
      </c>
      <c r="L521" s="667"/>
      <c r="M521" s="21">
        <f t="shared" si="91"/>
        <v>1</v>
      </c>
      <c r="N521" s="667"/>
      <c r="O521" s="21">
        <f t="shared" si="92"/>
        <v>1</v>
      </c>
      <c r="P521" s="667"/>
      <c r="Q521" s="21">
        <f t="shared" si="93"/>
        <v>1</v>
      </c>
      <c r="R521" s="663">
        <f t="shared" si="94"/>
        <v>0</v>
      </c>
      <c r="S521" s="316">
        <f t="shared" si="95"/>
        <v>0</v>
      </c>
    </row>
    <row r="522" spans="1:19">
      <c r="A522" s="150"/>
      <c r="B522" s="54"/>
      <c r="C522" s="21">
        <f t="shared" si="86"/>
        <v>1</v>
      </c>
      <c r="D522" s="667"/>
      <c r="E522" s="21">
        <f t="shared" si="87"/>
        <v>1</v>
      </c>
      <c r="F522" s="667"/>
      <c r="G522" s="21">
        <f t="shared" si="88"/>
        <v>1</v>
      </c>
      <c r="H522" s="667"/>
      <c r="I522" s="21">
        <f t="shared" si="89"/>
        <v>1</v>
      </c>
      <c r="J522" s="667"/>
      <c r="K522" s="21">
        <f t="shared" si="90"/>
        <v>1</v>
      </c>
      <c r="L522" s="667"/>
      <c r="M522" s="21">
        <f t="shared" si="91"/>
        <v>1</v>
      </c>
      <c r="N522" s="667"/>
      <c r="O522" s="21">
        <f t="shared" si="92"/>
        <v>1</v>
      </c>
      <c r="P522" s="667"/>
      <c r="Q522" s="21">
        <f t="shared" si="93"/>
        <v>1</v>
      </c>
      <c r="R522" s="663">
        <f t="shared" si="94"/>
        <v>0</v>
      </c>
      <c r="S522" s="316">
        <f t="shared" si="95"/>
        <v>0</v>
      </c>
    </row>
    <row r="523" spans="1:19">
      <c r="A523" s="150"/>
      <c r="B523" s="54"/>
      <c r="C523" s="21">
        <f t="shared" si="86"/>
        <v>1</v>
      </c>
      <c r="D523" s="667"/>
      <c r="E523" s="21">
        <f t="shared" si="87"/>
        <v>1</v>
      </c>
      <c r="F523" s="667"/>
      <c r="G523" s="21">
        <f t="shared" si="88"/>
        <v>1</v>
      </c>
      <c r="H523" s="667"/>
      <c r="I523" s="21">
        <f t="shared" si="89"/>
        <v>1</v>
      </c>
      <c r="J523" s="667"/>
      <c r="K523" s="21">
        <f t="shared" si="90"/>
        <v>1</v>
      </c>
      <c r="L523" s="667"/>
      <c r="M523" s="21">
        <f t="shared" si="91"/>
        <v>1</v>
      </c>
      <c r="N523" s="667"/>
      <c r="O523" s="21">
        <f t="shared" si="92"/>
        <v>1</v>
      </c>
      <c r="P523" s="667"/>
      <c r="Q523" s="21">
        <f t="shared" si="93"/>
        <v>1</v>
      </c>
      <c r="R523" s="663">
        <f t="shared" si="94"/>
        <v>0</v>
      </c>
      <c r="S523" s="316">
        <f t="shared" si="95"/>
        <v>0</v>
      </c>
    </row>
    <row r="524" spans="1:19">
      <c r="A524" s="150"/>
      <c r="B524" s="54"/>
      <c r="C524" s="21">
        <f t="shared" si="86"/>
        <v>1</v>
      </c>
      <c r="D524" s="667"/>
      <c r="E524" s="21">
        <f t="shared" si="87"/>
        <v>1</v>
      </c>
      <c r="F524" s="667"/>
      <c r="G524" s="21">
        <f t="shared" si="88"/>
        <v>1</v>
      </c>
      <c r="H524" s="667"/>
      <c r="I524" s="21">
        <f t="shared" si="89"/>
        <v>1</v>
      </c>
      <c r="J524" s="667"/>
      <c r="K524" s="21">
        <f t="shared" si="90"/>
        <v>1</v>
      </c>
      <c r="L524" s="667"/>
      <c r="M524" s="21">
        <f t="shared" si="91"/>
        <v>1</v>
      </c>
      <c r="N524" s="667"/>
      <c r="O524" s="21">
        <f t="shared" si="92"/>
        <v>1</v>
      </c>
      <c r="P524" s="667"/>
      <c r="Q524" s="21">
        <f t="shared" si="93"/>
        <v>1</v>
      </c>
      <c r="R524" s="663">
        <f t="shared" si="94"/>
        <v>0</v>
      </c>
      <c r="S524" s="316">
        <f t="shared" si="95"/>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2"/>
      <c r="G1" s="2792"/>
      <c r="H1" s="2792"/>
      <c r="I1" s="2792"/>
      <c r="J1" s="2792"/>
      <c r="K1" s="2792"/>
      <c r="L1" s="2792"/>
      <c r="M1" s="2792"/>
      <c r="N1" s="2792"/>
      <c r="O1" s="2792"/>
      <c r="P1" s="2792"/>
    </row>
    <row r="2" spans="1:16" ht="15.75">
      <c r="A2" s="2145" t="s">
        <v>2073</v>
      </c>
      <c r="B2" s="2602">
        <f ca="1">SUMIF(B6:B13,"&lt;&gt;#ref!",B6:B13)</f>
        <v>623</v>
      </c>
      <c r="C2" s="2145" t="s">
        <v>2074</v>
      </c>
      <c r="D2" s="2145" t="s">
        <v>2075</v>
      </c>
      <c r="E2" s="2612">
        <f ca="1">SUMIF(E6:E13,"&lt;&gt;#ref!",E6:E13)</f>
        <v>1562.24</v>
      </c>
      <c r="F2" s="2792"/>
      <c r="G2" s="2792"/>
      <c r="H2" s="2792"/>
      <c r="I2" s="2792"/>
      <c r="J2" s="2792"/>
      <c r="K2" s="2792"/>
      <c r="L2" s="2792"/>
      <c r="M2" s="2792"/>
      <c r="N2" s="2792"/>
      <c r="O2" s="2792"/>
      <c r="P2" s="2792"/>
    </row>
    <row r="3" spans="1:16" ht="15.75">
      <c r="A3" s="2145" t="s">
        <v>2076</v>
      </c>
      <c r="B3" s="2602">
        <f ca="1">ROUND(B2*10000/E2,0)</f>
        <v>3988</v>
      </c>
      <c r="C3" s="2145"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8" t="s">
        <v>2077</v>
      </c>
      <c r="B5" s="2610" t="s">
        <v>2078</v>
      </c>
      <c r="C5" s="2146"/>
      <c r="D5" s="2792"/>
      <c r="E5" s="2611" t="s">
        <v>2079</v>
      </c>
      <c r="F5" s="2792"/>
      <c r="G5" s="2792"/>
      <c r="H5" s="2792"/>
      <c r="I5" s="2792"/>
      <c r="J5" s="2792"/>
      <c r="K5" s="2792"/>
      <c r="L5" s="2792"/>
      <c r="M5" s="2792"/>
      <c r="N5" s="2792"/>
      <c r="O5" s="2792"/>
      <c r="P5" s="2792"/>
    </row>
    <row r="6" spans="1:16" ht="15.75">
      <c r="A6" s="2609" t="s">
        <v>2080</v>
      </c>
      <c r="B6" s="2602">
        <f ca="1">SUMIF(INDIRECT("'"&amp;A6&amp;"'"&amp;"!A:A"),"总价",INDIRECT("'"&amp;A6&amp;"'"&amp;"!B:B"))</f>
        <v>623</v>
      </c>
      <c r="C6" s="2145" t="s">
        <v>2074</v>
      </c>
      <c r="D6" s="2792"/>
      <c r="E6" s="2612">
        <f ca="1">SUMIF(INDIRECT("'"&amp;A6&amp;"'"&amp;"!C:C"),"建筑面积",INDIRECT("'"&amp;A6&amp;"'"&amp;"!D:D"))</f>
        <v>1562.24</v>
      </c>
      <c r="F6" s="2792"/>
      <c r="G6" s="2792"/>
      <c r="H6" s="2792"/>
      <c r="I6" s="2792"/>
      <c r="J6" s="2792"/>
      <c r="K6" s="2792"/>
      <c r="L6" s="2792"/>
      <c r="M6" s="2792"/>
      <c r="N6" s="2792"/>
      <c r="O6" s="2792"/>
      <c r="P6" s="2792"/>
    </row>
    <row r="7" spans="1:16" ht="15.75">
      <c r="A7" s="2609"/>
      <c r="B7" s="2602" t="e">
        <f ca="1">SUMIF(INDIRECT("'"&amp;A7&amp;"'"&amp;"!A:A"),"总价",INDIRECT("'"&amp;A7&amp;"'"&amp;"!B:B"))</f>
        <v>#REF!</v>
      </c>
      <c r="C7" s="2145" t="s">
        <v>2074</v>
      </c>
      <c r="D7" s="2792"/>
      <c r="E7" s="2612" t="e">
        <f t="shared" ref="E7:E13" ca="1" si="0">SUMIF(INDIRECT("'"&amp;A7&amp;"'"&amp;"!C:C"),"建筑面积",INDIRECT("'"&amp;A7&amp;"'"&amp;"!D:D"))</f>
        <v>#REF!</v>
      </c>
      <c r="F7" s="2792"/>
      <c r="G7" s="2792"/>
      <c r="H7" s="2792"/>
      <c r="I7" s="2792"/>
      <c r="J7" s="2792"/>
      <c r="K7" s="2792"/>
      <c r="L7" s="2792"/>
      <c r="M7" s="2792"/>
      <c r="N7" s="2792"/>
      <c r="O7" s="2792"/>
      <c r="P7" s="2792"/>
    </row>
    <row r="8" spans="1:16" ht="15.75">
      <c r="A8" s="2609"/>
      <c r="B8" s="2602" t="e">
        <f t="shared" ref="B8:B13" ca="1" si="1">SUMIF(INDIRECT("'"&amp;A8&amp;"'"&amp;"!A:A"),"总价",INDIRECT("'"&amp;A8&amp;"'"&amp;"!B:B"))</f>
        <v>#REF!</v>
      </c>
      <c r="C8" s="2145" t="s">
        <v>2074</v>
      </c>
      <c r="D8" s="2792"/>
      <c r="E8" s="2612" t="e">
        <f t="shared" ca="1" si="0"/>
        <v>#REF!</v>
      </c>
      <c r="F8" s="2792"/>
      <c r="G8" s="2792"/>
      <c r="H8" s="2792"/>
      <c r="I8" s="2792"/>
      <c r="J8" s="2792"/>
      <c r="K8" s="2792"/>
      <c r="L8" s="2792"/>
      <c r="M8" s="2792"/>
      <c r="N8" s="2792"/>
      <c r="O8" s="2792"/>
      <c r="P8" s="2792"/>
    </row>
    <row r="9" spans="1:16" ht="15.75">
      <c r="A9" s="2609"/>
      <c r="B9" s="2602" t="e">
        <f t="shared" ca="1" si="1"/>
        <v>#REF!</v>
      </c>
      <c r="C9" s="2145" t="s">
        <v>2074</v>
      </c>
      <c r="D9" s="2792"/>
      <c r="E9" s="2612" t="e">
        <f t="shared" ca="1" si="0"/>
        <v>#REF!</v>
      </c>
      <c r="F9" s="2792"/>
      <c r="G9" s="2792"/>
      <c r="H9" s="2792"/>
      <c r="I9" s="2792"/>
      <c r="J9" s="2792"/>
      <c r="K9" s="2792"/>
      <c r="L9" s="2792"/>
      <c r="M9" s="2792"/>
      <c r="N9" s="2792"/>
      <c r="O9" s="2792"/>
      <c r="P9" s="2792"/>
    </row>
    <row r="10" spans="1:16" ht="15.75">
      <c r="A10" s="2609"/>
      <c r="B10" s="2602" t="e">
        <f t="shared" ca="1" si="1"/>
        <v>#REF!</v>
      </c>
      <c r="C10" s="2145" t="s">
        <v>2074</v>
      </c>
      <c r="D10" s="2792"/>
      <c r="E10" s="2612" t="e">
        <f t="shared" ca="1" si="0"/>
        <v>#REF!</v>
      </c>
      <c r="F10" s="2792"/>
      <c r="G10" s="2792"/>
      <c r="H10" s="2792"/>
      <c r="I10" s="2792"/>
      <c r="J10" s="2792"/>
      <c r="K10" s="2792"/>
      <c r="L10" s="2792"/>
      <c r="M10" s="2792"/>
      <c r="N10" s="2792"/>
      <c r="O10" s="2792"/>
      <c r="P10" s="2792"/>
    </row>
    <row r="11" spans="1:16" ht="15.75">
      <c r="A11" s="2609"/>
      <c r="B11" s="2602" t="e">
        <f t="shared" ca="1" si="1"/>
        <v>#REF!</v>
      </c>
      <c r="C11" s="2145" t="s">
        <v>2074</v>
      </c>
      <c r="D11" s="2792"/>
      <c r="E11" s="2612" t="e">
        <f t="shared" ca="1" si="0"/>
        <v>#REF!</v>
      </c>
      <c r="F11" s="2792"/>
      <c r="G11" s="2792"/>
      <c r="H11" s="2792"/>
      <c r="I11" s="2792"/>
      <c r="J11" s="2792"/>
      <c r="K11" s="2792"/>
      <c r="L11" s="2792"/>
      <c r="M11" s="2792"/>
      <c r="N11" s="2792"/>
      <c r="O11" s="2792"/>
      <c r="P11" s="2792"/>
    </row>
    <row r="12" spans="1:16" ht="15.75">
      <c r="A12" s="2609"/>
      <c r="B12" s="2602" t="e">
        <f t="shared" ca="1" si="1"/>
        <v>#REF!</v>
      </c>
      <c r="C12" s="2145" t="s">
        <v>2074</v>
      </c>
      <c r="D12" s="2792"/>
      <c r="E12" s="2612" t="e">
        <f t="shared" ca="1" si="0"/>
        <v>#REF!</v>
      </c>
      <c r="F12" s="2792"/>
      <c r="G12" s="2792"/>
      <c r="H12" s="2792"/>
      <c r="I12" s="2792"/>
      <c r="J12" s="2792"/>
      <c r="K12" s="2792"/>
      <c r="L12" s="2792"/>
      <c r="M12" s="2792"/>
      <c r="N12" s="2792"/>
      <c r="O12" s="2792"/>
      <c r="P12" s="2792"/>
    </row>
    <row r="13" spans="1:16" ht="15.75">
      <c r="A13" s="2609"/>
      <c r="B13" s="2602" t="e">
        <f t="shared" ca="1" si="1"/>
        <v>#REF!</v>
      </c>
      <c r="C13" s="2145" t="s">
        <v>2074</v>
      </c>
      <c r="D13" s="2792"/>
      <c r="E13" s="2612"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791" t="s">
        <v>2610</v>
      </c>
      <c r="B20" s="3786" t="s">
        <v>2631</v>
      </c>
      <c r="C20" s="3102" t="s">
        <v>2442</v>
      </c>
      <c r="D20" s="3103"/>
      <c r="E20" s="3104">
        <v>1</v>
      </c>
      <c r="F20" s="3105" t="s">
        <v>2443</v>
      </c>
      <c r="G20" s="3105"/>
    </row>
    <row r="21" spans="1:13" ht="19.5" customHeight="1">
      <c r="A21" s="3792"/>
      <c r="B21" s="3785"/>
      <c r="C21" s="3106" t="s">
        <v>2444</v>
      </c>
      <c r="D21" s="3107"/>
      <c r="E21" s="3108">
        <v>1</v>
      </c>
      <c r="F21" s="3105" t="s">
        <v>2445</v>
      </c>
      <c r="G21" s="3105"/>
    </row>
    <row r="22" spans="1:13" ht="19.5" customHeight="1">
      <c r="A22" s="3792"/>
      <c r="B22" s="3785"/>
      <c r="C22" s="3106" t="s">
        <v>2446</v>
      </c>
      <c r="D22" s="3107"/>
      <c r="E22" s="3108">
        <v>0.9</v>
      </c>
      <c r="F22" s="3105" t="s">
        <v>2447</v>
      </c>
      <c r="G22" s="3105"/>
    </row>
    <row r="23" spans="1:13" ht="19.5" customHeight="1">
      <c r="A23" s="3792"/>
      <c r="B23" s="3785"/>
      <c r="C23" s="3106" t="s">
        <v>2448</v>
      </c>
      <c r="D23" s="3107"/>
      <c r="E23" s="3108">
        <v>0.9</v>
      </c>
      <c r="F23" s="3105" t="s">
        <v>2449</v>
      </c>
      <c r="G23" s="3105"/>
    </row>
    <row r="24" spans="1:13" ht="19.5" customHeight="1">
      <c r="A24" s="3792"/>
      <c r="B24" s="3785"/>
      <c r="C24" s="3106" t="s">
        <v>2450</v>
      </c>
      <c r="D24" s="3107"/>
      <c r="E24" s="3108">
        <v>0.8</v>
      </c>
      <c r="F24" s="3105" t="s">
        <v>2451</v>
      </c>
      <c r="G24" s="3105"/>
    </row>
    <row r="25" spans="1:13" ht="19.5" customHeight="1" thickBot="1">
      <c r="A25" s="3793"/>
      <c r="B25" s="3787"/>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788" t="s">
        <v>2634</v>
      </c>
      <c r="B27" s="3786" t="s">
        <v>2615</v>
      </c>
      <c r="C27" s="3102" t="s">
        <v>2455</v>
      </c>
      <c r="D27" s="3103"/>
      <c r="E27" s="3104">
        <v>1</v>
      </c>
      <c r="F27" s="3105" t="s">
        <v>2456</v>
      </c>
      <c r="G27" s="3105"/>
    </row>
    <row r="28" spans="1:13" ht="19.5" customHeight="1">
      <c r="A28" s="3789"/>
      <c r="B28" s="3785"/>
      <c r="C28" s="3106" t="s">
        <v>2457</v>
      </c>
      <c r="D28" s="3107"/>
      <c r="E28" s="3108">
        <v>1</v>
      </c>
      <c r="F28" s="3105" t="s">
        <v>2458</v>
      </c>
      <c r="G28" s="3105"/>
    </row>
    <row r="29" spans="1:13" ht="19.5" customHeight="1">
      <c r="A29" s="3789"/>
      <c r="B29" s="3785"/>
      <c r="C29" s="3106" t="s">
        <v>2459</v>
      </c>
      <c r="D29" s="3107"/>
      <c r="E29" s="3108">
        <v>0.8</v>
      </c>
      <c r="F29" s="3105" t="s">
        <v>2460</v>
      </c>
      <c r="G29" s="3105"/>
    </row>
    <row r="30" spans="1:13" ht="19.5" customHeight="1">
      <c r="A30" s="3789"/>
      <c r="B30" s="3785"/>
      <c r="C30" s="3106" t="s">
        <v>2461</v>
      </c>
      <c r="D30" s="3107"/>
      <c r="E30" s="3108">
        <v>0.8</v>
      </c>
      <c r="F30" s="3105" t="s">
        <v>2462</v>
      </c>
      <c r="G30" s="3105"/>
    </row>
    <row r="31" spans="1:13" ht="19.5" customHeight="1">
      <c r="A31" s="3789"/>
      <c r="B31" s="3785"/>
      <c r="C31" s="3106" t="s">
        <v>2463</v>
      </c>
      <c r="D31" s="3107"/>
      <c r="E31" s="3108">
        <v>0.8</v>
      </c>
      <c r="F31" s="3105" t="s">
        <v>2464</v>
      </c>
      <c r="G31" s="3105"/>
    </row>
    <row r="32" spans="1:13" ht="19.5" customHeight="1">
      <c r="A32" s="3789"/>
      <c r="B32" s="3785"/>
      <c r="C32" s="3106" t="s">
        <v>2465</v>
      </c>
      <c r="D32" s="3107"/>
      <c r="E32" s="3108">
        <v>0.7</v>
      </c>
      <c r="F32" s="3105" t="s">
        <v>2466</v>
      </c>
      <c r="G32" s="3105"/>
    </row>
    <row r="33" spans="1:7" ht="19.5" customHeight="1">
      <c r="A33" s="3789"/>
      <c r="B33" s="3785"/>
      <c r="C33" s="3106" t="s">
        <v>2467</v>
      </c>
      <c r="D33" s="3107"/>
      <c r="E33" s="3108">
        <v>0.8</v>
      </c>
      <c r="F33" s="3105" t="s">
        <v>2468</v>
      </c>
      <c r="G33" s="3105"/>
    </row>
    <row r="34" spans="1:7" ht="19.5" customHeight="1">
      <c r="A34" s="3789"/>
      <c r="B34" s="3785"/>
      <c r="C34" s="3106" t="s">
        <v>2469</v>
      </c>
      <c r="D34" s="3107"/>
      <c r="E34" s="3108">
        <v>0.6</v>
      </c>
      <c r="F34" s="3105" t="s">
        <v>2470</v>
      </c>
      <c r="G34" s="3105"/>
    </row>
    <row r="35" spans="1:7" ht="19.5" customHeight="1">
      <c r="A35" s="3789"/>
      <c r="B35" s="3785"/>
      <c r="C35" s="3106" t="s">
        <v>2471</v>
      </c>
      <c r="D35" s="3107"/>
      <c r="E35" s="3108">
        <v>0.2</v>
      </c>
      <c r="F35" s="3105" t="s">
        <v>2472</v>
      </c>
      <c r="G35" s="3105"/>
    </row>
    <row r="36" spans="1:7" ht="19.5" customHeight="1">
      <c r="A36" s="3789"/>
      <c r="B36" s="3785"/>
      <c r="C36" s="3106" t="s">
        <v>2473</v>
      </c>
      <c r="D36" s="3107"/>
      <c r="E36" s="3108">
        <v>0.2</v>
      </c>
      <c r="F36" s="3105" t="s">
        <v>2474</v>
      </c>
      <c r="G36" s="3105"/>
    </row>
    <row r="37" spans="1:7" ht="19.5" customHeight="1">
      <c r="A37" s="3789"/>
      <c r="B37" s="3783" t="s">
        <v>2635</v>
      </c>
      <c r="C37" s="3106" t="s">
        <v>2475</v>
      </c>
      <c r="D37" s="3107"/>
      <c r="E37" s="3108">
        <v>0.6</v>
      </c>
      <c r="F37" s="3105" t="s">
        <v>2476</v>
      </c>
      <c r="G37" s="3105"/>
    </row>
    <row r="38" spans="1:7" ht="19.5" customHeight="1">
      <c r="A38" s="3789"/>
      <c r="B38" s="3785"/>
      <c r="C38" s="3106" t="s">
        <v>2477</v>
      </c>
      <c r="D38" s="3107"/>
      <c r="E38" s="3108">
        <v>0.6</v>
      </c>
      <c r="F38" s="3105" t="s">
        <v>2478</v>
      </c>
      <c r="G38" s="3105"/>
    </row>
    <row r="39" spans="1:7" ht="19.5" customHeight="1" thickBot="1">
      <c r="A39" s="3790"/>
      <c r="B39" s="3787"/>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791" t="s">
        <v>2613</v>
      </c>
      <c r="B41" s="3786" t="s">
        <v>2637</v>
      </c>
      <c r="C41" s="3102" t="s">
        <v>2482</v>
      </c>
      <c r="D41" s="3103"/>
      <c r="E41" s="3104">
        <v>1</v>
      </c>
      <c r="F41" s="3105" t="s">
        <v>2483</v>
      </c>
      <c r="G41" s="3105"/>
    </row>
    <row r="42" spans="1:7" ht="19.5" customHeight="1">
      <c r="A42" s="3792"/>
      <c r="B42" s="3785"/>
      <c r="C42" s="3106" t="s">
        <v>2484</v>
      </c>
      <c r="D42" s="3107"/>
      <c r="E42" s="3108">
        <v>1</v>
      </c>
      <c r="F42" s="3105" t="s">
        <v>2485</v>
      </c>
      <c r="G42" s="3105"/>
    </row>
    <row r="43" spans="1:7" ht="19.5" customHeight="1">
      <c r="A43" s="3792"/>
      <c r="B43" s="3784"/>
      <c r="C43" s="3106" t="s">
        <v>2486</v>
      </c>
      <c r="D43" s="3107"/>
      <c r="E43" s="3108">
        <v>1.5</v>
      </c>
      <c r="F43" s="3105" t="s">
        <v>2487</v>
      </c>
      <c r="G43" s="3105"/>
    </row>
    <row r="44" spans="1:7" ht="19.5" customHeight="1">
      <c r="A44" s="3792"/>
      <c r="B44" s="3117" t="s">
        <v>2638</v>
      </c>
      <c r="C44" s="3106" t="s">
        <v>2639</v>
      </c>
      <c r="D44" s="3107"/>
      <c r="E44" s="3108">
        <v>2</v>
      </c>
      <c r="F44" s="3105" t="s">
        <v>2488</v>
      </c>
      <c r="G44" s="3105"/>
    </row>
    <row r="45" spans="1:7" ht="19.5" customHeight="1">
      <c r="A45" s="3792"/>
      <c r="B45" s="3783" t="s">
        <v>2640</v>
      </c>
      <c r="C45" s="3106" t="s">
        <v>2489</v>
      </c>
      <c r="D45" s="3107"/>
      <c r="E45" s="3108">
        <v>1</v>
      </c>
      <c r="F45" s="3105" t="s">
        <v>2490</v>
      </c>
      <c r="G45" s="3105"/>
    </row>
    <row r="46" spans="1:7" ht="19.5" customHeight="1">
      <c r="A46" s="3792"/>
      <c r="B46" s="3785"/>
      <c r="C46" s="3106" t="s">
        <v>2491</v>
      </c>
      <c r="D46" s="3107"/>
      <c r="E46" s="3108">
        <v>1</v>
      </c>
      <c r="F46" s="3105" t="s">
        <v>2492</v>
      </c>
      <c r="G46" s="3105"/>
    </row>
    <row r="47" spans="1:7" ht="19.5" customHeight="1">
      <c r="A47" s="3792"/>
      <c r="B47" s="3785"/>
      <c r="C47" s="3106" t="s">
        <v>2493</v>
      </c>
      <c r="D47" s="3107"/>
      <c r="E47" s="3108">
        <v>1</v>
      </c>
      <c r="F47" s="3105" t="s">
        <v>2494</v>
      </c>
      <c r="G47" s="3105"/>
    </row>
    <row r="48" spans="1:7" ht="19.5" customHeight="1">
      <c r="A48" s="3792"/>
      <c r="B48" s="3785"/>
      <c r="C48" s="3106" t="s">
        <v>2495</v>
      </c>
      <c r="D48" s="3107"/>
      <c r="E48" s="3108">
        <v>1</v>
      </c>
      <c r="F48" s="3105" t="s">
        <v>2496</v>
      </c>
      <c r="G48" s="3105"/>
    </row>
    <row r="49" spans="1:7" ht="19.5" customHeight="1">
      <c r="A49" s="3792"/>
      <c r="B49" s="3785"/>
      <c r="C49" s="3106" t="s">
        <v>2497</v>
      </c>
      <c r="D49" s="3107"/>
      <c r="E49" s="3108">
        <v>1</v>
      </c>
      <c r="F49" s="3105" t="s">
        <v>2498</v>
      </c>
      <c r="G49" s="3105"/>
    </row>
    <row r="50" spans="1:7" ht="19.5" customHeight="1">
      <c r="A50" s="3792"/>
      <c r="B50" s="3785"/>
      <c r="C50" s="3106" t="s">
        <v>2499</v>
      </c>
      <c r="D50" s="3107"/>
      <c r="E50" s="3108">
        <v>1</v>
      </c>
      <c r="F50" s="3105" t="s">
        <v>2500</v>
      </c>
      <c r="G50" s="3105"/>
    </row>
    <row r="51" spans="1:7" ht="19.5" customHeight="1" thickBot="1">
      <c r="A51" s="3793"/>
      <c r="B51" s="3787"/>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3.5">
      <c r="A72" s="3117"/>
      <c r="B72" s="3117"/>
      <c r="C72" s="3117" t="s">
        <v>2653</v>
      </c>
      <c r="D72" s="3117"/>
      <c r="E72" s="3117" t="s">
        <v>2624</v>
      </c>
      <c r="F72" s="3117" t="s">
        <v>2624</v>
      </c>
    </row>
    <row r="73" spans="1:7" ht="13.5">
      <c r="A73" s="3117">
        <v>1</v>
      </c>
      <c r="B73" s="3783" t="s">
        <v>2654</v>
      </c>
      <c r="C73" s="3091" t="s">
        <v>2655</v>
      </c>
      <c r="D73" s="3091" t="s">
        <v>2656</v>
      </c>
      <c r="E73" s="3117">
        <v>0.2</v>
      </c>
      <c r="F73" s="3117">
        <v>25</v>
      </c>
    </row>
    <row r="74" spans="1:7" ht="24">
      <c r="A74" s="3117">
        <v>2</v>
      </c>
      <c r="B74" s="3785"/>
      <c r="C74" s="3091" t="s">
        <v>2657</v>
      </c>
      <c r="D74" s="3091" t="s">
        <v>2658</v>
      </c>
      <c r="E74" s="3117">
        <v>0.2</v>
      </c>
      <c r="F74" s="3117">
        <v>25</v>
      </c>
    </row>
    <row r="75" spans="1:7" ht="24">
      <c r="A75" s="3117">
        <v>3</v>
      </c>
      <c r="B75" s="3785"/>
      <c r="C75" s="3091" t="s">
        <v>2659</v>
      </c>
      <c r="D75" s="3091" t="s">
        <v>2660</v>
      </c>
      <c r="E75" s="3117">
        <v>0.2</v>
      </c>
      <c r="F75" s="3117">
        <v>25</v>
      </c>
    </row>
    <row r="76" spans="1:7" ht="13.5">
      <c r="A76" s="3117">
        <v>4</v>
      </c>
      <c r="B76" s="3785"/>
      <c r="C76" s="3091" t="s">
        <v>2661</v>
      </c>
      <c r="D76" s="3091" t="s">
        <v>2662</v>
      </c>
      <c r="E76" s="3117">
        <v>0.15</v>
      </c>
      <c r="F76" s="3117">
        <v>20</v>
      </c>
    </row>
    <row r="77" spans="1:7" ht="24">
      <c r="A77" s="3117">
        <v>5</v>
      </c>
      <c r="B77" s="3785"/>
      <c r="C77" s="3091" t="s">
        <v>2663</v>
      </c>
      <c r="D77" s="3091" t="s">
        <v>2664</v>
      </c>
      <c r="E77" s="3117">
        <v>0.15</v>
      </c>
      <c r="F77" s="3117">
        <v>20</v>
      </c>
    </row>
    <row r="78" spans="1:7" ht="24">
      <c r="A78" s="3117">
        <v>6</v>
      </c>
      <c r="B78" s="3785"/>
      <c r="C78" s="3091" t="s">
        <v>2665</v>
      </c>
      <c r="D78" s="3091" t="s">
        <v>2666</v>
      </c>
      <c r="E78" s="3117">
        <v>0.15</v>
      </c>
      <c r="F78" s="3117">
        <v>20</v>
      </c>
    </row>
    <row r="79" spans="1:7" ht="24">
      <c r="A79" s="3117">
        <v>7</v>
      </c>
      <c r="B79" s="3785"/>
      <c r="C79" s="3091" t="s">
        <v>2667</v>
      </c>
      <c r="D79" s="3091" t="s">
        <v>2668</v>
      </c>
      <c r="E79" s="3117">
        <v>0.15</v>
      </c>
      <c r="F79" s="3117">
        <v>20</v>
      </c>
    </row>
    <row r="80" spans="1:7" ht="24">
      <c r="A80" s="3117">
        <v>8</v>
      </c>
      <c r="B80" s="3785"/>
      <c r="C80" s="3091" t="s">
        <v>2669</v>
      </c>
      <c r="D80" s="3091" t="s">
        <v>2670</v>
      </c>
      <c r="E80" s="3117">
        <v>0.1</v>
      </c>
      <c r="F80" s="3117">
        <v>15</v>
      </c>
    </row>
    <row r="81" spans="1:6" ht="24">
      <c r="A81" s="3117">
        <v>9</v>
      </c>
      <c r="B81" s="3785"/>
      <c r="C81" s="3091" t="s">
        <v>2671</v>
      </c>
      <c r="D81" s="3091" t="s">
        <v>2672</v>
      </c>
      <c r="E81" s="3117">
        <v>0.1</v>
      </c>
      <c r="F81" s="3117">
        <v>15</v>
      </c>
    </row>
    <row r="82" spans="1:6" ht="24">
      <c r="A82" s="3117">
        <v>10</v>
      </c>
      <c r="B82" s="3785"/>
      <c r="C82" s="3091" t="s">
        <v>2673</v>
      </c>
      <c r="D82" s="3091" t="s">
        <v>2674</v>
      </c>
      <c r="E82" s="3117">
        <v>0.1</v>
      </c>
      <c r="F82" s="3117">
        <v>15</v>
      </c>
    </row>
    <row r="83" spans="1:6" ht="24">
      <c r="A83" s="3117">
        <v>11</v>
      </c>
      <c r="B83" s="3785"/>
      <c r="C83" s="3091" t="s">
        <v>2675</v>
      </c>
      <c r="D83" s="3091" t="s">
        <v>2676</v>
      </c>
      <c r="E83" s="3117">
        <v>0.1</v>
      </c>
      <c r="F83" s="3117">
        <v>15</v>
      </c>
    </row>
    <row r="84" spans="1:6" ht="24">
      <c r="A84" s="3117">
        <v>12</v>
      </c>
      <c r="B84" s="3785"/>
      <c r="C84" s="3091" t="s">
        <v>2677</v>
      </c>
      <c r="D84" s="3091" t="s">
        <v>2678</v>
      </c>
      <c r="E84" s="3117">
        <v>0.1</v>
      </c>
      <c r="F84" s="3117">
        <v>15</v>
      </c>
    </row>
    <row r="85" spans="1:6" ht="13.5">
      <c r="A85" s="3117">
        <v>13</v>
      </c>
      <c r="B85" s="3785"/>
      <c r="C85" s="3091" t="s">
        <v>2679</v>
      </c>
      <c r="D85" s="3091" t="s">
        <v>2680</v>
      </c>
      <c r="E85" s="3117">
        <v>0.1</v>
      </c>
      <c r="F85" s="3117">
        <v>15</v>
      </c>
    </row>
    <row r="86" spans="1:6" ht="13.5">
      <c r="A86" s="3117">
        <v>14</v>
      </c>
      <c r="B86" s="3785"/>
      <c r="C86" s="3091" t="s">
        <v>2681</v>
      </c>
      <c r="D86" s="3091" t="s">
        <v>2682</v>
      </c>
      <c r="E86" s="3117">
        <v>0.1</v>
      </c>
      <c r="F86" s="3117">
        <v>15</v>
      </c>
    </row>
    <row r="87" spans="1:6" ht="13.5">
      <c r="A87" s="3117">
        <v>15</v>
      </c>
      <c r="B87" s="3785"/>
      <c r="C87" s="3091" t="s">
        <v>2683</v>
      </c>
      <c r="D87" s="3091" t="s">
        <v>2684</v>
      </c>
      <c r="E87" s="3117">
        <v>0.1</v>
      </c>
      <c r="F87" s="3117">
        <v>15</v>
      </c>
    </row>
    <row r="88" spans="1:6" ht="24">
      <c r="A88" s="3117">
        <v>16</v>
      </c>
      <c r="B88" s="3785"/>
      <c r="C88" s="3091" t="s">
        <v>2685</v>
      </c>
      <c r="D88" s="3091" t="s">
        <v>2686</v>
      </c>
      <c r="E88" s="3117">
        <v>0.1</v>
      </c>
      <c r="F88" s="3117">
        <v>15</v>
      </c>
    </row>
    <row r="89" spans="1:6" ht="24">
      <c r="A89" s="3117">
        <v>17</v>
      </c>
      <c r="B89" s="3784"/>
      <c r="C89" s="3091" t="s">
        <v>2687</v>
      </c>
      <c r="D89" s="3091" t="s">
        <v>2688</v>
      </c>
      <c r="E89" s="3117">
        <v>0.1</v>
      </c>
      <c r="F89" s="3117">
        <v>15</v>
      </c>
    </row>
    <row r="90" spans="1:6" ht="13.5">
      <c r="A90" s="3117">
        <v>18</v>
      </c>
      <c r="B90" s="3783" t="s">
        <v>2689</v>
      </c>
      <c r="C90" s="3091" t="s">
        <v>2690</v>
      </c>
      <c r="D90" s="3091" t="s">
        <v>2691</v>
      </c>
      <c r="E90" s="3117">
        <v>0.2</v>
      </c>
      <c r="F90" s="3117">
        <v>25</v>
      </c>
    </row>
    <row r="91" spans="1:6" ht="24">
      <c r="A91" s="3117">
        <v>19</v>
      </c>
      <c r="B91" s="3785"/>
      <c r="C91" s="3091" t="s">
        <v>2692</v>
      </c>
      <c r="D91" s="3091" t="s">
        <v>2693</v>
      </c>
      <c r="E91" s="3117">
        <v>0.2</v>
      </c>
      <c r="F91" s="3117">
        <v>25</v>
      </c>
    </row>
    <row r="92" spans="1:6" ht="13.5">
      <c r="A92" s="3117">
        <v>20</v>
      </c>
      <c r="B92" s="3785"/>
      <c r="C92" s="3091" t="s">
        <v>2694</v>
      </c>
      <c r="D92" s="3091" t="s">
        <v>2695</v>
      </c>
      <c r="E92" s="3117">
        <v>0.15</v>
      </c>
      <c r="F92" s="3117">
        <v>20</v>
      </c>
    </row>
    <row r="93" spans="1:6" ht="13.5">
      <c r="A93" s="3117">
        <v>21</v>
      </c>
      <c r="B93" s="3785"/>
      <c r="C93" s="3091" t="s">
        <v>2696</v>
      </c>
      <c r="D93" s="3091" t="s">
        <v>2697</v>
      </c>
      <c r="E93" s="3117">
        <v>0.15</v>
      </c>
      <c r="F93" s="3117">
        <v>20</v>
      </c>
    </row>
    <row r="94" spans="1:6" ht="13.5">
      <c r="A94" s="3117">
        <v>22</v>
      </c>
      <c r="B94" s="3785"/>
      <c r="C94" s="3091" t="s">
        <v>2698</v>
      </c>
      <c r="D94" s="3091" t="s">
        <v>2699</v>
      </c>
      <c r="E94" s="3117">
        <v>0.15</v>
      </c>
      <c r="F94" s="3117">
        <v>20</v>
      </c>
    </row>
    <row r="95" spans="1:6" ht="36">
      <c r="A95" s="3117">
        <v>23</v>
      </c>
      <c r="B95" s="3785"/>
      <c r="C95" s="3091" t="s">
        <v>2700</v>
      </c>
      <c r="D95" s="3091" t="s">
        <v>2701</v>
      </c>
      <c r="E95" s="3117">
        <v>0.15</v>
      </c>
      <c r="F95" s="3117">
        <v>20</v>
      </c>
    </row>
    <row r="96" spans="1:6" ht="13.5">
      <c r="A96" s="3117">
        <v>24</v>
      </c>
      <c r="B96" s="3785"/>
      <c r="C96" s="3091" t="s">
        <v>2702</v>
      </c>
      <c r="D96" s="3091" t="s">
        <v>2703</v>
      </c>
      <c r="E96" s="3117">
        <v>0.1</v>
      </c>
      <c r="F96" s="3117">
        <v>15</v>
      </c>
    </row>
    <row r="97" spans="1:6" ht="13.5">
      <c r="A97" s="3117">
        <v>25</v>
      </c>
      <c r="B97" s="3785"/>
      <c r="C97" s="3091" t="s">
        <v>2704</v>
      </c>
      <c r="D97" s="3091" t="s">
        <v>2705</v>
      </c>
      <c r="E97" s="3117">
        <v>0.1</v>
      </c>
      <c r="F97" s="3117">
        <v>15</v>
      </c>
    </row>
    <row r="98" spans="1:6" ht="24">
      <c r="A98" s="3117">
        <v>26</v>
      </c>
      <c r="B98" s="3785"/>
      <c r="C98" s="3091" t="s">
        <v>2706</v>
      </c>
      <c r="D98" s="3091" t="s">
        <v>2707</v>
      </c>
      <c r="E98" s="3117">
        <v>0.1</v>
      </c>
      <c r="F98" s="3117">
        <v>15</v>
      </c>
    </row>
    <row r="99" spans="1:6" ht="24">
      <c r="A99" s="3117">
        <v>27</v>
      </c>
      <c r="B99" s="3785"/>
      <c r="C99" s="3091" t="s">
        <v>2708</v>
      </c>
      <c r="D99" s="3091" t="s">
        <v>2709</v>
      </c>
      <c r="E99" s="3117">
        <v>0.1</v>
      </c>
      <c r="F99" s="3117">
        <v>15</v>
      </c>
    </row>
    <row r="100" spans="1:6" ht="13.5">
      <c r="A100" s="3117">
        <v>28</v>
      </c>
      <c r="B100" s="3785"/>
      <c r="C100" s="3091" t="s">
        <v>2710</v>
      </c>
      <c r="D100" s="3091" t="s">
        <v>2711</v>
      </c>
      <c r="E100" s="3117">
        <v>0.1</v>
      </c>
      <c r="F100" s="3117">
        <v>15</v>
      </c>
    </row>
    <row r="101" spans="1:6" ht="13.5">
      <c r="A101" s="3117">
        <v>29</v>
      </c>
      <c r="B101" s="3785"/>
      <c r="C101" s="3091" t="s">
        <v>2712</v>
      </c>
      <c r="D101" s="3091" t="s">
        <v>2713</v>
      </c>
      <c r="E101" s="3117">
        <v>0.1</v>
      </c>
      <c r="F101" s="3117">
        <v>15</v>
      </c>
    </row>
    <row r="102" spans="1:6" ht="13.5">
      <c r="A102" s="3117">
        <v>30</v>
      </c>
      <c r="B102" s="3785"/>
      <c r="C102" s="3091" t="s">
        <v>2714</v>
      </c>
      <c r="D102" s="3091" t="s">
        <v>2715</v>
      </c>
      <c r="E102" s="3117">
        <v>0.1</v>
      </c>
      <c r="F102" s="3117">
        <v>15</v>
      </c>
    </row>
    <row r="103" spans="1:6" ht="24">
      <c r="A103" s="3117">
        <v>31</v>
      </c>
      <c r="B103" s="3785"/>
      <c r="C103" s="3091" t="s">
        <v>2716</v>
      </c>
      <c r="D103" s="3091" t="s">
        <v>2717</v>
      </c>
      <c r="E103" s="3117">
        <v>0.1</v>
      </c>
      <c r="F103" s="3117">
        <v>15</v>
      </c>
    </row>
    <row r="104" spans="1:6" ht="24">
      <c r="A104" s="3117">
        <v>32</v>
      </c>
      <c r="B104" s="3785"/>
      <c r="C104" s="3091" t="s">
        <v>2718</v>
      </c>
      <c r="D104" s="3091" t="s">
        <v>2719</v>
      </c>
      <c r="E104" s="3117">
        <v>0.1</v>
      </c>
      <c r="F104" s="3117">
        <v>15</v>
      </c>
    </row>
    <row r="105" spans="1:6" ht="24">
      <c r="A105" s="3117">
        <v>33</v>
      </c>
      <c r="B105" s="3785"/>
      <c r="C105" s="3091" t="s">
        <v>2720</v>
      </c>
      <c r="D105" s="3091" t="s">
        <v>2721</v>
      </c>
      <c r="E105" s="3117">
        <v>0.1</v>
      </c>
      <c r="F105" s="3117">
        <v>15</v>
      </c>
    </row>
    <row r="106" spans="1:6" ht="24">
      <c r="A106" s="3117">
        <v>34</v>
      </c>
      <c r="B106" s="3784"/>
      <c r="C106" s="3091" t="s">
        <v>2722</v>
      </c>
      <c r="D106" s="3091" t="s">
        <v>2723</v>
      </c>
      <c r="E106" s="3117">
        <v>0.1</v>
      </c>
      <c r="F106" s="3117">
        <v>15</v>
      </c>
    </row>
    <row r="107" spans="1:6" ht="24">
      <c r="A107" s="3117">
        <v>35</v>
      </c>
      <c r="B107" s="3783" t="s">
        <v>2724</v>
      </c>
      <c r="C107" s="3117" t="s">
        <v>2725</v>
      </c>
      <c r="D107" s="3091" t="s">
        <v>2726</v>
      </c>
      <c r="E107" s="3117">
        <v>0.15</v>
      </c>
      <c r="F107" s="3117">
        <v>20</v>
      </c>
    </row>
    <row r="108" spans="1:6" ht="13.5">
      <c r="A108" s="3117">
        <v>36</v>
      </c>
      <c r="B108" s="3785"/>
      <c r="C108" s="3117" t="s">
        <v>2727</v>
      </c>
      <c r="D108" s="3091" t="s">
        <v>2728</v>
      </c>
      <c r="E108" s="3117">
        <v>0.15</v>
      </c>
      <c r="F108" s="3117">
        <v>20</v>
      </c>
    </row>
    <row r="109" spans="1:6" ht="13.5">
      <c r="A109" s="3117">
        <v>37</v>
      </c>
      <c r="B109" s="3785"/>
      <c r="C109" s="3117" t="s">
        <v>2729</v>
      </c>
      <c r="D109" s="3091" t="s">
        <v>2730</v>
      </c>
      <c r="E109" s="3117">
        <v>0.15</v>
      </c>
      <c r="F109" s="3117">
        <v>20</v>
      </c>
    </row>
    <row r="110" spans="1:6" ht="13.5">
      <c r="A110" s="3117">
        <v>38</v>
      </c>
      <c r="B110" s="3785"/>
      <c r="C110" s="3117" t="s">
        <v>2731</v>
      </c>
      <c r="D110" s="3091" t="s">
        <v>2732</v>
      </c>
      <c r="E110" s="3117">
        <v>0.1</v>
      </c>
      <c r="F110" s="3117">
        <v>15</v>
      </c>
    </row>
    <row r="111" spans="1:6" ht="24">
      <c r="A111" s="3117">
        <v>39</v>
      </c>
      <c r="B111" s="3785"/>
      <c r="C111" s="3117" t="s">
        <v>2733</v>
      </c>
      <c r="D111" s="3091" t="s">
        <v>2734</v>
      </c>
      <c r="E111" s="3117">
        <v>0.1</v>
      </c>
      <c r="F111" s="3117">
        <v>15</v>
      </c>
    </row>
    <row r="112" spans="1:6" ht="24">
      <c r="A112" s="3117">
        <v>40</v>
      </c>
      <c r="B112" s="3784"/>
      <c r="C112" s="3117" t="s">
        <v>2735</v>
      </c>
      <c r="D112" s="3091" t="s">
        <v>2736</v>
      </c>
      <c r="E112" s="3117">
        <v>0.1</v>
      </c>
      <c r="F112" s="3117">
        <v>15</v>
      </c>
    </row>
    <row r="113" spans="1:6" ht="13.5">
      <c r="A113" s="3117">
        <v>41</v>
      </c>
      <c r="B113" s="3782" t="s">
        <v>2737</v>
      </c>
      <c r="C113" s="3117" t="s">
        <v>2738</v>
      </c>
      <c r="D113" s="3091" t="s">
        <v>2739</v>
      </c>
      <c r="E113" s="3117">
        <v>0.1</v>
      </c>
      <c r="F113" s="3117">
        <v>15</v>
      </c>
    </row>
    <row r="114" spans="1:6" ht="13.5">
      <c r="A114" s="3117">
        <v>42</v>
      </c>
      <c r="B114" s="3782"/>
      <c r="C114" s="3117" t="s">
        <v>2740</v>
      </c>
      <c r="D114" s="3091" t="s">
        <v>2741</v>
      </c>
      <c r="E114" s="3117">
        <v>0.1</v>
      </c>
      <c r="F114" s="3117">
        <v>15</v>
      </c>
    </row>
    <row r="115" spans="1:6" ht="24">
      <c r="A115" s="3117">
        <v>43</v>
      </c>
      <c r="B115" s="3782"/>
      <c r="C115" s="3117" t="s">
        <v>2742</v>
      </c>
      <c r="D115" s="3091" t="s">
        <v>2743</v>
      </c>
      <c r="E115" s="3117">
        <v>0.1</v>
      </c>
      <c r="F115" s="3117">
        <v>15</v>
      </c>
    </row>
    <row r="116" spans="1:6" ht="13.5">
      <c r="A116" s="3117">
        <v>44</v>
      </c>
      <c r="B116" s="3783" t="s">
        <v>2744</v>
      </c>
      <c r="C116" s="3117" t="s">
        <v>2745</v>
      </c>
      <c r="D116" s="3091" t="s">
        <v>2746</v>
      </c>
      <c r="E116" s="3117">
        <v>0.1</v>
      </c>
      <c r="F116" s="3117">
        <v>15</v>
      </c>
    </row>
    <row r="117" spans="1:6" ht="24">
      <c r="A117" s="3117">
        <v>45</v>
      </c>
      <c r="B117" s="3784"/>
      <c r="C117" s="3091" t="s">
        <v>2747</v>
      </c>
      <c r="D117" s="3091" t="s">
        <v>2748</v>
      </c>
      <c r="E117" s="3117">
        <v>0.1</v>
      </c>
      <c r="F117" s="3117">
        <v>15</v>
      </c>
    </row>
    <row r="118" spans="1:6" ht="24">
      <c r="A118" s="3117">
        <v>46</v>
      </c>
      <c r="B118" s="3783" t="s">
        <v>2749</v>
      </c>
      <c r="C118" s="3117" t="s">
        <v>2750</v>
      </c>
      <c r="D118" s="3091" t="s">
        <v>2751</v>
      </c>
      <c r="E118" s="3117">
        <v>0.1</v>
      </c>
      <c r="F118" s="3117">
        <v>15</v>
      </c>
    </row>
    <row r="119" spans="1:6" ht="24">
      <c r="A119" s="3117">
        <v>47</v>
      </c>
      <c r="B119" s="3784"/>
      <c r="C119" s="3117" t="s">
        <v>2752</v>
      </c>
      <c r="D119" s="3091" t="s">
        <v>2753</v>
      </c>
      <c r="E119" s="3117">
        <v>0.1</v>
      </c>
      <c r="F119" s="3117">
        <v>15</v>
      </c>
    </row>
    <row r="120" spans="1:6" ht="13.5">
      <c r="A120" s="3117">
        <v>48</v>
      </c>
      <c r="B120" s="3783" t="s">
        <v>2754</v>
      </c>
      <c r="C120" s="3117" t="s">
        <v>2755</v>
      </c>
      <c r="D120" s="3091" t="s">
        <v>2756</v>
      </c>
      <c r="E120" s="3117">
        <v>0.1</v>
      </c>
      <c r="F120" s="3117">
        <v>15</v>
      </c>
    </row>
    <row r="121" spans="1:6" ht="13.5">
      <c r="A121" s="3117">
        <v>49</v>
      </c>
      <c r="B121" s="3784"/>
      <c r="C121" s="3117" t="s">
        <v>2757</v>
      </c>
      <c r="D121" s="3091" t="s">
        <v>2758</v>
      </c>
      <c r="E121" s="3117">
        <v>0.1</v>
      </c>
      <c r="F121" s="3117">
        <v>15</v>
      </c>
    </row>
    <row r="122" spans="1:6" ht="24">
      <c r="A122" s="3117">
        <v>50</v>
      </c>
      <c r="B122" s="3782" t="s">
        <v>2759</v>
      </c>
      <c r="C122" s="3117" t="s">
        <v>2760</v>
      </c>
      <c r="D122" s="3091" t="s">
        <v>2761</v>
      </c>
      <c r="E122" s="3117">
        <v>0.1</v>
      </c>
      <c r="F122" s="3117">
        <v>15</v>
      </c>
    </row>
    <row r="123" spans="1:6" ht="24">
      <c r="A123" s="3117">
        <v>51</v>
      </c>
      <c r="B123" s="3782"/>
      <c r="C123" s="3117" t="s">
        <v>2762</v>
      </c>
      <c r="D123" s="3091" t="s">
        <v>2763</v>
      </c>
      <c r="E123" s="3117">
        <v>0.1</v>
      </c>
      <c r="F123" s="3117">
        <v>15</v>
      </c>
    </row>
    <row r="124" spans="1:6" ht="24">
      <c r="A124" s="3117">
        <v>52</v>
      </c>
      <c r="B124" s="3782" t="s">
        <v>2764</v>
      </c>
      <c r="C124" s="3117" t="s">
        <v>2765</v>
      </c>
      <c r="D124" s="3091" t="s">
        <v>2766</v>
      </c>
      <c r="E124" s="3117">
        <v>0.1</v>
      </c>
      <c r="F124" s="3117">
        <v>15</v>
      </c>
    </row>
    <row r="125" spans="1:6" ht="24">
      <c r="A125" s="3117">
        <v>53</v>
      </c>
      <c r="B125" s="3782"/>
      <c r="C125" s="3117" t="s">
        <v>2767</v>
      </c>
      <c r="D125" s="3091" t="s">
        <v>2768</v>
      </c>
      <c r="E125" s="3117">
        <v>0.1</v>
      </c>
      <c r="F125" s="3117">
        <v>15</v>
      </c>
    </row>
    <row r="126" spans="1:6" ht="13.5">
      <c r="A126" s="3117">
        <v>54</v>
      </c>
      <c r="B126" s="3117" t="s">
        <v>2769</v>
      </c>
      <c r="C126" s="3117" t="s">
        <v>2770</v>
      </c>
      <c r="D126" s="3091" t="s">
        <v>2771</v>
      </c>
      <c r="E126" s="3117">
        <v>0.1</v>
      </c>
      <c r="F126" s="3117">
        <v>15</v>
      </c>
    </row>
    <row r="127" spans="1:6" ht="13.5">
      <c r="A127" s="3117">
        <v>55</v>
      </c>
      <c r="B127" s="3782" t="s">
        <v>2772</v>
      </c>
      <c r="C127" s="3117" t="s">
        <v>2773</v>
      </c>
      <c r="D127" s="3091" t="s">
        <v>2774</v>
      </c>
      <c r="E127" s="3117">
        <v>0.1</v>
      </c>
      <c r="F127" s="3117">
        <v>15</v>
      </c>
    </row>
    <row r="128" spans="1:6" ht="13.5">
      <c r="A128" s="3117">
        <v>56</v>
      </c>
      <c r="B128" s="3782"/>
      <c r="C128" s="3117" t="s">
        <v>2775</v>
      </c>
      <c r="D128" s="3091" t="s">
        <v>2776</v>
      </c>
      <c r="E128" s="3117">
        <v>0.1</v>
      </c>
      <c r="F128" s="3117">
        <v>15</v>
      </c>
    </row>
    <row r="129" spans="1:6" ht="24">
      <c r="A129" s="3117">
        <v>57</v>
      </c>
      <c r="B129" s="3782"/>
      <c r="C129" s="3117" t="s">
        <v>2777</v>
      </c>
      <c r="D129" s="3091" t="s">
        <v>2778</v>
      </c>
      <c r="E129" s="3117">
        <v>0.1</v>
      </c>
      <c r="F129" s="3117">
        <v>15</v>
      </c>
    </row>
    <row r="130" spans="1:6" ht="24">
      <c r="A130" s="3117">
        <v>58</v>
      </c>
      <c r="B130" s="3782" t="s">
        <v>2779</v>
      </c>
      <c r="C130" s="3117" t="s">
        <v>2780</v>
      </c>
      <c r="D130" s="3091" t="s">
        <v>2781</v>
      </c>
      <c r="E130" s="3117">
        <v>0.1</v>
      </c>
      <c r="F130" s="3117">
        <v>15</v>
      </c>
    </row>
    <row r="131" spans="1:6" ht="13.5">
      <c r="A131" s="3117">
        <v>59</v>
      </c>
      <c r="B131" s="3782"/>
      <c r="C131" s="3117" t="s">
        <v>2782</v>
      </c>
      <c r="D131" s="3091" t="s">
        <v>2783</v>
      </c>
      <c r="E131" s="3117">
        <v>0.1</v>
      </c>
      <c r="F131" s="3117">
        <v>15</v>
      </c>
    </row>
    <row r="132" spans="1:6" ht="13.5">
      <c r="A132" s="3117">
        <v>60</v>
      </c>
      <c r="B132" s="3783" t="s">
        <v>2784</v>
      </c>
      <c r="C132" s="3117" t="s">
        <v>2785</v>
      </c>
      <c r="D132" s="3091" t="s">
        <v>2786</v>
      </c>
      <c r="E132" s="3117">
        <v>0.1</v>
      </c>
      <c r="F132" s="3117">
        <v>15</v>
      </c>
    </row>
    <row r="133" spans="1:6" ht="13.5">
      <c r="A133" s="3117">
        <v>61</v>
      </c>
      <c r="B133" s="3784"/>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13.5">
      <c r="A135" s="3117">
        <v>63</v>
      </c>
      <c r="B135" s="3782" t="s">
        <v>2792</v>
      </c>
      <c r="C135" s="3117" t="s">
        <v>2793</v>
      </c>
      <c r="D135" s="3091" t="s">
        <v>2794</v>
      </c>
      <c r="E135" s="3117">
        <v>0.1</v>
      </c>
      <c r="F135" s="3117">
        <v>15</v>
      </c>
    </row>
    <row r="136" spans="1:6" ht="13.5">
      <c r="A136" s="3117">
        <v>64</v>
      </c>
      <c r="B136" s="3782"/>
      <c r="C136" s="3117" t="s">
        <v>2795</v>
      </c>
      <c r="D136" s="3091" t="s">
        <v>2796</v>
      </c>
      <c r="E136" s="3117">
        <v>0.1</v>
      </c>
      <c r="F136" s="3117">
        <v>15</v>
      </c>
    </row>
    <row r="137" spans="1:6" ht="13.5">
      <c r="A137" s="3117">
        <v>65</v>
      </c>
      <c r="B137" s="3117" t="s">
        <v>2797</v>
      </c>
      <c r="C137" s="3117" t="s">
        <v>2798</v>
      </c>
      <c r="D137" s="3091" t="s">
        <v>2799</v>
      </c>
      <c r="E137" s="3117">
        <v>0.1</v>
      </c>
      <c r="F137" s="3117">
        <v>15</v>
      </c>
    </row>
    <row r="138" spans="1:6" ht="13.5">
      <c r="A138" s="3117"/>
      <c r="B138" s="3117"/>
      <c r="C138" s="3117"/>
      <c r="D138" s="3117"/>
      <c r="E138" s="3117" t="s">
        <v>2800</v>
      </c>
      <c r="F138" s="3117"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8"/>
      <c r="C2" s="3478"/>
      <c r="D2" s="3478"/>
      <c r="E2" s="3478"/>
    </row>
    <row r="3" spans="1:5" ht="18">
      <c r="A3" s="3479" t="str">
        <f>IF(项目基本情况!B9="房地产市场价值","估价结果一览表（市场价值不需“结果表-1”）","估价结果一览表")</f>
        <v>估价结果一览表</v>
      </c>
      <c r="B3" s="3479"/>
      <c r="C3" s="3479"/>
      <c r="D3" s="3479"/>
      <c r="E3" s="3479"/>
    </row>
    <row r="4" spans="1:5" ht="19.5" thickBot="1">
      <c r="A4" s="1493"/>
      <c r="B4" s="3477" t="s">
        <v>917</v>
      </c>
      <c r="C4" s="3477"/>
      <c r="D4" s="3477"/>
      <c r="E4" s="1493"/>
    </row>
    <row r="5" spans="1:5" ht="16.5" thickTop="1">
      <c r="A5" s="1491"/>
      <c r="B5" s="3475" t="s">
        <v>909</v>
      </c>
      <c r="C5" s="1494" t="s">
        <v>910</v>
      </c>
      <c r="D5" s="850">
        <f ca="1">结果表!H101</f>
        <v>1316</v>
      </c>
      <c r="E5" s="1491"/>
    </row>
    <row r="6" spans="1:5" ht="15.75">
      <c r="A6" s="1491"/>
      <c r="B6" s="3475"/>
      <c r="C6" s="1494" t="s">
        <v>911</v>
      </c>
      <c r="D6" s="850" t="str">
        <f ca="1">NUMBERSTRING(INT(D5*10000),2)&amp;"元整"</f>
        <v>壹仟叁佰壹拾陆万元整</v>
      </c>
      <c r="E6" s="1491"/>
    </row>
    <row r="7" spans="1:5" ht="15.75">
      <c r="A7" s="1491"/>
      <c r="B7" s="3480"/>
      <c r="C7" s="1495" t="s">
        <v>912</v>
      </c>
      <c r="D7" s="851">
        <f ca="1">结果表!H102</f>
        <v>8425</v>
      </c>
      <c r="E7" s="1491"/>
    </row>
    <row r="8" spans="1:5" ht="15.75">
      <c r="A8" s="1491"/>
      <c r="B8" s="3481" t="str">
        <f>结果表!E103</f>
        <v>2.估价师知悉的法定优先受偿款</v>
      </c>
      <c r="C8" s="1496" t="s">
        <v>913</v>
      </c>
      <c r="D8" s="851">
        <f>结果表!H103</f>
        <v>0</v>
      </c>
      <c r="E8" s="1491"/>
    </row>
    <row r="9" spans="1:5" ht="15.75">
      <c r="A9" s="1491"/>
      <c r="B9" s="348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4" t="str">
        <f>结果表!E107</f>
        <v>3.房地产抵押价值</v>
      </c>
      <c r="C13" s="1499" t="s">
        <v>910</v>
      </c>
      <c r="D13" s="853">
        <f ca="1">结果表!H107</f>
        <v>1316</v>
      </c>
      <c r="E13" s="1491"/>
    </row>
    <row r="14" spans="1:5" ht="15.75">
      <c r="A14" s="1491"/>
      <c r="B14" s="3475"/>
      <c r="C14" s="1494" t="s">
        <v>911</v>
      </c>
      <c r="D14" s="850" t="str">
        <f ca="1">NUMBERSTRING(INT(D13*10000),2)&amp;"元整"</f>
        <v>壹仟叁佰壹拾陆万元整</v>
      </c>
      <c r="E14" s="1491"/>
    </row>
    <row r="15" spans="1:5" ht="15">
      <c r="A15" s="1491"/>
      <c r="B15" s="3480"/>
      <c r="C15" s="1495" t="s">
        <v>921</v>
      </c>
      <c r="D15" s="859">
        <f ca="1">结果表!H108</f>
        <v>8425</v>
      </c>
      <c r="E15" s="1491"/>
    </row>
    <row r="16" spans="1:5" ht="15">
      <c r="A16" s="1491"/>
      <c r="B16" s="3481" t="str">
        <f>结果表!E109</f>
        <v>——</v>
      </c>
      <c r="C16" s="1499" t="s">
        <v>922</v>
      </c>
      <c r="D16" s="1500" t="str">
        <f>结果表!H109</f>
        <v>——</v>
      </c>
      <c r="E16" s="1491"/>
    </row>
    <row r="17" spans="1:5" ht="15.75">
      <c r="A17" s="1491"/>
      <c r="B17" s="3482"/>
      <c r="C17" s="1494" t="s">
        <v>923</v>
      </c>
      <c r="D17" s="850" t="e">
        <f>NUMBERSTRING(INT(D16*10000),2)&amp;"元整"</f>
        <v>#VALUE!</v>
      </c>
      <c r="E17" s="1491"/>
    </row>
    <row r="18" spans="1:5" ht="15">
      <c r="A18" s="1491"/>
      <c r="B18" s="3483"/>
      <c r="C18" s="1495" t="s">
        <v>912</v>
      </c>
      <c r="D18" s="859" t="str">
        <f>结果表!H110</f>
        <v>——</v>
      </c>
      <c r="E18" s="1491"/>
    </row>
    <row r="19" spans="1:5" ht="15.75">
      <c r="A19" s="1491"/>
      <c r="B19" s="3474" t="str">
        <f>结果表!E111</f>
        <v>——</v>
      </c>
      <c r="C19" s="1499" t="s">
        <v>910</v>
      </c>
      <c r="D19" s="851" t="str">
        <f>结果表!H111</f>
        <v>——</v>
      </c>
      <c r="E19" s="1491"/>
    </row>
    <row r="20" spans="1:5" ht="15.75">
      <c r="A20" s="1491"/>
      <c r="B20" s="3475"/>
      <c r="C20" s="1494" t="s">
        <v>923</v>
      </c>
      <c r="D20" s="850" t="e">
        <f>NUMBERSTRING(INT(D19*10000),2)&amp;"元整"</f>
        <v>#VALUE!</v>
      </c>
      <c r="E20" s="1491"/>
    </row>
    <row r="21" spans="1:5" ht="15.75" thickBot="1">
      <c r="A21" s="1491"/>
      <c r="B21" s="347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2801</v>
      </c>
      <c r="B1" s="3126"/>
      <c r="C1" s="3126"/>
      <c r="D1" s="3126"/>
      <c r="E1" s="3126"/>
      <c r="F1" s="3126"/>
      <c r="G1" s="3126"/>
      <c r="H1" s="3126"/>
      <c r="I1" s="3126"/>
      <c r="J1" s="3126"/>
      <c r="K1" s="3126"/>
      <c r="L1" s="3126"/>
      <c r="M1" s="3126"/>
      <c r="N1" s="749"/>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50">
        <f>SUMPRODUCT((A95:A184=ROUNDDOWN(基准地价修正!G3,1))*(B94:M94=基准地价修正!G2)*(B95:M184))</f>
        <v>0.9274</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50">
        <f>SUMPRODUCT((A371:A460=ROUNDDOWN(基准地价修正!G3,1))*(B370:M370=基准地价修正!G2)*(B371:M460))</f>
        <v>0.84419999999999995</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27442</v>
      </c>
      <c r="C2" s="2" t="s">
        <v>106</v>
      </c>
      <c r="D2" s="199"/>
      <c r="E2" s="199"/>
      <c r="F2" s="199"/>
      <c r="G2" s="199"/>
    </row>
    <row r="3" spans="1:7" s="200" customFormat="1" ht="18" customHeight="1" thickBot="1">
      <c r="A3" s="203" t="s">
        <v>58</v>
      </c>
      <c r="B3" s="204">
        <f ca="1">ROUND(B2*10000/'数据-汇总表'!E3,0)</f>
        <v>175658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30</v>
      </c>
      <c r="D10" s="845">
        <f>'数据-汇总表'!E6</f>
        <v>1562.24</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31</v>
      </c>
      <c r="D19" s="849">
        <f>'数据-汇总表'!E3</f>
        <v>1562.24</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719</v>
      </c>
      <c r="D22" s="235">
        <f ca="1">C26</f>
        <v>2.9999999999999997E-4</v>
      </c>
      <c r="E22" s="236" t="s">
        <v>99</v>
      </c>
      <c r="F22" s="237">
        <f ca="1">'数据-取费表'!B40</f>
        <v>3.4500000000000003E-2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711</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7</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3158</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3158</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26972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521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469</v>
      </c>
      <c r="D34" s="217"/>
      <c r="E34" s="220"/>
      <c r="F34" s="257">
        <f>IF('数据-取费表'!B24=0,1,'数据-取费表'!N16)</f>
        <v>1</v>
      </c>
      <c r="G34" s="219" t="s">
        <v>89</v>
      </c>
    </row>
    <row r="35" spans="1:7" ht="13.5" customHeight="1">
      <c r="A35" s="780" t="s">
        <v>351</v>
      </c>
      <c r="B35" s="215" t="s">
        <v>33</v>
      </c>
      <c r="C35" s="220">
        <f>ROUND(C34*F35,0)</f>
        <v>14</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31</v>
      </c>
      <c r="D37" s="217">
        <f>'数据-汇总表'!E3</f>
        <v>1562.24</v>
      </c>
      <c r="E37" s="249">
        <f>'数据-取费表'!B35</f>
        <v>200</v>
      </c>
      <c r="F37" s="259"/>
      <c r="G37" s="261" t="s">
        <v>92</v>
      </c>
    </row>
    <row r="38" spans="1:7" ht="13.5" customHeight="1">
      <c r="A38" s="780" t="s">
        <v>354</v>
      </c>
      <c r="B38" s="215" t="s">
        <v>36</v>
      </c>
      <c r="C38" s="220">
        <f>ROUND(C34*F38,0)</f>
        <v>7</v>
      </c>
      <c r="D38" s="220"/>
      <c r="E38" s="220"/>
      <c r="F38" s="259">
        <f>'数据-取费表'!B36</f>
        <v>1.4999999999999999E-2</v>
      </c>
      <c r="G38" s="219" t="s">
        <v>90</v>
      </c>
    </row>
    <row r="39" spans="1:7" s="214" customFormat="1" ht="13.5" customHeight="1">
      <c r="A39" s="777" t="s">
        <v>338</v>
      </c>
      <c r="B39" s="210" t="s">
        <v>77</v>
      </c>
      <c r="C39" s="232">
        <f>ROUND(C33*F20,0)</f>
        <v>10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9</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9</v>
      </c>
      <c r="D42" s="238"/>
      <c r="E42" s="238"/>
      <c r="F42" s="239"/>
      <c r="G42" s="3656" t="s">
        <v>94</v>
      </c>
    </row>
    <row r="43" spans="1:7" ht="13.5" customHeight="1">
      <c r="A43" s="780" t="s">
        <v>347</v>
      </c>
      <c r="B43" s="215" t="s">
        <v>426</v>
      </c>
      <c r="C43" s="238">
        <f ca="1">ROUND(IF('数据-取费表'!B22&lt;=1,C39*F22*'数据-取费表'!B21/2,C39*(POWER((1+F22),'数据-取费表'!B21/2)-1)),0)</f>
        <v>0</v>
      </c>
      <c r="D43" s="238"/>
      <c r="E43" s="238"/>
      <c r="F43" s="239"/>
      <c r="G43" s="3657"/>
    </row>
    <row r="44" spans="1:7" ht="13.5" customHeight="1">
      <c r="A44" s="780" t="s">
        <v>348</v>
      </c>
      <c r="B44" s="215" t="s">
        <v>428</v>
      </c>
      <c r="C44" s="238">
        <f ca="1">ROUND(IF('数据-取费表'!B22&lt;=1,C40*F22*'数据-取费表'!B21/2,C40*(POWER((1+F22),'数据-取费表'!B21/2)-1)),4)</f>
        <v>2.9999999999999997E-4</v>
      </c>
      <c r="D44" s="238"/>
      <c r="E44" s="238"/>
      <c r="F44" s="239"/>
      <c r="G44" s="3658"/>
    </row>
    <row r="45" spans="1:7" s="214" customFormat="1" ht="13.5" customHeight="1">
      <c r="A45" s="777" t="s">
        <v>341</v>
      </c>
      <c r="B45" s="244" t="s">
        <v>85</v>
      </c>
      <c r="C45" s="245">
        <f>C46</f>
        <v>80</v>
      </c>
      <c r="D45" s="235">
        <f>C47</f>
        <v>3.0000000000000001E-3</v>
      </c>
      <c r="E45" s="236" t="s">
        <v>102</v>
      </c>
      <c r="F45" s="246"/>
      <c r="G45" s="247" t="s">
        <v>434</v>
      </c>
    </row>
    <row r="46" spans="1:7" s="214" customFormat="1" ht="13.5" customHeight="1">
      <c r="A46" s="780" t="s">
        <v>349</v>
      </c>
      <c r="B46" s="248" t="s">
        <v>427</v>
      </c>
      <c r="C46" s="249">
        <f>ROUND((C33+C39)*F27,0)</f>
        <v>80</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671</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470</v>
      </c>
      <c r="D51" s="232"/>
      <c r="E51" s="232"/>
      <c r="F51" s="264"/>
      <c r="G51" s="234" t="s">
        <v>37</v>
      </c>
    </row>
    <row r="52" spans="1:7" s="208" customFormat="1" ht="16.5" thickBot="1">
      <c r="A52" s="265" t="s">
        <v>38</v>
      </c>
      <c r="B52" s="266"/>
      <c r="C52" s="267">
        <f ca="1">C31+C51</f>
        <v>27442</v>
      </c>
      <c r="D52" s="266"/>
      <c r="E52" s="266"/>
      <c r="F52" s="266"/>
      <c r="G52" s="268"/>
    </row>
    <row r="55" spans="1:7" ht="15">
      <c r="B55" s="270" t="s">
        <v>39</v>
      </c>
      <c r="C55" s="271"/>
    </row>
    <row r="56" spans="1:7">
      <c r="B56" s="273" t="s">
        <v>40</v>
      </c>
      <c r="C56" s="274">
        <f ca="1">ROUND(C51/C52,3)</f>
        <v>1.7000000000000001E-2</v>
      </c>
    </row>
    <row r="57" spans="1:7">
      <c r="B57" s="273" t="s">
        <v>41</v>
      </c>
      <c r="C57" s="275">
        <f ca="1">1-C56</f>
        <v>0.98299999999999998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96" t="s">
        <v>2842</v>
      </c>
      <c r="B1" s="3796"/>
      <c r="C1" s="3796"/>
      <c r="D1" s="3796"/>
      <c r="E1" s="3796"/>
      <c r="F1" s="3796"/>
      <c r="G1" s="3797"/>
      <c r="I1" s="3222" t="s">
        <v>2843</v>
      </c>
      <c r="J1" s="3223" t="s">
        <v>2844</v>
      </c>
      <c r="K1" s="3223" t="s">
        <v>2845</v>
      </c>
      <c r="L1" s="3223" t="s">
        <v>2846</v>
      </c>
      <c r="M1" s="3223" t="s">
        <v>2847</v>
      </c>
      <c r="N1" s="3223" t="s">
        <v>2848</v>
      </c>
      <c r="O1" s="3223" t="s">
        <v>2849</v>
      </c>
      <c r="P1" s="3223" t="s">
        <v>2850</v>
      </c>
      <c r="Q1" s="3223" t="s">
        <v>2851</v>
      </c>
      <c r="R1" s="3223" t="s">
        <v>2852</v>
      </c>
      <c r="S1" s="3223" t="s">
        <v>2853</v>
      </c>
      <c r="T1" s="3224" t="s">
        <v>2854</v>
      </c>
    </row>
    <row r="2" spans="1:20" ht="12" thickBot="1">
      <c r="A2" s="3226" t="s">
        <v>2855</v>
      </c>
      <c r="B2" s="3226"/>
      <c r="C2" s="3226"/>
      <c r="D2" s="3226"/>
      <c r="E2" s="3226"/>
      <c r="F2" s="3226"/>
      <c r="G2" s="3227" t="s">
        <v>2856</v>
      </c>
      <c r="I2" s="3228" t="s">
        <v>2857</v>
      </c>
      <c r="J2" s="3228" t="s">
        <v>2858</v>
      </c>
      <c r="K2" s="3228" t="s">
        <v>2859</v>
      </c>
      <c r="L2" s="3228" t="s">
        <v>2860</v>
      </c>
      <c r="M2" s="3228" t="s">
        <v>2861</v>
      </c>
      <c r="N2" s="3228" t="s">
        <v>2862</v>
      </c>
      <c r="O2" s="3228" t="s">
        <v>2863</v>
      </c>
      <c r="P2" s="3228" t="s">
        <v>2864</v>
      </c>
      <c r="Q2" s="3228" t="s">
        <v>2865</v>
      </c>
      <c r="R2" s="3228" t="s">
        <v>2866</v>
      </c>
      <c r="S2" s="3228" t="s">
        <v>2867</v>
      </c>
      <c r="T2" s="3228" t="s">
        <v>2868</v>
      </c>
    </row>
    <row r="3" spans="1:20" s="3234" customFormat="1">
      <c r="A3" s="3794" t="s">
        <v>2869</v>
      </c>
      <c r="B3" s="3229"/>
      <c r="C3" s="3230" t="s">
        <v>2814</v>
      </c>
      <c r="D3" s="3230" t="s">
        <v>2870</v>
      </c>
      <c r="E3" s="3230" t="s">
        <v>2816</v>
      </c>
      <c r="F3" s="3230" t="s">
        <v>2871</v>
      </c>
      <c r="G3" s="3230" t="s">
        <v>2634</v>
      </c>
      <c r="H3" s="3231"/>
      <c r="I3" s="3232" t="s">
        <v>2872</v>
      </c>
      <c r="J3" s="3233" t="s">
        <v>128</v>
      </c>
      <c r="K3" s="3233" t="s">
        <v>129</v>
      </c>
      <c r="L3" s="3232" t="s">
        <v>130</v>
      </c>
      <c r="M3" s="3232" t="s">
        <v>131</v>
      </c>
      <c r="N3" s="3232" t="s">
        <v>132</v>
      </c>
      <c r="O3" s="3232" t="s">
        <v>133</v>
      </c>
      <c r="P3" s="3232" t="s">
        <v>134</v>
      </c>
      <c r="Q3" s="3232" t="s">
        <v>135</v>
      </c>
      <c r="R3" s="3232" t="s">
        <v>136</v>
      </c>
      <c r="S3" s="3232" t="s">
        <v>2873</v>
      </c>
      <c r="T3" s="3232" t="s">
        <v>2874</v>
      </c>
    </row>
    <row r="4" spans="1:20" s="3234" customFormat="1" ht="12" thickBot="1">
      <c r="A4" s="3795"/>
      <c r="B4" s="3235" t="s">
        <v>2875</v>
      </c>
      <c r="C4" s="3235" t="s">
        <v>2876</v>
      </c>
      <c r="D4" s="3235" t="s">
        <v>2876</v>
      </c>
      <c r="E4" s="3235" t="s">
        <v>2876</v>
      </c>
      <c r="F4" s="3236" t="s">
        <v>2876</v>
      </c>
      <c r="G4" s="3236" t="s">
        <v>2876</v>
      </c>
      <c r="H4" s="3231"/>
      <c r="I4" s="3233" t="s">
        <v>137</v>
      </c>
      <c r="J4" s="3233" t="s">
        <v>111</v>
      </c>
      <c r="K4" s="3233" t="s">
        <v>138</v>
      </c>
      <c r="L4" s="3232" t="s">
        <v>139</v>
      </c>
      <c r="M4" s="3232" t="s">
        <v>140</v>
      </c>
      <c r="N4" s="3232" t="s">
        <v>141</v>
      </c>
      <c r="O4" s="3232" t="s">
        <v>142</v>
      </c>
      <c r="P4" s="3232" t="s">
        <v>143</v>
      </c>
      <c r="Q4" s="3232" t="s">
        <v>2877</v>
      </c>
      <c r="R4" s="3232" t="s">
        <v>2878</v>
      </c>
      <c r="S4" s="3232" t="s">
        <v>2879</v>
      </c>
      <c r="T4" s="3232" t="s">
        <v>2880</v>
      </c>
    </row>
    <row r="5" spans="1:20">
      <c r="A5" s="3237" t="s">
        <v>2843</v>
      </c>
      <c r="B5" s="3228" t="s">
        <v>2857</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2881</v>
      </c>
      <c r="R5" s="3232" t="s">
        <v>2882</v>
      </c>
      <c r="S5" s="3232" t="s">
        <v>153</v>
      </c>
      <c r="T5" s="3232" t="s">
        <v>2883</v>
      </c>
    </row>
    <row r="6" spans="1:20" ht="12" thickBot="1">
      <c r="A6" s="3232" t="s">
        <v>144</v>
      </c>
      <c r="B6" s="3232" t="s">
        <v>2872</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2884</v>
      </c>
      <c r="Q6" s="3232" t="s">
        <v>2885</v>
      </c>
      <c r="R6" s="3232" t="s">
        <v>161</v>
      </c>
      <c r="S6" s="3232" t="s">
        <v>2886</v>
      </c>
      <c r="T6" s="3232" t="s">
        <v>2887</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2888</v>
      </c>
      <c r="Q7" s="3232" t="s">
        <v>2889</v>
      </c>
      <c r="R7" s="3232" t="s">
        <v>2890</v>
      </c>
      <c r="S7" s="3232" t="s">
        <v>2891</v>
      </c>
      <c r="T7" s="3232" t="s">
        <v>2892</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2893</v>
      </c>
      <c r="Q8" s="3232" t="s">
        <v>174</v>
      </c>
      <c r="R8" s="3232" t="s">
        <v>2894</v>
      </c>
      <c r="S8" s="3232" t="s">
        <v>2895</v>
      </c>
      <c r="T8" s="3239" t="s">
        <v>2896</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2897</v>
      </c>
      <c r="Q9" s="3232" t="s">
        <v>182</v>
      </c>
      <c r="R9" s="3232" t="s">
        <v>183</v>
      </c>
      <c r="S9" s="3232" t="s">
        <v>200</v>
      </c>
    </row>
    <row r="10" spans="1:20">
      <c r="A10" s="3237" t="s">
        <v>184</v>
      </c>
      <c r="B10" s="3228" t="s">
        <v>2858</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2898</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2899</v>
      </c>
      <c r="P11" s="3232" t="s">
        <v>191</v>
      </c>
      <c r="Q11" s="3232" t="s">
        <v>199</v>
      </c>
      <c r="R11" s="3232" t="s">
        <v>2900</v>
      </c>
      <c r="S11" s="3232" t="s">
        <v>2901</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2902</v>
      </c>
      <c r="P12" s="3232" t="s">
        <v>2903</v>
      </c>
      <c r="Q12" s="3232" t="s">
        <v>2904</v>
      </c>
      <c r="R12" s="3232" t="s">
        <v>2905</v>
      </c>
      <c r="S12" s="3232" t="s">
        <v>2906</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2907</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2908</v>
      </c>
      <c r="K14" s="3233" t="s">
        <v>215</v>
      </c>
      <c r="L14" s="3232" t="s">
        <v>216</v>
      </c>
      <c r="M14" s="3232" t="s">
        <v>217</v>
      </c>
      <c r="N14" s="3232" t="s">
        <v>218</v>
      </c>
      <c r="O14" s="3232" t="s">
        <v>240</v>
      </c>
      <c r="P14" s="3232" t="s">
        <v>213</v>
      </c>
      <c r="Q14" s="3232" t="s">
        <v>2909</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2910</v>
      </c>
      <c r="P15" s="3232" t="s">
        <v>2911</v>
      </c>
      <c r="Q15" s="3232" t="s">
        <v>242</v>
      </c>
      <c r="R15" s="3232" t="s">
        <v>2912</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2913</v>
      </c>
      <c r="P16" s="3232" t="s">
        <v>227</v>
      </c>
      <c r="Q16" s="3232" t="s">
        <v>250</v>
      </c>
      <c r="R16" s="3232" t="s">
        <v>207</v>
      </c>
      <c r="S16" s="3232" t="s">
        <v>2914</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2915</v>
      </c>
      <c r="P17" s="3232" t="s">
        <v>2916</v>
      </c>
      <c r="Q17" s="3232" t="s">
        <v>256</v>
      </c>
      <c r="R17" s="3232" t="s">
        <v>2917</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2918</v>
      </c>
      <c r="P18" s="3232" t="s">
        <v>241</v>
      </c>
      <c r="Q18" s="3232" t="s">
        <v>2919</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2920</v>
      </c>
      <c r="P19" s="3232" t="s">
        <v>249</v>
      </c>
      <c r="Q19" s="3232" t="s">
        <v>2921</v>
      </c>
      <c r="R19" s="3232" t="s">
        <v>265</v>
      </c>
      <c r="S19" s="3232" t="s">
        <v>2922</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2923</v>
      </c>
      <c r="P20" s="3232" t="s">
        <v>2924</v>
      </c>
      <c r="Q20" s="3232" t="s">
        <v>290</v>
      </c>
      <c r="R20" s="3232" t="s">
        <v>2925</v>
      </c>
      <c r="S20" s="3232" t="s">
        <v>277</v>
      </c>
    </row>
    <row r="21" spans="1:19" ht="14.25" customHeight="1" thickBot="1">
      <c r="A21" s="3232" t="s">
        <v>184</v>
      </c>
      <c r="B21" s="3233" t="s">
        <v>208</v>
      </c>
      <c r="C21" s="3232">
        <v>32370</v>
      </c>
      <c r="D21" s="3232">
        <v>26730</v>
      </c>
      <c r="E21" s="3232">
        <v>26640</v>
      </c>
      <c r="F21" s="3232"/>
      <c r="G21" s="3232">
        <v>19440</v>
      </c>
      <c r="J21" s="3239" t="s">
        <v>2926</v>
      </c>
      <c r="K21" s="3233" t="s">
        <v>267</v>
      </c>
      <c r="L21" s="3232" t="s">
        <v>268</v>
      </c>
      <c r="M21" s="3232" t="s">
        <v>269</v>
      </c>
      <c r="N21" s="3232" t="s">
        <v>270</v>
      </c>
      <c r="O21" s="3232" t="s">
        <v>264</v>
      </c>
      <c r="P21" s="3232" t="s">
        <v>283</v>
      </c>
      <c r="Q21" s="3232" t="s">
        <v>293</v>
      </c>
      <c r="R21" s="3232" t="s">
        <v>2927</v>
      </c>
      <c r="S21" s="3239" t="s">
        <v>2928</v>
      </c>
    </row>
    <row r="22" spans="1:19" ht="14.25" customHeight="1">
      <c r="A22" s="3232" t="s">
        <v>184</v>
      </c>
      <c r="B22" s="3233" t="s">
        <v>2908</v>
      </c>
      <c r="C22" s="3232">
        <v>29830</v>
      </c>
      <c r="D22" s="3232">
        <v>27600</v>
      </c>
      <c r="E22" s="3232">
        <v>28150</v>
      </c>
      <c r="F22" s="3232"/>
      <c r="G22" s="3232">
        <v>20080</v>
      </c>
      <c r="K22" s="3233" t="s">
        <v>2929</v>
      </c>
      <c r="L22" s="3232" t="s">
        <v>272</v>
      </c>
      <c r="M22" s="3232" t="s">
        <v>273</v>
      </c>
      <c r="N22" s="3232" t="s">
        <v>274</v>
      </c>
      <c r="O22" s="3232" t="s">
        <v>2930</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2931</v>
      </c>
      <c r="L23" s="3232" t="s">
        <v>278</v>
      </c>
      <c r="M23" s="3232" t="s">
        <v>279</v>
      </c>
      <c r="N23" s="3232" t="s">
        <v>2932</v>
      </c>
      <c r="O23" s="3232" t="s">
        <v>2933</v>
      </c>
      <c r="P23" s="3232" t="s">
        <v>289</v>
      </c>
      <c r="Q23" s="3232" t="s">
        <v>298</v>
      </c>
      <c r="R23" s="3232" t="s">
        <v>2934</v>
      </c>
    </row>
    <row r="24" spans="1:19" ht="14.25" customHeight="1">
      <c r="A24" s="3232" t="s">
        <v>184</v>
      </c>
      <c r="B24" s="3233" t="s">
        <v>230</v>
      </c>
      <c r="C24" s="3232">
        <v>27930</v>
      </c>
      <c r="D24" s="3232">
        <v>32260</v>
      </c>
      <c r="E24" s="3232">
        <v>32120</v>
      </c>
      <c r="F24" s="3232"/>
      <c r="G24" s="3232">
        <v>23470</v>
      </c>
      <c r="K24" s="3233" t="s">
        <v>2935</v>
      </c>
      <c r="L24" s="3232" t="s">
        <v>281</v>
      </c>
      <c r="M24" s="3232" t="s">
        <v>282</v>
      </c>
      <c r="N24" s="3232" t="s">
        <v>2936</v>
      </c>
      <c r="O24" s="3232" t="s">
        <v>285</v>
      </c>
      <c r="P24" s="3232" t="s">
        <v>2937</v>
      </c>
      <c r="Q24" s="3241" t="s">
        <v>2938</v>
      </c>
      <c r="R24" s="3232" t="s">
        <v>2939</v>
      </c>
    </row>
    <row r="25" spans="1:19" ht="14.25" customHeight="1">
      <c r="A25" s="3232" t="s">
        <v>184</v>
      </c>
      <c r="B25" s="3233" t="s">
        <v>235</v>
      </c>
      <c r="C25" s="3232">
        <v>32230</v>
      </c>
      <c r="D25" s="3232">
        <v>29640</v>
      </c>
      <c r="E25" s="3232">
        <v>29510</v>
      </c>
      <c r="F25" s="3232"/>
      <c r="G25" s="3232">
        <v>21560</v>
      </c>
      <c r="K25" s="3233" t="s">
        <v>2940</v>
      </c>
      <c r="L25" s="3232" t="s">
        <v>2941</v>
      </c>
      <c r="M25" s="3232" t="s">
        <v>284</v>
      </c>
      <c r="N25" s="3232" t="s">
        <v>292</v>
      </c>
      <c r="O25" s="3232" t="s">
        <v>288</v>
      </c>
      <c r="P25" s="3232" t="s">
        <v>275</v>
      </c>
      <c r="Q25" s="3241" t="s">
        <v>271</v>
      </c>
      <c r="R25" s="3232" t="s">
        <v>2942</v>
      </c>
    </row>
    <row r="26" spans="1:19" ht="14.25" customHeight="1" thickBot="1">
      <c r="A26" s="3232" t="s">
        <v>184</v>
      </c>
      <c r="B26" s="3233" t="s">
        <v>244</v>
      </c>
      <c r="C26" s="3232">
        <v>31690</v>
      </c>
      <c r="D26" s="3232">
        <v>27650</v>
      </c>
      <c r="E26" s="3232">
        <v>28200</v>
      </c>
      <c r="F26" s="3232"/>
      <c r="G26" s="3232">
        <v>20110</v>
      </c>
      <c r="K26" s="3238" t="s">
        <v>2943</v>
      </c>
      <c r="L26" s="3232" t="s">
        <v>2944</v>
      </c>
      <c r="M26" s="3232" t="s">
        <v>287</v>
      </c>
      <c r="N26" s="3232" t="s">
        <v>294</v>
      </c>
      <c r="O26" s="3232" t="s">
        <v>2945</v>
      </c>
      <c r="P26" s="3232" t="s">
        <v>2946</v>
      </c>
      <c r="Q26" s="3241" t="s">
        <v>276</v>
      </c>
      <c r="R26" s="3232" t="s">
        <v>2947</v>
      </c>
    </row>
    <row r="27" spans="1:19" ht="14.25" customHeight="1">
      <c r="A27" s="3232" t="s">
        <v>184</v>
      </c>
      <c r="B27" s="3233" t="s">
        <v>251</v>
      </c>
      <c r="C27" s="3232">
        <v>29610</v>
      </c>
      <c r="D27" s="3232">
        <v>27770</v>
      </c>
      <c r="E27" s="3232">
        <v>28300</v>
      </c>
      <c r="F27" s="3232"/>
      <c r="G27" s="3232">
        <v>20210</v>
      </c>
      <c r="L27" s="3232" t="s">
        <v>2948</v>
      </c>
      <c r="M27" s="3232" t="s">
        <v>291</v>
      </c>
      <c r="N27" s="3232" t="s">
        <v>297</v>
      </c>
      <c r="O27" s="3232" t="s">
        <v>2949</v>
      </c>
      <c r="P27" s="3232" t="s">
        <v>2950</v>
      </c>
      <c r="Q27" s="3232" t="s">
        <v>2951</v>
      </c>
      <c r="R27" s="3232" t="s">
        <v>2952</v>
      </c>
    </row>
    <row r="28" spans="1:19" ht="14.25" customHeight="1">
      <c r="A28" s="3232" t="s">
        <v>184</v>
      </c>
      <c r="B28" s="3233" t="s">
        <v>259</v>
      </c>
      <c r="C28" s="3232"/>
      <c r="D28" s="3232">
        <v>31520</v>
      </c>
      <c r="E28" s="3232">
        <v>31410</v>
      </c>
      <c r="F28" s="3232"/>
      <c r="G28" s="3232">
        <v>22940</v>
      </c>
      <c r="L28" s="3232" t="s">
        <v>2953</v>
      </c>
      <c r="M28" s="3232" t="s">
        <v>2954</v>
      </c>
      <c r="N28" s="3232" t="s">
        <v>2955</v>
      </c>
      <c r="O28" s="3232" t="s">
        <v>2956</v>
      </c>
      <c r="P28" s="3232" t="s">
        <v>2957</v>
      </c>
      <c r="Q28" s="3232" t="s">
        <v>2958</v>
      </c>
      <c r="R28" s="3232" t="s">
        <v>2959</v>
      </c>
    </row>
    <row r="29" spans="1:19" ht="14.25" customHeight="1" thickBot="1">
      <c r="A29" s="3240" t="s">
        <v>184</v>
      </c>
      <c r="B29" s="3242" t="s">
        <v>2926</v>
      </c>
      <c r="C29" s="3243"/>
      <c r="D29" s="3243">
        <v>29460</v>
      </c>
      <c r="E29" s="3243">
        <v>28640</v>
      </c>
      <c r="F29" s="3243"/>
      <c r="G29" s="3243">
        <v>21430</v>
      </c>
      <c r="L29" s="3232" t="s">
        <v>2960</v>
      </c>
      <c r="M29" s="3232" t="s">
        <v>2961</v>
      </c>
      <c r="N29" s="3232" t="s">
        <v>2962</v>
      </c>
      <c r="O29" s="3232" t="s">
        <v>2963</v>
      </c>
      <c r="P29" s="3232" t="s">
        <v>2964</v>
      </c>
      <c r="Q29" s="3232" t="s">
        <v>2965</v>
      </c>
      <c r="R29" s="3232" t="s">
        <v>280</v>
      </c>
    </row>
    <row r="30" spans="1:19" ht="14.25" customHeight="1">
      <c r="A30" s="3237" t="s">
        <v>296</v>
      </c>
      <c r="B30" s="3228" t="s">
        <v>2859</v>
      </c>
      <c r="C30" s="3228">
        <v>26890</v>
      </c>
      <c r="D30" s="3228">
        <v>26770</v>
      </c>
      <c r="E30" s="3228">
        <v>25700</v>
      </c>
      <c r="F30" s="3228">
        <v>8180</v>
      </c>
      <c r="G30" s="3244">
        <v>18740</v>
      </c>
      <c r="L30" s="3232" t="s">
        <v>2966</v>
      </c>
      <c r="M30" s="3232" t="s">
        <v>2967</v>
      </c>
      <c r="N30" s="3232" t="s">
        <v>2968</v>
      </c>
      <c r="O30" s="3232" t="s">
        <v>2969</v>
      </c>
      <c r="P30" s="3232" t="s">
        <v>2970</v>
      </c>
      <c r="Q30" s="3232" t="s">
        <v>2971</v>
      </c>
      <c r="R30" s="3232" t="s">
        <v>2972</v>
      </c>
    </row>
    <row r="31" spans="1:19" ht="14.25" customHeight="1">
      <c r="A31" s="3232" t="s">
        <v>296</v>
      </c>
      <c r="B31" s="3233" t="s">
        <v>129</v>
      </c>
      <c r="C31" s="3232">
        <v>24550</v>
      </c>
      <c r="D31" s="3232">
        <v>23990</v>
      </c>
      <c r="E31" s="3232">
        <v>22930</v>
      </c>
      <c r="F31" s="3232">
        <v>7470</v>
      </c>
      <c r="G31" s="3245">
        <v>16790</v>
      </c>
      <c r="L31" s="3232" t="s">
        <v>2973</v>
      </c>
      <c r="M31" s="3232" t="s">
        <v>2974</v>
      </c>
      <c r="N31" s="3232" t="s">
        <v>2975</v>
      </c>
      <c r="O31" s="3232" t="s">
        <v>2976</v>
      </c>
      <c r="P31" s="3232" t="s">
        <v>2977</v>
      </c>
      <c r="Q31" s="3232" t="s">
        <v>2978</v>
      </c>
      <c r="R31" s="3232" t="s">
        <v>2979</v>
      </c>
    </row>
    <row r="32" spans="1:19" ht="14.25" customHeight="1" thickBot="1">
      <c r="A32" s="3232" t="s">
        <v>296</v>
      </c>
      <c r="B32" s="3233" t="s">
        <v>138</v>
      </c>
      <c r="C32" s="3232">
        <v>27210</v>
      </c>
      <c r="D32" s="3232">
        <v>23240</v>
      </c>
      <c r="E32" s="3232">
        <v>23260</v>
      </c>
      <c r="F32" s="3232">
        <v>7130</v>
      </c>
      <c r="G32" s="3245">
        <v>16270</v>
      </c>
      <c r="L32" s="3232" t="s">
        <v>2980</v>
      </c>
      <c r="M32" s="3232" t="s">
        <v>2981</v>
      </c>
      <c r="N32" s="3232" t="s">
        <v>300</v>
      </c>
      <c r="O32" s="3232" t="s">
        <v>2982</v>
      </c>
      <c r="P32" s="3232" t="s">
        <v>299</v>
      </c>
      <c r="Q32" s="3232" t="s">
        <v>2983</v>
      </c>
      <c r="R32" s="3239" t="s">
        <v>2984</v>
      </c>
    </row>
    <row r="33" spans="1:17" ht="14.25" customHeight="1" thickBot="1">
      <c r="A33" s="3232" t="s">
        <v>296</v>
      </c>
      <c r="B33" s="3233" t="s">
        <v>147</v>
      </c>
      <c r="C33" s="3232">
        <v>27300</v>
      </c>
      <c r="D33" s="3232">
        <v>22980</v>
      </c>
      <c r="E33" s="3232">
        <v>24260</v>
      </c>
      <c r="F33" s="3232">
        <v>5860</v>
      </c>
      <c r="G33" s="3245">
        <v>16090</v>
      </c>
      <c r="L33" s="3239" t="s">
        <v>2985</v>
      </c>
      <c r="M33" s="3232" t="s">
        <v>2986</v>
      </c>
      <c r="N33" s="3232" t="s">
        <v>301</v>
      </c>
      <c r="O33" s="3232" t="s">
        <v>2987</v>
      </c>
      <c r="P33" s="3232" t="s">
        <v>2988</v>
      </c>
      <c r="Q33" s="3232" t="s">
        <v>2989</v>
      </c>
    </row>
    <row r="34" spans="1:17" ht="14.25" customHeight="1">
      <c r="A34" s="3232" t="s">
        <v>296</v>
      </c>
      <c r="B34" s="3233" t="s">
        <v>156</v>
      </c>
      <c r="C34" s="3232">
        <v>23090</v>
      </c>
      <c r="D34" s="3232">
        <v>23390</v>
      </c>
      <c r="E34" s="3232">
        <v>23510</v>
      </c>
      <c r="F34" s="3232">
        <v>6700</v>
      </c>
      <c r="G34" s="3245">
        <v>16370</v>
      </c>
      <c r="M34" s="3232" t="s">
        <v>2990</v>
      </c>
      <c r="N34" s="3232" t="s">
        <v>302</v>
      </c>
      <c r="O34" s="3232" t="s">
        <v>2991</v>
      </c>
      <c r="P34" s="3232" t="s">
        <v>2992</v>
      </c>
      <c r="Q34" s="3232" t="s">
        <v>2993</v>
      </c>
    </row>
    <row r="35" spans="1:17" ht="14.25" customHeight="1">
      <c r="A35" s="3232" t="s">
        <v>296</v>
      </c>
      <c r="B35" s="3233" t="s">
        <v>163</v>
      </c>
      <c r="C35" s="3232">
        <v>27270</v>
      </c>
      <c r="D35" s="3232">
        <v>24270</v>
      </c>
      <c r="E35" s="3232">
        <v>24950</v>
      </c>
      <c r="F35" s="3232">
        <v>6600</v>
      </c>
      <c r="G35" s="3245">
        <v>16990</v>
      </c>
      <c r="M35" s="3232" t="s">
        <v>2994</v>
      </c>
      <c r="N35" s="3232" t="s">
        <v>2995</v>
      </c>
      <c r="O35" s="3232" t="s">
        <v>2996</v>
      </c>
      <c r="P35" s="3232" t="s">
        <v>2997</v>
      </c>
      <c r="Q35" s="3232" t="s">
        <v>2998</v>
      </c>
    </row>
    <row r="36" spans="1:17" ht="14.25" customHeight="1">
      <c r="A36" s="3232" t="s">
        <v>296</v>
      </c>
      <c r="B36" s="3233" t="s">
        <v>169</v>
      </c>
      <c r="C36" s="3232">
        <v>23490</v>
      </c>
      <c r="D36" s="3232">
        <v>23020</v>
      </c>
      <c r="E36" s="3232">
        <v>25230</v>
      </c>
      <c r="F36" s="3232">
        <v>6780</v>
      </c>
      <c r="G36" s="3245">
        <v>16120</v>
      </c>
      <c r="M36" s="3232" t="s">
        <v>2999</v>
      </c>
      <c r="N36" s="3232" t="s">
        <v>3000</v>
      </c>
      <c r="O36" s="3232" t="s">
        <v>3001</v>
      </c>
      <c r="P36" s="3232" t="s">
        <v>3002</v>
      </c>
      <c r="Q36" s="3232" t="s">
        <v>3003</v>
      </c>
    </row>
    <row r="37" spans="1:17" ht="14.25" customHeight="1">
      <c r="A37" s="3232" t="s">
        <v>296</v>
      </c>
      <c r="B37" s="3233" t="s">
        <v>176</v>
      </c>
      <c r="C37" s="3232">
        <v>24380</v>
      </c>
      <c r="D37" s="3232">
        <v>22240</v>
      </c>
      <c r="E37" s="3232">
        <v>25980</v>
      </c>
      <c r="F37" s="3232">
        <v>8160</v>
      </c>
      <c r="G37" s="3245">
        <v>15570</v>
      </c>
      <c r="M37" s="3232" t="s">
        <v>3004</v>
      </c>
      <c r="N37" s="3232" t="s">
        <v>3005</v>
      </c>
      <c r="O37" s="3232" t="s">
        <v>3006</v>
      </c>
      <c r="P37" s="3232" t="s">
        <v>3007</v>
      </c>
      <c r="Q37" s="3232" t="s">
        <v>3008</v>
      </c>
    </row>
    <row r="38" spans="1:17" ht="14.25" customHeight="1">
      <c r="A38" s="3232" t="s">
        <v>296</v>
      </c>
      <c r="B38" s="3233" t="s">
        <v>186</v>
      </c>
      <c r="C38" s="3232">
        <v>23120</v>
      </c>
      <c r="D38" s="3232">
        <v>24630</v>
      </c>
      <c r="E38" s="3232">
        <v>25030</v>
      </c>
      <c r="F38" s="3232">
        <v>7710</v>
      </c>
      <c r="G38" s="3245">
        <v>17240</v>
      </c>
      <c r="M38" s="3232" t="s">
        <v>3009</v>
      </c>
      <c r="N38" s="3232" t="s">
        <v>3010</v>
      </c>
      <c r="O38" s="3232" t="s">
        <v>3011</v>
      </c>
      <c r="P38" s="3232" t="s">
        <v>3012</v>
      </c>
      <c r="Q38" s="3232" t="s">
        <v>3013</v>
      </c>
    </row>
    <row r="39" spans="1:17" ht="14.25" customHeight="1">
      <c r="A39" s="3232" t="s">
        <v>296</v>
      </c>
      <c r="B39" s="3233" t="s">
        <v>195</v>
      </c>
      <c r="C39" s="3232">
        <v>22330</v>
      </c>
      <c r="D39" s="3232">
        <v>21140</v>
      </c>
      <c r="E39" s="3232">
        <v>23970</v>
      </c>
      <c r="F39" s="3232">
        <v>7940</v>
      </c>
      <c r="G39" s="3245">
        <v>14790</v>
      </c>
      <c r="M39" s="3232" t="s">
        <v>3014</v>
      </c>
      <c r="N39" s="3232" t="s">
        <v>3015</v>
      </c>
      <c r="O39" s="3232" t="s">
        <v>3016</v>
      </c>
      <c r="P39" s="3232" t="s">
        <v>3017</v>
      </c>
      <c r="Q39" s="3232" t="s">
        <v>3018</v>
      </c>
    </row>
    <row r="40" spans="1:17" ht="14.25" customHeight="1">
      <c r="A40" s="3232" t="s">
        <v>296</v>
      </c>
      <c r="B40" s="3233" t="s">
        <v>202</v>
      </c>
      <c r="C40" s="3232">
        <v>24740</v>
      </c>
      <c r="D40" s="3232">
        <v>24690</v>
      </c>
      <c r="E40" s="3232">
        <v>22610</v>
      </c>
      <c r="F40" s="3232"/>
      <c r="G40" s="3245">
        <v>17280</v>
      </c>
      <c r="M40" s="3232" t="s">
        <v>3019</v>
      </c>
      <c r="N40" s="3232" t="s">
        <v>3020</v>
      </c>
      <c r="O40" s="3232" t="s">
        <v>3021</v>
      </c>
      <c r="P40" s="3232" t="s">
        <v>3022</v>
      </c>
      <c r="Q40" s="3232" t="s">
        <v>3023</v>
      </c>
    </row>
    <row r="41" spans="1:17" ht="14.25" customHeight="1" thickBot="1">
      <c r="A41" s="3232" t="s">
        <v>296</v>
      </c>
      <c r="B41" s="3233" t="s">
        <v>209</v>
      </c>
      <c r="C41" s="3232">
        <v>21220</v>
      </c>
      <c r="D41" s="3232">
        <v>21120</v>
      </c>
      <c r="E41" s="3232">
        <v>22590</v>
      </c>
      <c r="F41" s="3232"/>
      <c r="G41" s="3245">
        <v>14780</v>
      </c>
      <c r="M41" s="3239" t="s">
        <v>3024</v>
      </c>
      <c r="N41" s="3232" t="s">
        <v>3025</v>
      </c>
      <c r="O41" s="3232" t="s">
        <v>3026</v>
      </c>
      <c r="P41" s="3232" t="s">
        <v>3027</v>
      </c>
      <c r="Q41" s="3232" t="s">
        <v>3028</v>
      </c>
    </row>
    <row r="42" spans="1:17" ht="14.25" customHeight="1">
      <c r="A42" s="3232" t="s">
        <v>296</v>
      </c>
      <c r="B42" s="3233" t="s">
        <v>215</v>
      </c>
      <c r="C42" s="3232">
        <v>24800</v>
      </c>
      <c r="D42" s="3232">
        <v>22280</v>
      </c>
      <c r="E42" s="3232">
        <v>24350</v>
      </c>
      <c r="F42" s="3232"/>
      <c r="G42" s="3245">
        <v>15590</v>
      </c>
      <c r="N42" s="3232" t="s">
        <v>3029</v>
      </c>
      <c r="O42" s="3232" t="s">
        <v>3030</v>
      </c>
      <c r="P42" s="3232" t="s">
        <v>3031</v>
      </c>
      <c r="Q42" s="3232" t="s">
        <v>3032</v>
      </c>
    </row>
    <row r="43" spans="1:17" ht="14.25" customHeight="1">
      <c r="A43" s="3232" t="s">
        <v>3033</v>
      </c>
      <c r="B43" s="3233" t="s">
        <v>223</v>
      </c>
      <c r="C43" s="3232">
        <v>21210</v>
      </c>
      <c r="D43" s="3232">
        <v>21160</v>
      </c>
      <c r="E43" s="3232">
        <v>22650</v>
      </c>
      <c r="F43" s="3232"/>
      <c r="G43" s="3245">
        <v>14800</v>
      </c>
      <c r="N43" s="3232" t="s">
        <v>3034</v>
      </c>
      <c r="O43" s="3232" t="s">
        <v>3035</v>
      </c>
      <c r="P43" s="3232" t="s">
        <v>3036</v>
      </c>
      <c r="Q43" s="3232" t="s">
        <v>3037</v>
      </c>
    </row>
    <row r="44" spans="1:17" ht="14.25" customHeight="1" thickBot="1">
      <c r="A44" s="3232" t="s">
        <v>296</v>
      </c>
      <c r="B44" s="3233" t="s">
        <v>231</v>
      </c>
      <c r="C44" s="3232">
        <v>22370</v>
      </c>
      <c r="D44" s="3232">
        <v>23140</v>
      </c>
      <c r="E44" s="3232">
        <v>25090</v>
      </c>
      <c r="F44" s="3232"/>
      <c r="G44" s="3245">
        <v>16190</v>
      </c>
      <c r="N44" s="3232" t="s">
        <v>3038</v>
      </c>
      <c r="O44" s="3232" t="s">
        <v>3039</v>
      </c>
      <c r="P44" s="3239" t="s">
        <v>3040</v>
      </c>
      <c r="Q44" s="3232" t="s">
        <v>3041</v>
      </c>
    </row>
    <row r="45" spans="1:17" ht="14.25" customHeight="1" thickBot="1">
      <c r="A45" s="3232" t="s">
        <v>296</v>
      </c>
      <c r="B45" s="3233" t="s">
        <v>236</v>
      </c>
      <c r="C45" s="3232">
        <v>21240</v>
      </c>
      <c r="D45" s="3232">
        <v>27050</v>
      </c>
      <c r="E45" s="3232">
        <v>28000</v>
      </c>
      <c r="F45" s="3232"/>
      <c r="G45" s="3245">
        <v>18940</v>
      </c>
      <c r="N45" s="3232" t="s">
        <v>3042</v>
      </c>
      <c r="O45" s="3239" t="s">
        <v>3043</v>
      </c>
      <c r="Q45" s="3232" t="s">
        <v>3044</v>
      </c>
    </row>
    <row r="46" spans="1:17" ht="14.25" customHeight="1">
      <c r="A46" s="3232" t="s">
        <v>296</v>
      </c>
      <c r="B46" s="3233" t="s">
        <v>245</v>
      </c>
      <c r="C46" s="3232">
        <v>23240</v>
      </c>
      <c r="D46" s="3232">
        <v>23000</v>
      </c>
      <c r="E46" s="3232">
        <v>24980</v>
      </c>
      <c r="F46" s="3232"/>
      <c r="G46" s="3245">
        <v>16100</v>
      </c>
      <c r="N46" s="3232" t="s">
        <v>3045</v>
      </c>
      <c r="Q46" s="3232" t="s">
        <v>3046</v>
      </c>
    </row>
    <row r="47" spans="1:17" ht="14.25" customHeight="1">
      <c r="A47" s="3232" t="s">
        <v>296</v>
      </c>
      <c r="B47" s="3233" t="s">
        <v>252</v>
      </c>
      <c r="C47" s="3232">
        <v>27150</v>
      </c>
      <c r="D47" s="3232">
        <v>23310</v>
      </c>
      <c r="E47" s="3232">
        <v>25150</v>
      </c>
      <c r="F47" s="3232"/>
      <c r="G47" s="3245">
        <v>16310</v>
      </c>
      <c r="N47" s="3232" t="s">
        <v>3047</v>
      </c>
      <c r="Q47" s="3232" t="s">
        <v>3048</v>
      </c>
    </row>
    <row r="48" spans="1:17" ht="14.25" customHeight="1">
      <c r="A48" s="3232" t="s">
        <v>296</v>
      </c>
      <c r="B48" s="3233" t="s">
        <v>260</v>
      </c>
      <c r="C48" s="3232">
        <v>23100</v>
      </c>
      <c r="D48" s="3232">
        <v>21110</v>
      </c>
      <c r="E48" s="3232">
        <v>23080</v>
      </c>
      <c r="F48" s="3232"/>
      <c r="G48" s="3245">
        <v>14780</v>
      </c>
      <c r="N48" s="3232" t="s">
        <v>3049</v>
      </c>
      <c r="Q48" s="3232" t="s">
        <v>3050</v>
      </c>
    </row>
    <row r="49" spans="1:17" ht="14.25" customHeight="1">
      <c r="A49" s="3232" t="s">
        <v>296</v>
      </c>
      <c r="B49" s="3233" t="s">
        <v>267</v>
      </c>
      <c r="C49" s="3232">
        <v>23400</v>
      </c>
      <c r="D49" s="3232">
        <v>22920</v>
      </c>
      <c r="E49" s="3232">
        <v>24900</v>
      </c>
      <c r="F49" s="3232"/>
      <c r="G49" s="3245">
        <v>16040</v>
      </c>
      <c r="N49" s="3232" t="s">
        <v>3051</v>
      </c>
      <c r="Q49" s="3232" t="s">
        <v>3052</v>
      </c>
    </row>
    <row r="50" spans="1:17" ht="14.25" customHeight="1">
      <c r="A50" s="3232" t="s">
        <v>296</v>
      </c>
      <c r="B50" s="3233" t="s">
        <v>2929</v>
      </c>
      <c r="C50" s="3232">
        <v>21200</v>
      </c>
      <c r="D50" s="3232">
        <v>26540</v>
      </c>
      <c r="E50" s="3232">
        <v>23200</v>
      </c>
      <c r="F50" s="3232"/>
      <c r="G50" s="3245">
        <v>18580</v>
      </c>
      <c r="N50" s="3232" t="s">
        <v>3053</v>
      </c>
      <c r="Q50" s="3233" t="s">
        <v>3054</v>
      </c>
    </row>
    <row r="51" spans="1:17" ht="14.25" customHeight="1" thickBot="1">
      <c r="A51" s="3232" t="s">
        <v>296</v>
      </c>
      <c r="B51" s="3233" t="s">
        <v>2931</v>
      </c>
      <c r="C51" s="3232">
        <v>23000</v>
      </c>
      <c r="D51" s="3232">
        <v>23460</v>
      </c>
      <c r="E51" s="3232">
        <v>25290</v>
      </c>
      <c r="F51" s="3232"/>
      <c r="G51" s="3245">
        <v>16420</v>
      </c>
      <c r="N51" s="3232" t="s">
        <v>3055</v>
      </c>
      <c r="Q51" s="3239" t="s">
        <v>3056</v>
      </c>
    </row>
    <row r="52" spans="1:17" ht="14.25" customHeight="1">
      <c r="A52" s="3232" t="s">
        <v>296</v>
      </c>
      <c r="B52" s="3233" t="s">
        <v>2935</v>
      </c>
      <c r="C52" s="3232">
        <v>26660</v>
      </c>
      <c r="D52" s="3232">
        <v>22350</v>
      </c>
      <c r="E52" s="3232">
        <v>22920</v>
      </c>
      <c r="F52" s="3232"/>
      <c r="G52" s="3245">
        <v>15640</v>
      </c>
      <c r="N52" s="3232" t="s">
        <v>3057</v>
      </c>
    </row>
    <row r="53" spans="1:17" ht="14.25" customHeight="1">
      <c r="A53" s="3232" t="s">
        <v>296</v>
      </c>
      <c r="B53" s="3233" t="s">
        <v>2940</v>
      </c>
      <c r="C53" s="3232">
        <v>23580</v>
      </c>
      <c r="D53" s="3232"/>
      <c r="E53" s="3232">
        <v>24280</v>
      </c>
      <c r="F53" s="3232"/>
      <c r="G53" s="3245"/>
      <c r="N53" s="3232" t="s">
        <v>3058</v>
      </c>
    </row>
    <row r="54" spans="1:17" ht="14.25" customHeight="1" thickBot="1">
      <c r="A54" s="3246" t="s">
        <v>296</v>
      </c>
      <c r="B54" s="3238" t="s">
        <v>2943</v>
      </c>
      <c r="C54" s="3239">
        <v>22460</v>
      </c>
      <c r="D54" s="3239"/>
      <c r="E54" s="3239"/>
      <c r="F54" s="3239"/>
      <c r="G54" s="3247"/>
      <c r="N54" s="3232" t="s">
        <v>3059</v>
      </c>
    </row>
    <row r="55" spans="1:17" ht="14.25" customHeight="1">
      <c r="A55" s="3237" t="s">
        <v>110</v>
      </c>
      <c r="B55" s="3228" t="s">
        <v>3060</v>
      </c>
      <c r="C55" s="3232">
        <v>21970</v>
      </c>
      <c r="D55" s="3232">
        <v>20370</v>
      </c>
      <c r="E55" s="3232">
        <v>20180</v>
      </c>
      <c r="F55" s="3232">
        <v>5730</v>
      </c>
      <c r="G55" s="3232">
        <v>13820</v>
      </c>
      <c r="N55" s="3232" t="s">
        <v>3061</v>
      </c>
    </row>
    <row r="56" spans="1:17" ht="14.25" customHeight="1">
      <c r="A56" s="3232" t="s">
        <v>110</v>
      </c>
      <c r="B56" s="3232" t="s">
        <v>130</v>
      </c>
      <c r="C56" s="3232">
        <v>20470</v>
      </c>
      <c r="D56" s="3232">
        <v>20700</v>
      </c>
      <c r="E56" s="3232">
        <v>20380</v>
      </c>
      <c r="F56" s="3232">
        <v>4760</v>
      </c>
      <c r="G56" s="3232">
        <v>14050</v>
      </c>
      <c r="N56" s="3232" t="s">
        <v>3062</v>
      </c>
    </row>
    <row r="57" spans="1:17" ht="14.25" customHeight="1">
      <c r="A57" s="3232" t="s">
        <v>110</v>
      </c>
      <c r="B57" s="3232" t="s">
        <v>139</v>
      </c>
      <c r="C57" s="3232">
        <v>20790</v>
      </c>
      <c r="D57" s="3232">
        <v>21370</v>
      </c>
      <c r="E57" s="3232">
        <v>20890</v>
      </c>
      <c r="F57" s="3232">
        <v>4910</v>
      </c>
      <c r="G57" s="3232">
        <v>14510</v>
      </c>
      <c r="N57" s="3232" t="s">
        <v>3063</v>
      </c>
    </row>
    <row r="58" spans="1:17" ht="14.25" customHeight="1">
      <c r="A58" s="3232" t="s">
        <v>110</v>
      </c>
      <c r="B58" s="3232" t="s">
        <v>148</v>
      </c>
      <c r="C58" s="3232">
        <v>21460</v>
      </c>
      <c r="D58" s="3232">
        <v>20920</v>
      </c>
      <c r="E58" s="3232">
        <v>23410</v>
      </c>
      <c r="F58" s="3232">
        <v>5100</v>
      </c>
      <c r="G58" s="3232">
        <v>14200</v>
      </c>
      <c r="N58" s="3232" t="s">
        <v>3064</v>
      </c>
    </row>
    <row r="59" spans="1:17" ht="14.25" customHeight="1">
      <c r="A59" s="3232" t="s">
        <v>110</v>
      </c>
      <c r="B59" s="3232" t="s">
        <v>157</v>
      </c>
      <c r="C59" s="3232">
        <v>21000</v>
      </c>
      <c r="D59" s="3232">
        <v>21550</v>
      </c>
      <c r="E59" s="3232">
        <v>21150</v>
      </c>
      <c r="F59" s="3232">
        <v>5250</v>
      </c>
      <c r="G59" s="3232">
        <v>14630</v>
      </c>
      <c r="N59" s="3232" t="s">
        <v>3065</v>
      </c>
    </row>
    <row r="60" spans="1:17" ht="14.25" customHeight="1">
      <c r="A60" s="3232" t="s">
        <v>110</v>
      </c>
      <c r="B60" s="3232" t="s">
        <v>164</v>
      </c>
      <c r="C60" s="3232">
        <v>21640</v>
      </c>
      <c r="D60" s="3232">
        <v>21260</v>
      </c>
      <c r="E60" s="3232">
        <v>24040</v>
      </c>
      <c r="F60" s="3232">
        <v>4470</v>
      </c>
      <c r="G60" s="3232">
        <v>14430</v>
      </c>
      <c r="N60" s="3232" t="s">
        <v>3066</v>
      </c>
    </row>
    <row r="61" spans="1:17" ht="14.25" customHeight="1">
      <c r="A61" s="3232" t="s">
        <v>110</v>
      </c>
      <c r="B61" s="3232" t="s">
        <v>170</v>
      </c>
      <c r="C61" s="3232">
        <v>21330</v>
      </c>
      <c r="D61" s="3232">
        <v>18640</v>
      </c>
      <c r="E61" s="3232">
        <v>21190</v>
      </c>
      <c r="F61" s="3232">
        <v>4180</v>
      </c>
      <c r="G61" s="3232">
        <v>12650</v>
      </c>
      <c r="N61" s="3232" t="s">
        <v>3067</v>
      </c>
    </row>
    <row r="62" spans="1:17" ht="14.25" customHeight="1">
      <c r="A62" s="3232" t="s">
        <v>110</v>
      </c>
      <c r="B62" s="3232" t="s">
        <v>177</v>
      </c>
      <c r="C62" s="3232">
        <v>18710</v>
      </c>
      <c r="D62" s="3232">
        <v>19400</v>
      </c>
      <c r="E62" s="3232">
        <v>23750</v>
      </c>
      <c r="F62" s="3232">
        <v>4860</v>
      </c>
      <c r="G62" s="3232">
        <v>13170</v>
      </c>
      <c r="N62" s="3232" t="s">
        <v>3068</v>
      </c>
    </row>
    <row r="63" spans="1:17" ht="14.25" customHeight="1">
      <c r="A63" s="3232" t="s">
        <v>110</v>
      </c>
      <c r="B63" s="3232" t="s">
        <v>187</v>
      </c>
      <c r="C63" s="3232">
        <v>19480</v>
      </c>
      <c r="D63" s="3232">
        <v>16830</v>
      </c>
      <c r="E63" s="3232">
        <v>21590</v>
      </c>
      <c r="F63" s="3232">
        <v>4560</v>
      </c>
      <c r="G63" s="3232">
        <v>11420</v>
      </c>
      <c r="N63" s="3232" t="s">
        <v>3069</v>
      </c>
    </row>
    <row r="64" spans="1:17" ht="14.25" customHeight="1" thickBot="1">
      <c r="A64" s="3232" t="s">
        <v>110</v>
      </c>
      <c r="B64" s="3232" t="s">
        <v>196</v>
      </c>
      <c r="C64" s="3232">
        <v>16920</v>
      </c>
      <c r="D64" s="3232">
        <v>19190</v>
      </c>
      <c r="E64" s="3232">
        <v>22200</v>
      </c>
      <c r="F64" s="3232">
        <v>4390</v>
      </c>
      <c r="G64" s="3232">
        <v>13030</v>
      </c>
      <c r="N64" s="3239" t="s">
        <v>3070</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2941</v>
      </c>
      <c r="C78" s="3232">
        <v>19820</v>
      </c>
      <c r="D78" s="3232">
        <v>19780</v>
      </c>
      <c r="E78" s="3232">
        <v>18560</v>
      </c>
      <c r="F78" s="3232"/>
      <c r="G78" s="3232">
        <v>13430</v>
      </c>
    </row>
    <row r="79" spans="1:7" s="3221" customFormat="1" ht="14.25" customHeight="1">
      <c r="A79" s="3232" t="s">
        <v>110</v>
      </c>
      <c r="B79" s="3232" t="s">
        <v>2944</v>
      </c>
      <c r="C79" s="3232">
        <v>21660</v>
      </c>
      <c r="D79" s="3232">
        <v>18000</v>
      </c>
      <c r="E79" s="3232">
        <v>22570</v>
      </c>
      <c r="F79" s="3232"/>
      <c r="G79" s="3232">
        <v>12220</v>
      </c>
    </row>
    <row r="80" spans="1:7" s="3221" customFormat="1" ht="14.25" customHeight="1">
      <c r="A80" s="3232" t="s">
        <v>110</v>
      </c>
      <c r="B80" s="3232" t="s">
        <v>2948</v>
      </c>
      <c r="C80" s="3232">
        <v>19850</v>
      </c>
      <c r="D80" s="3232"/>
      <c r="E80" s="3232">
        <v>21700</v>
      </c>
      <c r="F80" s="3232"/>
      <c r="G80" s="3232"/>
    </row>
    <row r="81" spans="1:7" s="3221" customFormat="1" ht="14.25" customHeight="1">
      <c r="A81" s="3232" t="s">
        <v>110</v>
      </c>
      <c r="B81" s="3232" t="s">
        <v>2953</v>
      </c>
      <c r="C81" s="3232">
        <v>18080</v>
      </c>
      <c r="D81" s="3232"/>
      <c r="E81" s="3232">
        <v>20900</v>
      </c>
      <c r="F81" s="3232"/>
      <c r="G81" s="3232"/>
    </row>
    <row r="82" spans="1:7" s="3221" customFormat="1" ht="14.25" customHeight="1">
      <c r="A82" s="3232" t="s">
        <v>110</v>
      </c>
      <c r="B82" s="3232" t="s">
        <v>2960</v>
      </c>
      <c r="C82" s="3232"/>
      <c r="D82" s="3232"/>
      <c r="E82" s="3232">
        <v>20840</v>
      </c>
      <c r="F82" s="3232"/>
      <c r="G82" s="3232"/>
    </row>
    <row r="83" spans="1:7" s="3221" customFormat="1" ht="14.25" customHeight="1">
      <c r="A83" s="3232" t="s">
        <v>110</v>
      </c>
      <c r="B83" s="3232" t="s">
        <v>3071</v>
      </c>
      <c r="C83" s="3232"/>
      <c r="D83" s="3232"/>
      <c r="E83" s="3232"/>
      <c r="F83" s="3232">
        <v>4770</v>
      </c>
      <c r="G83" s="3232"/>
    </row>
    <row r="84" spans="1:7" s="3221" customFormat="1" ht="14.25" customHeight="1">
      <c r="A84" s="3232" t="s">
        <v>110</v>
      </c>
      <c r="B84" s="3232" t="s">
        <v>3072</v>
      </c>
      <c r="C84" s="3232"/>
      <c r="D84" s="3232"/>
      <c r="E84" s="3232"/>
      <c r="F84" s="3232">
        <v>4600</v>
      </c>
      <c r="G84" s="3232"/>
    </row>
    <row r="85" spans="1:7" s="3221" customFormat="1" ht="14.25" customHeight="1">
      <c r="A85" s="3232" t="s">
        <v>110</v>
      </c>
      <c r="B85" s="3232" t="s">
        <v>3073</v>
      </c>
      <c r="C85" s="3232"/>
      <c r="D85" s="3232"/>
      <c r="E85" s="3232"/>
      <c r="F85" s="3232">
        <v>4680</v>
      </c>
      <c r="G85" s="3232"/>
    </row>
    <row r="86" spans="1:7" s="3221" customFormat="1" ht="14.25" customHeight="1" thickBot="1">
      <c r="A86" s="3240" t="s">
        <v>110</v>
      </c>
      <c r="B86" s="3242" t="s">
        <v>3074</v>
      </c>
      <c r="C86" s="3243">
        <v>16610</v>
      </c>
      <c r="D86" s="3243">
        <v>16540</v>
      </c>
      <c r="E86" s="3243">
        <v>18850</v>
      </c>
      <c r="F86" s="3243"/>
      <c r="G86" s="3243">
        <v>11220</v>
      </c>
    </row>
    <row r="87" spans="1:7" s="3221" customFormat="1" ht="14.25" customHeight="1">
      <c r="A87" s="3237" t="s">
        <v>303</v>
      </c>
      <c r="B87" s="3228" t="s">
        <v>3075</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2954</v>
      </c>
      <c r="C113" s="3232">
        <v>15520</v>
      </c>
      <c r="D113" s="3232">
        <v>15450</v>
      </c>
      <c r="E113" s="3232"/>
      <c r="F113" s="3232"/>
      <c r="G113" s="3245">
        <v>10210</v>
      </c>
    </row>
    <row r="114" spans="1:7" s="3221" customFormat="1" ht="14.25" customHeight="1">
      <c r="A114" s="3232" t="s">
        <v>303</v>
      </c>
      <c r="B114" s="3232" t="s">
        <v>2961</v>
      </c>
      <c r="C114" s="3232">
        <v>13110</v>
      </c>
      <c r="D114" s="3232">
        <v>13050</v>
      </c>
      <c r="E114" s="3232"/>
      <c r="F114" s="3232"/>
      <c r="G114" s="3245">
        <v>8620</v>
      </c>
    </row>
    <row r="115" spans="1:7" s="3221" customFormat="1" ht="14.25" customHeight="1">
      <c r="A115" s="3232" t="s">
        <v>303</v>
      </c>
      <c r="B115" s="3232" t="s">
        <v>2967</v>
      </c>
      <c r="C115" s="3232">
        <v>12460</v>
      </c>
      <c r="D115" s="3232">
        <v>12390</v>
      </c>
      <c r="E115" s="3232"/>
      <c r="F115" s="3232"/>
      <c r="G115" s="3245">
        <v>8190</v>
      </c>
    </row>
    <row r="116" spans="1:7" s="3221" customFormat="1" ht="14.25" customHeight="1">
      <c r="A116" s="3232" t="s">
        <v>303</v>
      </c>
      <c r="B116" s="3232" t="s">
        <v>2974</v>
      </c>
      <c r="C116" s="3232">
        <v>13580</v>
      </c>
      <c r="D116" s="3232">
        <v>13520</v>
      </c>
      <c r="E116" s="3232"/>
      <c r="F116" s="3232"/>
      <c r="G116" s="3245">
        <v>8930</v>
      </c>
    </row>
    <row r="117" spans="1:7" s="3221" customFormat="1" ht="14.25" customHeight="1">
      <c r="A117" s="3232" t="s">
        <v>303</v>
      </c>
      <c r="B117" s="3232" t="s">
        <v>2981</v>
      </c>
      <c r="C117" s="3232">
        <v>17120</v>
      </c>
      <c r="D117" s="3232">
        <v>17040</v>
      </c>
      <c r="E117" s="3232"/>
      <c r="F117" s="3232"/>
      <c r="G117" s="3245">
        <v>11260</v>
      </c>
    </row>
    <row r="118" spans="1:7" s="3221" customFormat="1" ht="14.25" customHeight="1">
      <c r="A118" s="3232" t="s">
        <v>303</v>
      </c>
      <c r="B118" s="3232" t="s">
        <v>2986</v>
      </c>
      <c r="C118" s="3232">
        <v>14860</v>
      </c>
      <c r="D118" s="3232">
        <v>14790</v>
      </c>
      <c r="E118" s="3232"/>
      <c r="F118" s="3232"/>
      <c r="G118" s="3245">
        <v>9780</v>
      </c>
    </row>
    <row r="119" spans="1:7" s="3221" customFormat="1" ht="14.25" customHeight="1">
      <c r="A119" s="3232" t="s">
        <v>303</v>
      </c>
      <c r="B119" s="3232" t="s">
        <v>2990</v>
      </c>
      <c r="C119" s="3232">
        <v>16470</v>
      </c>
      <c r="D119" s="3232">
        <v>16400</v>
      </c>
      <c r="E119" s="3232"/>
      <c r="F119" s="3232"/>
      <c r="G119" s="3245">
        <v>10840</v>
      </c>
    </row>
    <row r="120" spans="1:7" s="3221" customFormat="1" ht="14.25" customHeight="1">
      <c r="A120" s="3232" t="s">
        <v>303</v>
      </c>
      <c r="B120" s="3232" t="s">
        <v>3076</v>
      </c>
      <c r="C120" s="3232"/>
      <c r="D120" s="3232"/>
      <c r="E120" s="3232"/>
      <c r="F120" s="3232">
        <v>4160</v>
      </c>
      <c r="G120" s="3245"/>
    </row>
    <row r="121" spans="1:7" s="3221" customFormat="1" ht="14.25" customHeight="1">
      <c r="A121" s="3232" t="s">
        <v>303</v>
      </c>
      <c r="B121" s="3232" t="s">
        <v>3077</v>
      </c>
      <c r="C121" s="3232"/>
      <c r="D121" s="3232"/>
      <c r="E121" s="3232"/>
      <c r="F121" s="3232">
        <v>3880</v>
      </c>
      <c r="G121" s="3245"/>
    </row>
    <row r="122" spans="1:7" s="3221" customFormat="1" ht="14.25" customHeight="1">
      <c r="A122" s="3232" t="s">
        <v>303</v>
      </c>
      <c r="B122" s="3232" t="s">
        <v>3078</v>
      </c>
      <c r="C122" s="3232">
        <v>13750</v>
      </c>
      <c r="D122" s="3232">
        <v>13680</v>
      </c>
      <c r="E122" s="3232">
        <v>16460</v>
      </c>
      <c r="F122" s="3232">
        <v>2880</v>
      </c>
      <c r="G122" s="3245">
        <v>9040</v>
      </c>
    </row>
    <row r="123" spans="1:7" s="3221" customFormat="1" ht="14.25" customHeight="1">
      <c r="A123" s="3232" t="s">
        <v>303</v>
      </c>
      <c r="B123" s="3232" t="s">
        <v>3009</v>
      </c>
      <c r="C123" s="3232">
        <v>13590</v>
      </c>
      <c r="D123" s="3232">
        <v>13520</v>
      </c>
      <c r="E123" s="3232">
        <v>16290</v>
      </c>
      <c r="F123" s="3232">
        <v>2790</v>
      </c>
      <c r="G123" s="3245">
        <v>8930</v>
      </c>
    </row>
    <row r="124" spans="1:7" s="3221" customFormat="1" ht="14.25" customHeight="1">
      <c r="A124" s="3232" t="s">
        <v>303</v>
      </c>
      <c r="B124" s="3232" t="s">
        <v>3014</v>
      </c>
      <c r="C124" s="3232">
        <v>13400</v>
      </c>
      <c r="D124" s="3232">
        <v>13320</v>
      </c>
      <c r="E124" s="3232">
        <v>16100</v>
      </c>
      <c r="F124" s="3232">
        <v>2320</v>
      </c>
      <c r="G124" s="3245">
        <v>8800</v>
      </c>
    </row>
    <row r="125" spans="1:7" s="3221" customFormat="1" ht="14.25" customHeight="1">
      <c r="A125" s="3232" t="s">
        <v>303</v>
      </c>
      <c r="B125" s="3232" t="s">
        <v>3019</v>
      </c>
      <c r="C125" s="3232">
        <v>12860</v>
      </c>
      <c r="D125" s="3232">
        <v>12790</v>
      </c>
      <c r="E125" s="3232">
        <v>15370</v>
      </c>
      <c r="F125" s="3232">
        <v>2280</v>
      </c>
      <c r="G125" s="3245">
        <v>8450</v>
      </c>
    </row>
    <row r="126" spans="1:7" s="3221" customFormat="1" ht="14.25" customHeight="1" thickBot="1">
      <c r="A126" s="3246" t="s">
        <v>303</v>
      </c>
      <c r="B126" s="3239" t="s">
        <v>3024</v>
      </c>
      <c r="C126" s="3239">
        <v>12960</v>
      </c>
      <c r="D126" s="3239">
        <v>12890</v>
      </c>
      <c r="E126" s="3239">
        <v>15530</v>
      </c>
      <c r="F126" s="3239">
        <v>2910</v>
      </c>
      <c r="G126" s="3247">
        <v>8520</v>
      </c>
    </row>
    <row r="127" spans="1:7" s="3221" customFormat="1" ht="14.25" customHeight="1">
      <c r="A127" s="3237" t="s">
        <v>29</v>
      </c>
      <c r="B127" s="3228" t="s">
        <v>3079</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3080</v>
      </c>
      <c r="C148" s="3232">
        <v>10370</v>
      </c>
      <c r="D148" s="3232">
        <v>10310</v>
      </c>
      <c r="E148" s="3232">
        <v>12970</v>
      </c>
      <c r="F148" s="3232"/>
      <c r="G148" s="3232">
        <v>6630</v>
      </c>
    </row>
    <row r="149" spans="1:7" s="3221" customFormat="1" ht="14.25" customHeight="1">
      <c r="A149" s="3232" t="s">
        <v>29</v>
      </c>
      <c r="B149" s="3232" t="s">
        <v>3081</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2955</v>
      </c>
      <c r="C153" s="3232">
        <v>10880</v>
      </c>
      <c r="D153" s="3232">
        <v>10820</v>
      </c>
      <c r="E153" s="3232">
        <v>13660</v>
      </c>
      <c r="F153" s="3232">
        <v>2260</v>
      </c>
      <c r="G153" s="3232">
        <v>6970</v>
      </c>
    </row>
    <row r="154" spans="1:7" s="3221" customFormat="1" ht="14.25" customHeight="1">
      <c r="A154" s="3232" t="s">
        <v>29</v>
      </c>
      <c r="B154" s="3232" t="s">
        <v>3082</v>
      </c>
      <c r="C154" s="3232">
        <v>11220</v>
      </c>
      <c r="D154" s="3232">
        <v>11160</v>
      </c>
      <c r="E154" s="3232">
        <v>14130</v>
      </c>
      <c r="F154" s="3232">
        <v>2230</v>
      </c>
      <c r="G154" s="3232">
        <v>7180</v>
      </c>
    </row>
    <row r="155" spans="1:7" s="3221" customFormat="1" ht="14.25" customHeight="1">
      <c r="A155" s="3232" t="s">
        <v>29</v>
      </c>
      <c r="B155" s="3232" t="s">
        <v>2968</v>
      </c>
      <c r="C155" s="3232">
        <v>10430</v>
      </c>
      <c r="D155" s="3232">
        <v>10380</v>
      </c>
      <c r="E155" s="3232">
        <v>13140</v>
      </c>
      <c r="F155" s="3232">
        <v>2080</v>
      </c>
      <c r="G155" s="3232">
        <v>6650</v>
      </c>
    </row>
    <row r="156" spans="1:7" s="3221" customFormat="1" ht="14.25" customHeight="1">
      <c r="A156" s="3232" t="s">
        <v>29</v>
      </c>
      <c r="B156" s="3232" t="s">
        <v>3083</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3084</v>
      </c>
      <c r="C160" s="3232">
        <v>11180</v>
      </c>
      <c r="D160" s="3232">
        <v>11140</v>
      </c>
      <c r="E160" s="3232">
        <v>14050</v>
      </c>
      <c r="F160" s="3232">
        <v>2270</v>
      </c>
      <c r="G160" s="3232">
        <v>7170</v>
      </c>
    </row>
    <row r="161" spans="1:7" s="3221" customFormat="1" ht="14.25" customHeight="1">
      <c r="A161" s="3232" t="s">
        <v>29</v>
      </c>
      <c r="B161" s="3232" t="s">
        <v>3000</v>
      </c>
      <c r="C161" s="3232">
        <v>11160</v>
      </c>
      <c r="D161" s="3232">
        <v>11120</v>
      </c>
      <c r="E161" s="3232">
        <v>14020</v>
      </c>
      <c r="F161" s="3232">
        <v>2150</v>
      </c>
      <c r="G161" s="3232">
        <v>7160</v>
      </c>
    </row>
    <row r="162" spans="1:7" s="3221" customFormat="1" ht="14.25" customHeight="1">
      <c r="A162" s="3232" t="s">
        <v>29</v>
      </c>
      <c r="B162" s="3232" t="s">
        <v>3005</v>
      </c>
      <c r="C162" s="3232">
        <v>9620</v>
      </c>
      <c r="D162" s="3232">
        <v>9570</v>
      </c>
      <c r="E162" s="3232">
        <v>12320</v>
      </c>
      <c r="F162" s="3232">
        <v>2010</v>
      </c>
      <c r="G162" s="3232">
        <v>6160</v>
      </c>
    </row>
    <row r="163" spans="1:7" s="3221" customFormat="1" ht="14.25" customHeight="1">
      <c r="A163" s="3232" t="s">
        <v>29</v>
      </c>
      <c r="B163" s="3232" t="s">
        <v>3010</v>
      </c>
      <c r="C163" s="3232">
        <v>9320</v>
      </c>
      <c r="D163" s="3232">
        <v>9270</v>
      </c>
      <c r="E163" s="3232">
        <v>11790</v>
      </c>
      <c r="F163" s="3232">
        <v>1920</v>
      </c>
      <c r="G163" s="3232">
        <v>5960</v>
      </c>
    </row>
    <row r="164" spans="1:7" s="3221" customFormat="1" ht="14.25" customHeight="1">
      <c r="A164" s="3232" t="s">
        <v>29</v>
      </c>
      <c r="B164" s="3232" t="s">
        <v>3015</v>
      </c>
      <c r="C164" s="3232"/>
      <c r="D164" s="3232"/>
      <c r="E164" s="3232"/>
      <c r="F164" s="3232">
        <v>1980</v>
      </c>
      <c r="G164" s="3232"/>
    </row>
    <row r="165" spans="1:7" s="3221" customFormat="1" ht="14.25" customHeight="1">
      <c r="A165" s="3232" t="s">
        <v>29</v>
      </c>
      <c r="B165" s="3232" t="s">
        <v>3085</v>
      </c>
      <c r="C165" s="3232">
        <v>11060</v>
      </c>
      <c r="D165" s="3232">
        <v>11030</v>
      </c>
      <c r="E165" s="3232">
        <v>13850</v>
      </c>
      <c r="F165" s="3232">
        <v>2170</v>
      </c>
      <c r="G165" s="3232">
        <v>7090</v>
      </c>
    </row>
    <row r="166" spans="1:7" s="3221" customFormat="1" ht="14.25" customHeight="1">
      <c r="A166" s="3232" t="s">
        <v>29</v>
      </c>
      <c r="B166" s="3232" t="s">
        <v>3025</v>
      </c>
      <c r="C166" s="3232">
        <v>11050</v>
      </c>
      <c r="D166" s="3232">
        <v>11010</v>
      </c>
      <c r="E166" s="3232">
        <v>13920</v>
      </c>
      <c r="F166" s="3232">
        <v>2140</v>
      </c>
      <c r="G166" s="3232">
        <v>7080</v>
      </c>
    </row>
    <row r="167" spans="1:7" s="3221" customFormat="1" ht="14.25" customHeight="1">
      <c r="A167" s="3232" t="s">
        <v>29</v>
      </c>
      <c r="B167" s="3232" t="s">
        <v>3029</v>
      </c>
      <c r="C167" s="3232">
        <v>10930</v>
      </c>
      <c r="D167" s="3232">
        <v>10890</v>
      </c>
      <c r="E167" s="3232">
        <v>13790</v>
      </c>
      <c r="F167" s="3232">
        <v>2010</v>
      </c>
      <c r="G167" s="3232">
        <v>7000</v>
      </c>
    </row>
    <row r="168" spans="1:7" s="3221" customFormat="1" ht="14.25" customHeight="1">
      <c r="A168" s="3232" t="s">
        <v>29</v>
      </c>
      <c r="B168" s="3232" t="s">
        <v>3034</v>
      </c>
      <c r="C168" s="3232">
        <v>9420</v>
      </c>
      <c r="D168" s="3232">
        <v>9380</v>
      </c>
      <c r="E168" s="3232">
        <v>11970</v>
      </c>
      <c r="F168" s="3232"/>
      <c r="G168" s="3232">
        <v>6040</v>
      </c>
    </row>
    <row r="169" spans="1:7" s="3221" customFormat="1" ht="14.25" customHeight="1">
      <c r="A169" s="3232" t="s">
        <v>29</v>
      </c>
      <c r="B169" s="3232" t="s">
        <v>3086</v>
      </c>
      <c r="C169" s="3232"/>
      <c r="D169" s="3232"/>
      <c r="E169" s="3232"/>
      <c r="F169" s="3232">
        <v>2880</v>
      </c>
      <c r="G169" s="3232"/>
    </row>
    <row r="170" spans="1:7" s="3221" customFormat="1" ht="14.25" customHeight="1">
      <c r="A170" s="3232" t="s">
        <v>29</v>
      </c>
      <c r="B170" s="3232" t="s">
        <v>3042</v>
      </c>
      <c r="C170" s="3232"/>
      <c r="D170" s="3232"/>
      <c r="E170" s="3232"/>
      <c r="F170" s="3232">
        <v>2880</v>
      </c>
      <c r="G170" s="3232"/>
    </row>
    <row r="171" spans="1:7" s="3221" customFormat="1" ht="14.25" customHeight="1">
      <c r="A171" s="3232" t="s">
        <v>29</v>
      </c>
      <c r="B171" s="3232" t="s">
        <v>3045</v>
      </c>
      <c r="C171" s="3232"/>
      <c r="D171" s="3232"/>
      <c r="E171" s="3232"/>
      <c r="F171" s="3232">
        <v>2880</v>
      </c>
      <c r="G171" s="3232"/>
    </row>
    <row r="172" spans="1:7" s="3221" customFormat="1" ht="14.25" customHeight="1">
      <c r="A172" s="3232" t="s">
        <v>29</v>
      </c>
      <c r="B172" s="3232" t="s">
        <v>3047</v>
      </c>
      <c r="C172" s="3232"/>
      <c r="D172" s="3232"/>
      <c r="E172" s="3232"/>
      <c r="F172" s="3232">
        <v>2880</v>
      </c>
      <c r="G172" s="3232"/>
    </row>
    <row r="173" spans="1:7" s="3221" customFormat="1" ht="14.25" customHeight="1">
      <c r="A173" s="3232" t="s">
        <v>29</v>
      </c>
      <c r="B173" s="3232" t="s">
        <v>3049</v>
      </c>
      <c r="C173" s="3232"/>
      <c r="D173" s="3232"/>
      <c r="E173" s="3232"/>
      <c r="F173" s="3232">
        <v>2150</v>
      </c>
      <c r="G173" s="3232"/>
    </row>
    <row r="174" spans="1:7" s="3221" customFormat="1" ht="14.25" customHeight="1">
      <c r="A174" s="3232" t="s">
        <v>29</v>
      </c>
      <c r="B174" s="3232" t="s">
        <v>3051</v>
      </c>
      <c r="C174" s="3232"/>
      <c r="D174" s="3232"/>
      <c r="E174" s="3232"/>
      <c r="F174" s="3232">
        <v>2030</v>
      </c>
      <c r="G174" s="3232"/>
    </row>
    <row r="175" spans="1:7" s="3221" customFormat="1" ht="14.25" customHeight="1">
      <c r="A175" s="3232" t="s">
        <v>29</v>
      </c>
      <c r="B175" s="3232" t="s">
        <v>3053</v>
      </c>
      <c r="C175" s="3232"/>
      <c r="D175" s="3232"/>
      <c r="E175" s="3232"/>
      <c r="F175" s="3232">
        <v>2780</v>
      </c>
      <c r="G175" s="3232"/>
    </row>
    <row r="176" spans="1:7" s="3221" customFormat="1" ht="14.25" customHeight="1">
      <c r="A176" s="3232" t="s">
        <v>29</v>
      </c>
      <c r="B176" s="3232" t="s">
        <v>3055</v>
      </c>
      <c r="C176" s="3232"/>
      <c r="D176" s="3232"/>
      <c r="E176" s="3232"/>
      <c r="F176" s="3232">
        <v>2780</v>
      </c>
      <c r="G176" s="3232"/>
    </row>
    <row r="177" spans="1:7" s="3221" customFormat="1" ht="14.25" customHeight="1">
      <c r="A177" s="3232" t="s">
        <v>29</v>
      </c>
      <c r="B177" s="3232" t="s">
        <v>3087</v>
      </c>
      <c r="C177" s="3232"/>
      <c r="D177" s="3232"/>
      <c r="E177" s="3232"/>
      <c r="F177" s="3232">
        <v>2780</v>
      </c>
      <c r="G177" s="3232"/>
    </row>
    <row r="178" spans="1:7" s="3221" customFormat="1" ht="14.25" customHeight="1">
      <c r="A178" s="3232" t="s">
        <v>29</v>
      </c>
      <c r="B178" s="3232" t="s">
        <v>3088</v>
      </c>
      <c r="C178" s="3232"/>
      <c r="D178" s="3232"/>
      <c r="E178" s="3232"/>
      <c r="F178" s="3232">
        <v>2060</v>
      </c>
      <c r="G178" s="3232"/>
    </row>
    <row r="179" spans="1:7" s="3221" customFormat="1" ht="14.25" customHeight="1">
      <c r="A179" s="3232" t="s">
        <v>29</v>
      </c>
      <c r="B179" s="3232" t="s">
        <v>3089</v>
      </c>
      <c r="C179" s="3232"/>
      <c r="D179" s="3232"/>
      <c r="E179" s="3232"/>
      <c r="F179" s="3232">
        <v>2120</v>
      </c>
      <c r="G179" s="3232"/>
    </row>
    <row r="180" spans="1:7" s="3221" customFormat="1" ht="14.25" customHeight="1">
      <c r="A180" s="3232" t="s">
        <v>29</v>
      </c>
      <c r="B180" s="3232" t="s">
        <v>3061</v>
      </c>
      <c r="C180" s="3232"/>
      <c r="D180" s="3232"/>
      <c r="E180" s="3232"/>
      <c r="F180" s="3232">
        <v>2340</v>
      </c>
      <c r="G180" s="3232"/>
    </row>
    <row r="181" spans="1:7" s="3221" customFormat="1" ht="14.25" customHeight="1">
      <c r="A181" s="3232" t="s">
        <v>29</v>
      </c>
      <c r="B181" s="3232" t="s">
        <v>3062</v>
      </c>
      <c r="C181" s="3232"/>
      <c r="D181" s="3232"/>
      <c r="E181" s="3232"/>
      <c r="F181" s="3232">
        <v>2340</v>
      </c>
      <c r="G181" s="3232"/>
    </row>
    <row r="182" spans="1:7" s="3221" customFormat="1" ht="14.25" customHeight="1">
      <c r="A182" s="3232" t="s">
        <v>29</v>
      </c>
      <c r="B182" s="3232" t="s">
        <v>3063</v>
      </c>
      <c r="C182" s="3232"/>
      <c r="D182" s="3232"/>
      <c r="E182" s="3232"/>
      <c r="F182" s="3232">
        <v>2340</v>
      </c>
      <c r="G182" s="3232"/>
    </row>
    <row r="183" spans="1:7" s="3221" customFormat="1" ht="14.25" customHeight="1">
      <c r="A183" s="3232" t="s">
        <v>29</v>
      </c>
      <c r="B183" s="3232" t="s">
        <v>3064</v>
      </c>
      <c r="C183" s="3232"/>
      <c r="D183" s="3232"/>
      <c r="E183" s="3232"/>
      <c r="F183" s="3232">
        <v>2340</v>
      </c>
      <c r="G183" s="3232"/>
    </row>
    <row r="184" spans="1:7" s="3221" customFormat="1" ht="14.25" customHeight="1">
      <c r="A184" s="3232" t="s">
        <v>29</v>
      </c>
      <c r="B184" s="3232" t="s">
        <v>3065</v>
      </c>
      <c r="C184" s="3232"/>
      <c r="D184" s="3232"/>
      <c r="E184" s="3232"/>
      <c r="F184" s="3232">
        <v>2340</v>
      </c>
      <c r="G184" s="3232"/>
    </row>
    <row r="185" spans="1:7" s="3221" customFormat="1" ht="14.25" customHeight="1">
      <c r="A185" s="3232" t="s">
        <v>29</v>
      </c>
      <c r="B185" s="3232" t="s">
        <v>3066</v>
      </c>
      <c r="C185" s="3232"/>
      <c r="D185" s="3232"/>
      <c r="E185" s="3232"/>
      <c r="F185" s="3232">
        <v>2530</v>
      </c>
      <c r="G185" s="3232"/>
    </row>
    <row r="186" spans="1:7" s="3221" customFormat="1" ht="14.25" customHeight="1">
      <c r="A186" s="3232" t="s">
        <v>29</v>
      </c>
      <c r="B186" s="3232" t="s">
        <v>3067</v>
      </c>
      <c r="C186" s="3232"/>
      <c r="D186" s="3232"/>
      <c r="E186" s="3232"/>
      <c r="F186" s="3232">
        <v>2550</v>
      </c>
      <c r="G186" s="3232"/>
    </row>
    <row r="187" spans="1:7" s="3221" customFormat="1" ht="14.25" customHeight="1">
      <c r="A187" s="3232" t="s">
        <v>29</v>
      </c>
      <c r="B187" s="3232" t="s">
        <v>3068</v>
      </c>
      <c r="C187" s="3232"/>
      <c r="D187" s="3232"/>
      <c r="E187" s="3232"/>
      <c r="F187" s="3232">
        <v>2070</v>
      </c>
      <c r="G187" s="3232"/>
    </row>
    <row r="188" spans="1:7" s="3221" customFormat="1" ht="14.25" customHeight="1">
      <c r="A188" s="3232" t="s">
        <v>29</v>
      </c>
      <c r="B188" s="3232" t="s">
        <v>3069</v>
      </c>
      <c r="C188" s="3232"/>
      <c r="D188" s="3232"/>
      <c r="E188" s="3232"/>
      <c r="F188" s="3232">
        <v>2340</v>
      </c>
      <c r="G188" s="3232"/>
    </row>
    <row r="189" spans="1:7" s="3221" customFormat="1" ht="14.25" customHeight="1" thickBot="1">
      <c r="A189" s="3240" t="s">
        <v>29</v>
      </c>
      <c r="B189" s="3243" t="s">
        <v>3070</v>
      </c>
      <c r="C189" s="3243"/>
      <c r="D189" s="3243"/>
      <c r="E189" s="3243"/>
      <c r="F189" s="3243">
        <v>2050</v>
      </c>
      <c r="G189" s="3243"/>
    </row>
    <row r="190" spans="1:7" s="3221" customFormat="1" ht="14.25" customHeight="1">
      <c r="A190" s="3237" t="s">
        <v>304</v>
      </c>
      <c r="B190" s="3228" t="s">
        <v>3090</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3091</v>
      </c>
      <c r="C199" s="3232">
        <v>8690</v>
      </c>
      <c r="D199" s="3232">
        <v>8630</v>
      </c>
      <c r="E199" s="3232">
        <v>11350</v>
      </c>
      <c r="F199" s="3232">
        <v>1600</v>
      </c>
      <c r="G199" s="3245">
        <v>5450</v>
      </c>
    </row>
    <row r="200" spans="1:7" s="3221" customFormat="1" ht="14.25" customHeight="1">
      <c r="A200" s="3232" t="s">
        <v>304</v>
      </c>
      <c r="B200" s="3232" t="s">
        <v>2902</v>
      </c>
      <c r="C200" s="3232"/>
      <c r="D200" s="3232"/>
      <c r="E200" s="3232"/>
      <c r="F200" s="3232">
        <v>1510</v>
      </c>
      <c r="G200" s="3245"/>
    </row>
    <row r="201" spans="1:7" s="3221" customFormat="1" ht="14.25" customHeight="1">
      <c r="A201" s="3232" t="s">
        <v>304</v>
      </c>
      <c r="B201" s="3232" t="s">
        <v>3092</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3093</v>
      </c>
      <c r="C203" s="3232">
        <v>8130</v>
      </c>
      <c r="D203" s="3232">
        <v>8070</v>
      </c>
      <c r="E203" s="3232">
        <v>10820</v>
      </c>
      <c r="F203" s="3232">
        <v>1690</v>
      </c>
      <c r="G203" s="3245">
        <v>5100</v>
      </c>
    </row>
    <row r="204" spans="1:7" s="3221" customFormat="1" ht="14.25" customHeight="1">
      <c r="A204" s="3232" t="s">
        <v>304</v>
      </c>
      <c r="B204" s="3232" t="s">
        <v>2913</v>
      </c>
      <c r="C204" s="3232">
        <v>8350</v>
      </c>
      <c r="D204" s="3232">
        <v>8290</v>
      </c>
      <c r="E204" s="3232">
        <v>11080</v>
      </c>
      <c r="F204" s="3232">
        <v>1450</v>
      </c>
      <c r="G204" s="3245">
        <v>5240</v>
      </c>
    </row>
    <row r="205" spans="1:7" s="3221" customFormat="1" ht="14.25" customHeight="1">
      <c r="A205" s="3232" t="s">
        <v>304</v>
      </c>
      <c r="B205" s="3232" t="s">
        <v>2915</v>
      </c>
      <c r="C205" s="3232">
        <v>7190</v>
      </c>
      <c r="D205" s="3232">
        <v>7130</v>
      </c>
      <c r="E205" s="3232">
        <v>9490</v>
      </c>
      <c r="F205" s="3232">
        <v>1470</v>
      </c>
      <c r="G205" s="3245">
        <v>4510</v>
      </c>
    </row>
    <row r="206" spans="1:7" s="3221" customFormat="1" ht="14.25" customHeight="1">
      <c r="A206" s="3232" t="s">
        <v>304</v>
      </c>
      <c r="B206" s="3232" t="s">
        <v>2918</v>
      </c>
      <c r="C206" s="3232">
        <v>7000</v>
      </c>
      <c r="D206" s="3232">
        <v>6950</v>
      </c>
      <c r="E206" s="3232">
        <v>9170</v>
      </c>
      <c r="F206" s="3232">
        <v>1400</v>
      </c>
      <c r="G206" s="3245">
        <v>4380</v>
      </c>
    </row>
    <row r="207" spans="1:7" s="3221" customFormat="1" ht="14.25" customHeight="1">
      <c r="A207" s="3232" t="s">
        <v>304</v>
      </c>
      <c r="B207" s="3232" t="s">
        <v>2920</v>
      </c>
      <c r="C207" s="3232">
        <v>6950</v>
      </c>
      <c r="D207" s="3232">
        <v>6900</v>
      </c>
      <c r="E207" s="3232">
        <v>9110</v>
      </c>
      <c r="F207" s="3232">
        <v>1790</v>
      </c>
      <c r="G207" s="3245">
        <v>4360</v>
      </c>
    </row>
    <row r="208" spans="1:7" s="3221" customFormat="1" ht="14.25" customHeight="1">
      <c r="A208" s="3232" t="s">
        <v>304</v>
      </c>
      <c r="B208" s="3232" t="s">
        <v>3094</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2930</v>
      </c>
      <c r="C210" s="3232">
        <v>8710</v>
      </c>
      <c r="D210" s="3232">
        <v>8660</v>
      </c>
      <c r="E210" s="3232">
        <v>11440</v>
      </c>
      <c r="F210" s="3232">
        <v>1740</v>
      </c>
      <c r="G210" s="3245">
        <v>5470</v>
      </c>
    </row>
    <row r="211" spans="1:7" s="3221" customFormat="1" ht="14.25" customHeight="1">
      <c r="A211" s="3232" t="s">
        <v>304</v>
      </c>
      <c r="B211" s="3232" t="s">
        <v>3095</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3096</v>
      </c>
      <c r="C214" s="3232">
        <v>8090</v>
      </c>
      <c r="D214" s="3232">
        <v>8030</v>
      </c>
      <c r="E214" s="3232">
        <v>10780</v>
      </c>
      <c r="F214" s="3232">
        <v>1570</v>
      </c>
      <c r="G214" s="3245">
        <v>5070</v>
      </c>
    </row>
    <row r="215" spans="1:7" s="3221" customFormat="1" ht="14.25" customHeight="1">
      <c r="A215" s="3232" t="s">
        <v>304</v>
      </c>
      <c r="B215" s="3232" t="s">
        <v>3097</v>
      </c>
      <c r="C215" s="3232">
        <v>7950</v>
      </c>
      <c r="D215" s="3232">
        <v>7900</v>
      </c>
      <c r="E215" s="3232">
        <v>10560</v>
      </c>
      <c r="F215" s="3232">
        <v>1630</v>
      </c>
      <c r="G215" s="3245">
        <v>4990</v>
      </c>
    </row>
    <row r="216" spans="1:7" s="3221" customFormat="1" ht="14.25" customHeight="1">
      <c r="A216" s="3232" t="s">
        <v>304</v>
      </c>
      <c r="B216" s="3232" t="s">
        <v>3098</v>
      </c>
      <c r="C216" s="3232">
        <v>8490</v>
      </c>
      <c r="D216" s="3232">
        <v>8440</v>
      </c>
      <c r="E216" s="3232">
        <v>11260</v>
      </c>
      <c r="F216" s="3232">
        <v>1690</v>
      </c>
      <c r="G216" s="3245">
        <v>5330</v>
      </c>
    </row>
    <row r="217" spans="1:7" s="3221" customFormat="1" ht="14.25" customHeight="1">
      <c r="A217" s="3232" t="s">
        <v>304</v>
      </c>
      <c r="B217" s="3232" t="s">
        <v>2963</v>
      </c>
      <c r="C217" s="3232">
        <v>8200</v>
      </c>
      <c r="D217" s="3232">
        <v>8150</v>
      </c>
      <c r="E217" s="3232">
        <v>10910</v>
      </c>
      <c r="F217" s="3232">
        <v>1670</v>
      </c>
      <c r="G217" s="3245">
        <v>5150</v>
      </c>
    </row>
    <row r="218" spans="1:7" s="3221" customFormat="1" ht="14.25" customHeight="1">
      <c r="A218" s="3232" t="s">
        <v>304</v>
      </c>
      <c r="B218" s="3232" t="s">
        <v>3099</v>
      </c>
      <c r="C218" s="3232"/>
      <c r="D218" s="3232"/>
      <c r="E218" s="3232"/>
      <c r="F218" s="3232">
        <v>2040</v>
      </c>
      <c r="G218" s="3245"/>
    </row>
    <row r="219" spans="1:7" s="3221" customFormat="1" ht="14.25" customHeight="1">
      <c r="A219" s="3232" t="s">
        <v>304</v>
      </c>
      <c r="B219" s="3232" t="s">
        <v>3100</v>
      </c>
      <c r="C219" s="3232"/>
      <c r="D219" s="3232"/>
      <c r="E219" s="3232"/>
      <c r="F219" s="3232">
        <v>2040</v>
      </c>
      <c r="G219" s="3245"/>
    </row>
    <row r="220" spans="1:7" s="3221" customFormat="1" ht="14.25" customHeight="1">
      <c r="A220" s="3232" t="s">
        <v>304</v>
      </c>
      <c r="B220" s="3232" t="s">
        <v>3101</v>
      </c>
      <c r="C220" s="3232"/>
      <c r="D220" s="3232"/>
      <c r="E220" s="3232"/>
      <c r="F220" s="3232">
        <v>2040</v>
      </c>
      <c r="G220" s="3245"/>
    </row>
    <row r="221" spans="1:7" s="3221" customFormat="1" ht="14.25" customHeight="1">
      <c r="A221" s="3232" t="s">
        <v>304</v>
      </c>
      <c r="B221" s="3232" t="s">
        <v>3102</v>
      </c>
      <c r="C221" s="3232"/>
      <c r="D221" s="3232"/>
      <c r="E221" s="3232"/>
      <c r="F221" s="3232">
        <v>2040</v>
      </c>
      <c r="G221" s="3245"/>
    </row>
    <row r="222" spans="1:7" s="3221" customFormat="1" ht="14.25" customHeight="1">
      <c r="A222" s="3232" t="s">
        <v>304</v>
      </c>
      <c r="B222" s="3232" t="s">
        <v>3103</v>
      </c>
      <c r="C222" s="3232"/>
      <c r="D222" s="3232"/>
      <c r="E222" s="3232"/>
      <c r="F222" s="3232">
        <v>2040</v>
      </c>
      <c r="G222" s="3245"/>
    </row>
    <row r="223" spans="1:7" s="3221" customFormat="1" ht="14.25" customHeight="1">
      <c r="A223" s="3232" t="s">
        <v>304</v>
      </c>
      <c r="B223" s="3232" t="s">
        <v>3104</v>
      </c>
      <c r="C223" s="3232"/>
      <c r="D223" s="3232"/>
      <c r="E223" s="3232"/>
      <c r="F223" s="3232">
        <v>1930</v>
      </c>
      <c r="G223" s="3245"/>
    </row>
    <row r="224" spans="1:7" s="3221" customFormat="1" ht="14.25" customHeight="1">
      <c r="A224" s="3232" t="s">
        <v>304</v>
      </c>
      <c r="B224" s="3232" t="s">
        <v>3105</v>
      </c>
      <c r="C224" s="3232"/>
      <c r="D224" s="3232"/>
      <c r="E224" s="3232"/>
      <c r="F224" s="3232">
        <v>1930</v>
      </c>
      <c r="G224" s="3245"/>
    </row>
    <row r="225" spans="1:7" s="3221" customFormat="1" ht="14.25" customHeight="1">
      <c r="A225" s="3232" t="s">
        <v>304</v>
      </c>
      <c r="B225" s="3232" t="s">
        <v>3106</v>
      </c>
      <c r="C225" s="3232"/>
      <c r="D225" s="3232"/>
      <c r="E225" s="3232"/>
      <c r="F225" s="3232">
        <v>1930</v>
      </c>
      <c r="G225" s="3245"/>
    </row>
    <row r="226" spans="1:7" s="3221" customFormat="1" ht="14.25" customHeight="1">
      <c r="A226" s="3232" t="s">
        <v>304</v>
      </c>
      <c r="B226" s="3232" t="s">
        <v>3107</v>
      </c>
      <c r="C226" s="3232"/>
      <c r="D226" s="3232"/>
      <c r="E226" s="3232"/>
      <c r="F226" s="3232">
        <v>1700</v>
      </c>
      <c r="G226" s="3245"/>
    </row>
    <row r="227" spans="1:7" s="3221" customFormat="1" ht="14.25" customHeight="1">
      <c r="A227" s="3232" t="s">
        <v>304</v>
      </c>
      <c r="B227" s="3232" t="s">
        <v>3108</v>
      </c>
      <c r="C227" s="3232"/>
      <c r="D227" s="3232"/>
      <c r="E227" s="3232"/>
      <c r="F227" s="3232">
        <v>1520</v>
      </c>
      <c r="G227" s="3245"/>
    </row>
    <row r="228" spans="1:7" s="3221" customFormat="1" ht="14.25" customHeight="1">
      <c r="A228" s="3232" t="s">
        <v>304</v>
      </c>
      <c r="B228" s="3232" t="s">
        <v>3109</v>
      </c>
      <c r="C228" s="3232"/>
      <c r="D228" s="3232"/>
      <c r="E228" s="3232"/>
      <c r="F228" s="3232">
        <v>1520</v>
      </c>
      <c r="G228" s="3245"/>
    </row>
    <row r="229" spans="1:7" s="3221" customFormat="1" ht="14.25" customHeight="1">
      <c r="A229" s="3232" t="s">
        <v>304</v>
      </c>
      <c r="B229" s="3232" t="s">
        <v>3026</v>
      </c>
      <c r="C229" s="3232"/>
      <c r="D229" s="3232"/>
      <c r="E229" s="3232"/>
      <c r="F229" s="3232">
        <v>1520</v>
      </c>
      <c r="G229" s="3245"/>
    </row>
    <row r="230" spans="1:7" s="3221" customFormat="1" ht="14.25" customHeight="1">
      <c r="A230" s="3232" t="s">
        <v>304</v>
      </c>
      <c r="B230" s="3232" t="s">
        <v>3110</v>
      </c>
      <c r="C230" s="3232"/>
      <c r="D230" s="3232"/>
      <c r="E230" s="3232"/>
      <c r="F230" s="3232">
        <v>1820</v>
      </c>
      <c r="G230" s="3245"/>
    </row>
    <row r="231" spans="1:7" s="3221" customFormat="1" ht="14.25" customHeight="1">
      <c r="A231" s="3232" t="s">
        <v>304</v>
      </c>
      <c r="B231" s="3232" t="s">
        <v>3111</v>
      </c>
      <c r="C231" s="3232"/>
      <c r="D231" s="3232"/>
      <c r="E231" s="3232"/>
      <c r="F231" s="3232">
        <v>1760</v>
      </c>
      <c r="G231" s="3245"/>
    </row>
    <row r="232" spans="1:7" s="3221" customFormat="1" ht="14.25" customHeight="1">
      <c r="A232" s="3232" t="s">
        <v>304</v>
      </c>
      <c r="B232" s="3232" t="s">
        <v>3112</v>
      </c>
      <c r="C232" s="3232"/>
      <c r="D232" s="3232"/>
      <c r="E232" s="3232"/>
      <c r="F232" s="3232">
        <v>1840</v>
      </c>
      <c r="G232" s="3245"/>
    </row>
    <row r="233" spans="1:7" s="3221" customFormat="1" ht="14.25" customHeight="1" thickBot="1">
      <c r="A233" s="3246" t="s">
        <v>304</v>
      </c>
      <c r="B233" s="3239" t="s">
        <v>3043</v>
      </c>
      <c r="C233" s="3239"/>
      <c r="D233" s="3239"/>
      <c r="E233" s="3239"/>
      <c r="F233" s="3239">
        <v>1770</v>
      </c>
      <c r="G233" s="3247"/>
    </row>
    <row r="234" spans="1:7" s="3221" customFormat="1" ht="14.25" customHeight="1">
      <c r="A234" s="3237" t="s">
        <v>305</v>
      </c>
      <c r="B234" s="3228" t="s">
        <v>3113</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2884</v>
      </c>
      <c r="C238" s="3232">
        <v>6920</v>
      </c>
      <c r="D238" s="3232">
        <v>6890</v>
      </c>
      <c r="E238" s="3232">
        <v>8640</v>
      </c>
      <c r="F238" s="3232">
        <v>1310</v>
      </c>
      <c r="G238" s="3232">
        <v>4230</v>
      </c>
    </row>
    <row r="239" spans="1:7" s="3221" customFormat="1" ht="14.25" customHeight="1">
      <c r="A239" s="3232" t="s">
        <v>305</v>
      </c>
      <c r="B239" s="3232" t="s">
        <v>3114</v>
      </c>
      <c r="C239" s="3232">
        <v>6780</v>
      </c>
      <c r="D239" s="3232">
        <v>6750</v>
      </c>
      <c r="E239" s="3232">
        <v>8440</v>
      </c>
      <c r="F239" s="3232">
        <v>1160</v>
      </c>
      <c r="G239" s="3232">
        <v>4140</v>
      </c>
    </row>
    <row r="240" spans="1:7" s="3221" customFormat="1" ht="14.25" customHeight="1">
      <c r="A240" s="3232" t="s">
        <v>305</v>
      </c>
      <c r="B240" s="3232" t="s">
        <v>3115</v>
      </c>
      <c r="C240" s="3232">
        <v>5420</v>
      </c>
      <c r="D240" s="3232">
        <v>5380</v>
      </c>
      <c r="E240" s="3232">
        <v>6640</v>
      </c>
      <c r="F240" s="3232">
        <v>1020</v>
      </c>
      <c r="G240" s="3232">
        <v>3300</v>
      </c>
    </row>
    <row r="241" spans="1:7" s="3221" customFormat="1" ht="14.25" customHeight="1">
      <c r="A241" s="3232" t="s">
        <v>305</v>
      </c>
      <c r="B241" s="3232" t="s">
        <v>3116</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3117</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3118</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3119</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3120</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3121</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2946</v>
      </c>
      <c r="C258" s="3232">
        <v>6190</v>
      </c>
      <c r="D258" s="3232">
        <v>6160</v>
      </c>
      <c r="E258" s="3232">
        <v>7680</v>
      </c>
      <c r="F258" s="3232">
        <v>1170</v>
      </c>
      <c r="G258" s="3232">
        <v>3780</v>
      </c>
    </row>
    <row r="259" spans="1:7" s="3221" customFormat="1" ht="14.25" customHeight="1">
      <c r="A259" s="3232" t="s">
        <v>305</v>
      </c>
      <c r="B259" s="3232" t="s">
        <v>3122</v>
      </c>
      <c r="C259" s="3232">
        <v>7610</v>
      </c>
      <c r="D259" s="3232">
        <v>7570</v>
      </c>
      <c r="E259" s="3232">
        <v>9350</v>
      </c>
      <c r="F259" s="3232">
        <v>1350</v>
      </c>
      <c r="G259" s="3232">
        <v>4650</v>
      </c>
    </row>
    <row r="260" spans="1:7" s="3221" customFormat="1" ht="14.25" customHeight="1">
      <c r="A260" s="3232" t="s">
        <v>305</v>
      </c>
      <c r="B260" s="3232" t="s">
        <v>3123</v>
      </c>
      <c r="C260" s="3232">
        <v>6920</v>
      </c>
      <c r="D260" s="3232">
        <v>6880</v>
      </c>
      <c r="E260" s="3232">
        <v>8380</v>
      </c>
      <c r="F260" s="3232">
        <v>1160</v>
      </c>
      <c r="G260" s="3232">
        <v>4220</v>
      </c>
    </row>
    <row r="261" spans="1:7" s="3221" customFormat="1" ht="14.25" customHeight="1">
      <c r="A261" s="3232" t="s">
        <v>305</v>
      </c>
      <c r="B261" s="3232" t="s">
        <v>3124</v>
      </c>
      <c r="C261" s="3232">
        <v>6850</v>
      </c>
      <c r="D261" s="3232">
        <v>6810</v>
      </c>
      <c r="E261" s="3232">
        <v>8290</v>
      </c>
      <c r="F261" s="3232">
        <v>1130</v>
      </c>
      <c r="G261" s="3232">
        <v>4180</v>
      </c>
    </row>
    <row r="262" spans="1:7" s="3221" customFormat="1" ht="14.25" customHeight="1">
      <c r="A262" s="3232" t="s">
        <v>305</v>
      </c>
      <c r="B262" s="3232" t="s">
        <v>3125</v>
      </c>
      <c r="C262" s="3232">
        <v>5860</v>
      </c>
      <c r="D262" s="3232">
        <v>5820</v>
      </c>
      <c r="E262" s="3232">
        <v>7640</v>
      </c>
      <c r="F262" s="3232">
        <v>1070</v>
      </c>
      <c r="G262" s="3232">
        <v>3570</v>
      </c>
    </row>
    <row r="263" spans="1:7" s="3221" customFormat="1" ht="14.25" customHeight="1">
      <c r="A263" s="3232" t="s">
        <v>305</v>
      </c>
      <c r="B263" s="3232" t="s">
        <v>3126</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3127</v>
      </c>
      <c r="C265" s="3232"/>
      <c r="D265" s="3232"/>
      <c r="E265" s="3232"/>
      <c r="F265" s="3232">
        <v>1500</v>
      </c>
      <c r="G265" s="3232"/>
    </row>
    <row r="266" spans="1:7" s="3221" customFormat="1" ht="14.25" customHeight="1">
      <c r="A266" s="3232" t="s">
        <v>305</v>
      </c>
      <c r="B266" s="3232" t="s">
        <v>3128</v>
      </c>
      <c r="C266" s="3232"/>
      <c r="D266" s="3232"/>
      <c r="E266" s="3232"/>
      <c r="F266" s="3232">
        <v>1500</v>
      </c>
      <c r="G266" s="3232"/>
    </row>
    <row r="267" spans="1:7" s="3221" customFormat="1" ht="14.25" customHeight="1">
      <c r="A267" s="3232" t="s">
        <v>305</v>
      </c>
      <c r="B267" s="3232" t="s">
        <v>3129</v>
      </c>
      <c r="C267" s="3232"/>
      <c r="D267" s="3232"/>
      <c r="E267" s="3232"/>
      <c r="F267" s="3232">
        <v>1500</v>
      </c>
      <c r="G267" s="3232"/>
    </row>
    <row r="268" spans="1:7" s="3221" customFormat="1" ht="14.25" customHeight="1">
      <c r="A268" s="3232" t="s">
        <v>305</v>
      </c>
      <c r="B268" s="3232" t="s">
        <v>3130</v>
      </c>
      <c r="C268" s="3232"/>
      <c r="D268" s="3232"/>
      <c r="E268" s="3232"/>
      <c r="F268" s="3232">
        <v>1290</v>
      </c>
      <c r="G268" s="3232"/>
    </row>
    <row r="269" spans="1:7" s="3221" customFormat="1" ht="14.25" customHeight="1">
      <c r="A269" s="3232" t="s">
        <v>305</v>
      </c>
      <c r="B269" s="3232" t="s">
        <v>3131</v>
      </c>
      <c r="C269" s="3232"/>
      <c r="D269" s="3232"/>
      <c r="E269" s="3232"/>
      <c r="F269" s="3232">
        <v>1150</v>
      </c>
      <c r="G269" s="3232"/>
    </row>
    <row r="270" spans="1:7" s="3221" customFormat="1" ht="14.25" customHeight="1">
      <c r="A270" s="3232" t="s">
        <v>305</v>
      </c>
      <c r="B270" s="3232" t="s">
        <v>3132</v>
      </c>
      <c r="C270" s="3232"/>
      <c r="D270" s="3232"/>
      <c r="E270" s="3232"/>
      <c r="F270" s="3232">
        <v>1380</v>
      </c>
      <c r="G270" s="3232"/>
    </row>
    <row r="271" spans="1:7" s="3221" customFormat="1" ht="14.25" customHeight="1">
      <c r="A271" s="3232" t="s">
        <v>305</v>
      </c>
      <c r="B271" s="3232" t="s">
        <v>3133</v>
      </c>
      <c r="C271" s="3232"/>
      <c r="D271" s="3232"/>
      <c r="E271" s="3232"/>
      <c r="F271" s="3232">
        <v>1460</v>
      </c>
      <c r="G271" s="3232"/>
    </row>
    <row r="272" spans="1:7" s="3221" customFormat="1" ht="14.25" customHeight="1">
      <c r="A272" s="3232" t="s">
        <v>305</v>
      </c>
      <c r="B272" s="3232" t="s">
        <v>3134</v>
      </c>
      <c r="C272" s="3232"/>
      <c r="D272" s="3232"/>
      <c r="E272" s="3232"/>
      <c r="F272" s="3232">
        <v>1460</v>
      </c>
      <c r="G272" s="3232"/>
    </row>
    <row r="273" spans="1:7" s="3221" customFormat="1" ht="14.25" customHeight="1">
      <c r="A273" s="3232" t="s">
        <v>305</v>
      </c>
      <c r="B273" s="3232" t="s">
        <v>3027</v>
      </c>
      <c r="C273" s="3232"/>
      <c r="D273" s="3232"/>
      <c r="E273" s="3232"/>
      <c r="F273" s="3232">
        <v>1490</v>
      </c>
      <c r="G273" s="3232"/>
    </row>
    <row r="274" spans="1:7" s="3221" customFormat="1" ht="14.25" customHeight="1">
      <c r="A274" s="3232" t="s">
        <v>305</v>
      </c>
      <c r="B274" s="3232" t="s">
        <v>3135</v>
      </c>
      <c r="C274" s="3232"/>
      <c r="D274" s="3232"/>
      <c r="E274" s="3232"/>
      <c r="F274" s="3232">
        <v>1490</v>
      </c>
      <c r="G274" s="3232"/>
    </row>
    <row r="275" spans="1:7" s="3221" customFormat="1" ht="14.25" customHeight="1">
      <c r="A275" s="3232" t="s">
        <v>305</v>
      </c>
      <c r="B275" s="3232" t="s">
        <v>3136</v>
      </c>
      <c r="C275" s="3232"/>
      <c r="D275" s="3232"/>
      <c r="E275" s="3232"/>
      <c r="F275" s="3232">
        <v>1220</v>
      </c>
      <c r="G275" s="3232"/>
    </row>
    <row r="276" spans="1:7" s="3221" customFormat="1" ht="14.25" customHeight="1" thickBot="1">
      <c r="A276" s="3240" t="s">
        <v>305</v>
      </c>
      <c r="B276" s="3242" t="s">
        <v>3137</v>
      </c>
      <c r="C276" s="3243"/>
      <c r="D276" s="3243"/>
      <c r="E276" s="3243"/>
      <c r="F276" s="3243">
        <v>1380</v>
      </c>
      <c r="G276" s="3243"/>
    </row>
    <row r="277" spans="1:7" s="3221" customFormat="1" ht="14.25" customHeight="1">
      <c r="A277" s="3237" t="s">
        <v>306</v>
      </c>
      <c r="B277" s="3228" t="s">
        <v>3138</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3139</v>
      </c>
      <c r="C279" s="3232">
        <v>4760</v>
      </c>
      <c r="D279" s="3232">
        <v>4720</v>
      </c>
      <c r="E279" s="3232">
        <v>5540</v>
      </c>
      <c r="F279" s="3232">
        <v>810</v>
      </c>
      <c r="G279" s="3245">
        <v>2850</v>
      </c>
    </row>
    <row r="280" spans="1:7" s="3221" customFormat="1" ht="14.25" customHeight="1">
      <c r="A280" s="3232" t="s">
        <v>306</v>
      </c>
      <c r="B280" s="3232" t="s">
        <v>3140</v>
      </c>
      <c r="C280" s="3232">
        <v>4010</v>
      </c>
      <c r="D280" s="3232">
        <v>3950</v>
      </c>
      <c r="E280" s="3232">
        <v>4710</v>
      </c>
      <c r="F280" s="3232">
        <v>800</v>
      </c>
      <c r="G280" s="3245">
        <v>2390</v>
      </c>
    </row>
    <row r="281" spans="1:7" s="3221" customFormat="1" ht="14.25" customHeight="1">
      <c r="A281" s="3232" t="s">
        <v>306</v>
      </c>
      <c r="B281" s="3232" t="s">
        <v>3141</v>
      </c>
      <c r="C281" s="3232">
        <v>4480</v>
      </c>
      <c r="D281" s="3232">
        <v>4420</v>
      </c>
      <c r="E281" s="3232">
        <v>5230</v>
      </c>
      <c r="F281" s="3232">
        <v>870</v>
      </c>
      <c r="G281" s="3245">
        <v>2660</v>
      </c>
    </row>
    <row r="282" spans="1:7" s="3221" customFormat="1" ht="14.25" customHeight="1">
      <c r="A282" s="3232" t="s">
        <v>306</v>
      </c>
      <c r="B282" s="3232" t="s">
        <v>3142</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3143</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3144</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2919</v>
      </c>
      <c r="C293" s="3232">
        <v>5320</v>
      </c>
      <c r="D293" s="3232">
        <v>5270</v>
      </c>
      <c r="E293" s="3232">
        <v>6160</v>
      </c>
      <c r="F293" s="3232">
        <v>990</v>
      </c>
      <c r="G293" s="3245">
        <v>3170</v>
      </c>
    </row>
    <row r="294" spans="1:7" s="3221" customFormat="1" ht="14.25" customHeight="1">
      <c r="A294" s="3232" t="s">
        <v>306</v>
      </c>
      <c r="B294" s="3232" t="s">
        <v>3145</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2938</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3146</v>
      </c>
      <c r="C302" s="3232">
        <v>5520</v>
      </c>
      <c r="D302" s="3232">
        <v>5470</v>
      </c>
      <c r="E302" s="3232">
        <v>6410</v>
      </c>
      <c r="F302" s="3232">
        <v>950</v>
      </c>
      <c r="G302" s="3245">
        <v>3300</v>
      </c>
    </row>
    <row r="303" spans="1:7" s="3221" customFormat="1" ht="14.25" customHeight="1">
      <c r="A303" s="3232" t="s">
        <v>306</v>
      </c>
      <c r="B303" s="3232" t="s">
        <v>2958</v>
      </c>
      <c r="C303" s="3232">
        <v>5630</v>
      </c>
      <c r="D303" s="3232">
        <v>5590</v>
      </c>
      <c r="E303" s="3232">
        <v>6550</v>
      </c>
      <c r="F303" s="3232">
        <v>1010</v>
      </c>
      <c r="G303" s="3245">
        <v>3370</v>
      </c>
    </row>
    <row r="304" spans="1:7" s="3221" customFormat="1" ht="14.25" customHeight="1">
      <c r="A304" s="3232" t="s">
        <v>306</v>
      </c>
      <c r="B304" s="3232" t="s">
        <v>2965</v>
      </c>
      <c r="C304" s="3232">
        <v>5680</v>
      </c>
      <c r="D304" s="3232">
        <v>5620</v>
      </c>
      <c r="E304" s="3232">
        <v>6620</v>
      </c>
      <c r="F304" s="3232">
        <v>1050</v>
      </c>
      <c r="G304" s="3245">
        <v>3390</v>
      </c>
    </row>
    <row r="305" spans="1:7" s="3221" customFormat="1" ht="14.25" customHeight="1">
      <c r="A305" s="3232" t="s">
        <v>306</v>
      </c>
      <c r="B305" s="3232" t="s">
        <v>2971</v>
      </c>
      <c r="C305" s="3232">
        <v>5590</v>
      </c>
      <c r="D305" s="3232">
        <v>5530</v>
      </c>
      <c r="E305" s="3232">
        <v>6460</v>
      </c>
      <c r="F305" s="3232">
        <v>900</v>
      </c>
      <c r="G305" s="3245">
        <v>3340</v>
      </c>
    </row>
    <row r="306" spans="1:7" s="3221" customFormat="1" ht="14.25" customHeight="1">
      <c r="A306" s="3232" t="s">
        <v>306</v>
      </c>
      <c r="B306" s="3232" t="s">
        <v>3147</v>
      </c>
      <c r="C306" s="3232">
        <v>5560</v>
      </c>
      <c r="D306" s="3232">
        <v>5510</v>
      </c>
      <c r="E306" s="3232">
        <v>6440</v>
      </c>
      <c r="F306" s="3232">
        <v>900</v>
      </c>
      <c r="G306" s="3245">
        <v>3320</v>
      </c>
    </row>
    <row r="307" spans="1:7" s="3221" customFormat="1" ht="14.25" customHeight="1">
      <c r="A307" s="3232" t="s">
        <v>306</v>
      </c>
      <c r="B307" s="3232" t="s">
        <v>2983</v>
      </c>
      <c r="C307" s="3232">
        <v>5650</v>
      </c>
      <c r="D307" s="3232">
        <v>5600</v>
      </c>
      <c r="E307" s="3232">
        <v>6590</v>
      </c>
      <c r="F307" s="3232">
        <v>930</v>
      </c>
      <c r="G307" s="3245">
        <v>3380</v>
      </c>
    </row>
    <row r="308" spans="1:7" s="3221" customFormat="1" ht="14.25" customHeight="1">
      <c r="A308" s="3232" t="s">
        <v>306</v>
      </c>
      <c r="B308" s="3232" t="s">
        <v>3148</v>
      </c>
      <c r="C308" s="3232">
        <v>5620</v>
      </c>
      <c r="D308" s="3232">
        <v>5580</v>
      </c>
      <c r="E308" s="3232">
        <v>6540</v>
      </c>
      <c r="F308" s="3232">
        <v>910</v>
      </c>
      <c r="G308" s="3245">
        <v>3370</v>
      </c>
    </row>
    <row r="309" spans="1:7" s="3221" customFormat="1" ht="14.25" customHeight="1">
      <c r="A309" s="3232" t="s">
        <v>306</v>
      </c>
      <c r="B309" s="3232" t="s">
        <v>3149</v>
      </c>
      <c r="C309" s="3232">
        <v>5060</v>
      </c>
      <c r="D309" s="3232">
        <v>5020</v>
      </c>
      <c r="E309" s="3232">
        <v>6370</v>
      </c>
      <c r="F309" s="3232">
        <v>800</v>
      </c>
      <c r="G309" s="3245">
        <v>3020</v>
      </c>
    </row>
    <row r="310" spans="1:7" s="3221" customFormat="1" ht="14.25" customHeight="1">
      <c r="A310" s="3232" t="s">
        <v>306</v>
      </c>
      <c r="B310" s="3232" t="s">
        <v>2998</v>
      </c>
      <c r="C310" s="3232">
        <v>5150</v>
      </c>
      <c r="D310" s="3232">
        <v>5110</v>
      </c>
      <c r="E310" s="3232">
        <v>6500</v>
      </c>
      <c r="F310" s="3232">
        <v>880</v>
      </c>
      <c r="G310" s="3245">
        <v>3080</v>
      </c>
    </row>
    <row r="311" spans="1:7" s="3221" customFormat="1" ht="14.25" customHeight="1">
      <c r="A311" s="3232" t="s">
        <v>306</v>
      </c>
      <c r="B311" s="3232" t="s">
        <v>3150</v>
      </c>
      <c r="C311" s="3232">
        <v>4750</v>
      </c>
      <c r="D311" s="3232">
        <v>4710</v>
      </c>
      <c r="E311" s="3232">
        <v>5510</v>
      </c>
      <c r="F311" s="3232">
        <v>880</v>
      </c>
      <c r="G311" s="3245">
        <v>2840</v>
      </c>
    </row>
    <row r="312" spans="1:7" s="3221" customFormat="1" ht="14.25" customHeight="1">
      <c r="A312" s="3232" t="s">
        <v>306</v>
      </c>
      <c r="B312" s="3232" t="s">
        <v>3008</v>
      </c>
      <c r="C312" s="3232">
        <v>4690</v>
      </c>
      <c r="D312" s="3232">
        <v>4640</v>
      </c>
      <c r="E312" s="3232">
        <v>5420</v>
      </c>
      <c r="F312" s="3232">
        <v>800</v>
      </c>
      <c r="G312" s="3245">
        <v>2800</v>
      </c>
    </row>
    <row r="313" spans="1:7" s="3221" customFormat="1" ht="14.25" customHeight="1">
      <c r="A313" s="3232" t="s">
        <v>306</v>
      </c>
      <c r="B313" s="3232" t="s">
        <v>3013</v>
      </c>
      <c r="C313" s="3232">
        <v>4810</v>
      </c>
      <c r="D313" s="3232">
        <v>4760</v>
      </c>
      <c r="E313" s="3232">
        <v>5550</v>
      </c>
      <c r="F313" s="3232">
        <v>920</v>
      </c>
      <c r="G313" s="3245">
        <v>2870</v>
      </c>
    </row>
    <row r="314" spans="1:7" s="3221" customFormat="1" ht="14.25" customHeight="1">
      <c r="A314" s="3232" t="s">
        <v>306</v>
      </c>
      <c r="B314" s="3232" t="s">
        <v>3151</v>
      </c>
      <c r="C314" s="3232"/>
      <c r="D314" s="3232"/>
      <c r="E314" s="3232"/>
      <c r="F314" s="3232">
        <v>1020</v>
      </c>
      <c r="G314" s="3245"/>
    </row>
    <row r="315" spans="1:7" s="3221" customFormat="1" ht="14.25" customHeight="1">
      <c r="A315" s="3232" t="s">
        <v>306</v>
      </c>
      <c r="B315" s="3232" t="s">
        <v>3152</v>
      </c>
      <c r="C315" s="3232"/>
      <c r="D315" s="3232"/>
      <c r="E315" s="3232"/>
      <c r="F315" s="3232">
        <v>1050</v>
      </c>
      <c r="G315" s="3245"/>
    </row>
    <row r="316" spans="1:7" s="3221" customFormat="1" ht="14.25" customHeight="1">
      <c r="A316" s="3232" t="s">
        <v>306</v>
      </c>
      <c r="B316" s="3232" t="s">
        <v>3028</v>
      </c>
      <c r="C316" s="3232"/>
      <c r="D316" s="3232"/>
      <c r="E316" s="3232"/>
      <c r="F316" s="3232">
        <v>900</v>
      </c>
      <c r="G316" s="3245"/>
    </row>
    <row r="317" spans="1:7" s="3221" customFormat="1" ht="14.25" customHeight="1">
      <c r="A317" s="3232" t="s">
        <v>306</v>
      </c>
      <c r="B317" s="3232" t="s">
        <v>3153</v>
      </c>
      <c r="C317" s="3232"/>
      <c r="D317" s="3232"/>
      <c r="E317" s="3232"/>
      <c r="F317" s="3232">
        <v>920</v>
      </c>
      <c r="G317" s="3245"/>
    </row>
    <row r="318" spans="1:7" s="3221" customFormat="1" ht="14.25" customHeight="1">
      <c r="A318" s="3232" t="s">
        <v>306</v>
      </c>
      <c r="B318" s="3232" t="s">
        <v>3154</v>
      </c>
      <c r="C318" s="3232"/>
      <c r="D318" s="3232"/>
      <c r="E318" s="3232"/>
      <c r="F318" s="3232">
        <v>1080</v>
      </c>
      <c r="G318" s="3245"/>
    </row>
    <row r="319" spans="1:7" s="3221" customFormat="1" ht="14.25" customHeight="1">
      <c r="A319" s="3232" t="s">
        <v>306</v>
      </c>
      <c r="B319" s="3232" t="s">
        <v>3041</v>
      </c>
      <c r="C319" s="3232"/>
      <c r="D319" s="3232"/>
      <c r="E319" s="3232"/>
      <c r="F319" s="3232">
        <v>1020</v>
      </c>
      <c r="G319" s="3245"/>
    </row>
    <row r="320" spans="1:7" s="3221" customFormat="1" ht="14.25" customHeight="1">
      <c r="A320" s="3232" t="s">
        <v>306</v>
      </c>
      <c r="B320" s="3232" t="s">
        <v>3044</v>
      </c>
      <c r="C320" s="3232"/>
      <c r="D320" s="3232"/>
      <c r="E320" s="3232"/>
      <c r="F320" s="3232">
        <v>1050</v>
      </c>
      <c r="G320" s="3245"/>
    </row>
    <row r="321" spans="1:7" s="3221" customFormat="1" ht="14.25" customHeight="1">
      <c r="A321" s="3232" t="s">
        <v>306</v>
      </c>
      <c r="B321" s="3232" t="s">
        <v>3046</v>
      </c>
      <c r="C321" s="3232"/>
      <c r="D321" s="3232"/>
      <c r="E321" s="3232"/>
      <c r="F321" s="3232">
        <v>960</v>
      </c>
      <c r="G321" s="3245"/>
    </row>
    <row r="322" spans="1:7" s="3221" customFormat="1" ht="14.25" customHeight="1">
      <c r="A322" s="3232" t="s">
        <v>306</v>
      </c>
      <c r="B322" s="3232" t="s">
        <v>3048</v>
      </c>
      <c r="C322" s="3232"/>
      <c r="D322" s="3232"/>
      <c r="E322" s="3232"/>
      <c r="F322" s="3232">
        <v>960</v>
      </c>
      <c r="G322" s="3245"/>
    </row>
    <row r="323" spans="1:7" s="3221" customFormat="1" ht="14.25" customHeight="1">
      <c r="A323" s="3232" t="s">
        <v>306</v>
      </c>
      <c r="B323" s="3232" t="s">
        <v>3050</v>
      </c>
      <c r="C323" s="3232"/>
      <c r="D323" s="3232"/>
      <c r="E323" s="3232"/>
      <c r="F323" s="3232">
        <v>880</v>
      </c>
      <c r="G323" s="3245"/>
    </row>
    <row r="324" spans="1:7" s="3221" customFormat="1" ht="14.25" customHeight="1">
      <c r="A324" s="3232" t="s">
        <v>306</v>
      </c>
      <c r="B324" s="3232" t="s">
        <v>3052</v>
      </c>
      <c r="C324" s="3232"/>
      <c r="D324" s="3232"/>
      <c r="E324" s="3232"/>
      <c r="F324" s="3232">
        <v>930</v>
      </c>
      <c r="G324" s="3245"/>
    </row>
    <row r="325" spans="1:7" s="3221" customFormat="1" ht="14.25" customHeight="1">
      <c r="A325" s="3232" t="s">
        <v>306</v>
      </c>
      <c r="B325" s="3233" t="s">
        <v>3054</v>
      </c>
      <c r="C325" s="3232"/>
      <c r="D325" s="3232"/>
      <c r="E325" s="3232"/>
      <c r="F325" s="3232">
        <v>900</v>
      </c>
      <c r="G325" s="3245"/>
    </row>
    <row r="326" spans="1:7" s="3221" customFormat="1" ht="14.25" customHeight="1" thickBot="1">
      <c r="A326" s="3246" t="s">
        <v>306</v>
      </c>
      <c r="B326" s="3239" t="s">
        <v>3056</v>
      </c>
      <c r="C326" s="3239"/>
      <c r="D326" s="3239"/>
      <c r="E326" s="3239"/>
      <c r="F326" s="3239">
        <v>790</v>
      </c>
      <c r="G326" s="3247"/>
    </row>
    <row r="327" spans="1:7" s="3221" customFormat="1" ht="14.25" customHeight="1">
      <c r="A327" s="3237" t="s">
        <v>307</v>
      </c>
      <c r="B327" s="3228" t="s">
        <v>3155</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3156</v>
      </c>
      <c r="C329" s="3232">
        <v>2730</v>
      </c>
      <c r="D329" s="3232">
        <v>2690</v>
      </c>
      <c r="E329" s="3232">
        <v>3100</v>
      </c>
      <c r="F329" s="3232">
        <v>660</v>
      </c>
      <c r="G329" s="3232">
        <v>1610</v>
      </c>
    </row>
    <row r="330" spans="1:7" s="3221" customFormat="1" ht="14.25" customHeight="1">
      <c r="A330" s="3232" t="s">
        <v>307</v>
      </c>
      <c r="B330" s="3232" t="s">
        <v>3157</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2890</v>
      </c>
      <c r="C332" s="3232">
        <v>3520</v>
      </c>
      <c r="D332" s="3232">
        <v>3480</v>
      </c>
      <c r="E332" s="3232">
        <v>3830</v>
      </c>
      <c r="F332" s="3232">
        <v>720</v>
      </c>
      <c r="G332" s="3232">
        <v>2090</v>
      </c>
    </row>
    <row r="333" spans="1:7" s="3221" customFormat="1" ht="14.25" customHeight="1">
      <c r="A333" s="3232" t="s">
        <v>307</v>
      </c>
      <c r="B333" s="3232" t="s">
        <v>3158</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2900</v>
      </c>
      <c r="C336" s="3232">
        <v>3570</v>
      </c>
      <c r="D336" s="3232">
        <v>3530</v>
      </c>
      <c r="E336" s="3232">
        <v>3880</v>
      </c>
      <c r="F336" s="3232">
        <v>770</v>
      </c>
      <c r="G336" s="3232">
        <v>2110</v>
      </c>
    </row>
    <row r="337" spans="1:10" s="3221" customFormat="1" ht="14.25" customHeight="1">
      <c r="A337" s="3232" t="s">
        <v>307</v>
      </c>
      <c r="B337" s="3232" t="s">
        <v>3159</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3160</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3161</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2925</v>
      </c>
      <c r="C345" s="3232">
        <v>3190</v>
      </c>
      <c r="D345" s="3232">
        <v>3140</v>
      </c>
      <c r="E345" s="3232">
        <v>3450</v>
      </c>
      <c r="F345" s="3232">
        <v>720</v>
      </c>
      <c r="G345" s="3232">
        <v>1880</v>
      </c>
      <c r="J345" s="3221"/>
    </row>
    <row r="346" spans="1:10">
      <c r="A346" s="3232" t="s">
        <v>307</v>
      </c>
      <c r="B346" s="3232" t="s">
        <v>3162</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2934</v>
      </c>
      <c r="C348" s="3232">
        <v>4000</v>
      </c>
      <c r="D348" s="3232">
        <v>3950</v>
      </c>
      <c r="E348" s="3232">
        <v>4430</v>
      </c>
      <c r="F348" s="3232">
        <v>760</v>
      </c>
      <c r="G348" s="3232">
        <v>2360</v>
      </c>
      <c r="J348" s="3221"/>
    </row>
    <row r="349" spans="1:10">
      <c r="A349" s="3232" t="s">
        <v>307</v>
      </c>
      <c r="B349" s="3232" t="s">
        <v>2939</v>
      </c>
      <c r="C349" s="3232">
        <v>3820</v>
      </c>
      <c r="D349" s="3232">
        <v>3780</v>
      </c>
      <c r="E349" s="3232">
        <v>4170</v>
      </c>
      <c r="F349" s="3232">
        <v>710</v>
      </c>
      <c r="G349" s="3232">
        <v>2260</v>
      </c>
      <c r="J349" s="3221"/>
    </row>
    <row r="350" spans="1:10">
      <c r="A350" s="3232" t="s">
        <v>307</v>
      </c>
      <c r="B350" s="3232" t="s">
        <v>3163</v>
      </c>
      <c r="C350" s="3232">
        <v>3760</v>
      </c>
      <c r="D350" s="3232">
        <v>3730</v>
      </c>
      <c r="E350" s="3232">
        <v>4100</v>
      </c>
      <c r="F350" s="3232">
        <v>800</v>
      </c>
      <c r="G350" s="3232">
        <v>2230</v>
      </c>
      <c r="J350" s="3221"/>
    </row>
    <row r="351" spans="1:10">
      <c r="A351" s="3232" t="s">
        <v>307</v>
      </c>
      <c r="B351" s="3232" t="s">
        <v>2947</v>
      </c>
      <c r="C351" s="3232">
        <v>3610</v>
      </c>
      <c r="D351" s="3232">
        <v>3580</v>
      </c>
      <c r="E351" s="3232">
        <v>3930</v>
      </c>
      <c r="F351" s="3232">
        <v>700</v>
      </c>
      <c r="G351" s="3232">
        <v>2140</v>
      </c>
      <c r="J351" s="3221"/>
    </row>
    <row r="352" spans="1:10">
      <c r="A352" s="3232" t="s">
        <v>307</v>
      </c>
      <c r="B352" s="3232" t="s">
        <v>2952</v>
      </c>
      <c r="C352" s="3232">
        <v>3670</v>
      </c>
      <c r="D352" s="3232">
        <v>3630</v>
      </c>
      <c r="E352" s="3232">
        <v>4000</v>
      </c>
      <c r="F352" s="3232">
        <v>750</v>
      </c>
      <c r="G352" s="3232">
        <v>2180</v>
      </c>
    </row>
    <row r="353" spans="1:7" s="3225" customFormat="1">
      <c r="A353" s="3232" t="s">
        <v>307</v>
      </c>
      <c r="B353" s="3232" t="s">
        <v>3164</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2972</v>
      </c>
      <c r="C355" s="3232">
        <v>3650</v>
      </c>
      <c r="D355" s="3232">
        <v>3610</v>
      </c>
      <c r="E355" s="3232">
        <v>4200</v>
      </c>
      <c r="F355" s="3232">
        <v>640</v>
      </c>
      <c r="G355" s="3232">
        <v>2160</v>
      </c>
    </row>
    <row r="356" spans="1:7" s="3225" customFormat="1">
      <c r="A356" s="3232" t="s">
        <v>307</v>
      </c>
      <c r="B356" s="3232" t="s">
        <v>2979</v>
      </c>
      <c r="C356" s="3232">
        <v>3260</v>
      </c>
      <c r="D356" s="3232">
        <v>3230</v>
      </c>
      <c r="E356" s="3232">
        <v>3740</v>
      </c>
      <c r="F356" s="3232">
        <v>600</v>
      </c>
      <c r="G356" s="3232">
        <v>1930</v>
      </c>
    </row>
    <row r="357" spans="1:7" s="3225" customFormat="1" ht="12" thickBot="1">
      <c r="A357" s="3240" t="s">
        <v>307</v>
      </c>
      <c r="B357" s="3243" t="s">
        <v>3165</v>
      </c>
      <c r="C357" s="3243">
        <v>3690</v>
      </c>
      <c r="D357" s="3243">
        <v>3650</v>
      </c>
      <c r="E357" s="3243">
        <v>4020</v>
      </c>
      <c r="F357" s="3243">
        <v>700</v>
      </c>
      <c r="G357" s="3243">
        <v>2190</v>
      </c>
    </row>
    <row r="358" spans="1:7" s="3225" customFormat="1">
      <c r="A358" s="3237" t="s">
        <v>3166</v>
      </c>
      <c r="B358" s="3228" t="s">
        <v>3167</v>
      </c>
      <c r="C358" s="3228">
        <v>2080</v>
      </c>
      <c r="D358" s="3228">
        <v>2040</v>
      </c>
      <c r="E358" s="3228">
        <v>2010</v>
      </c>
      <c r="F358" s="3228">
        <v>530</v>
      </c>
      <c r="G358" s="3244">
        <v>1230</v>
      </c>
    </row>
    <row r="359" spans="1:7" s="3225" customFormat="1">
      <c r="A359" s="3232" t="s">
        <v>3166</v>
      </c>
      <c r="B359" s="3232" t="s">
        <v>3168</v>
      </c>
      <c r="C359" s="3232">
        <v>1850</v>
      </c>
      <c r="D359" s="3232">
        <v>1820</v>
      </c>
      <c r="E359" s="3232">
        <v>1780</v>
      </c>
      <c r="F359" s="3232">
        <v>520</v>
      </c>
      <c r="G359" s="3245">
        <v>1100</v>
      </c>
    </row>
    <row r="360" spans="1:7" s="3225" customFormat="1">
      <c r="A360" s="3232" t="s">
        <v>3166</v>
      </c>
      <c r="B360" s="3232" t="s">
        <v>3169</v>
      </c>
      <c r="C360" s="3232">
        <v>2020</v>
      </c>
      <c r="D360" s="3232">
        <v>1990</v>
      </c>
      <c r="E360" s="3232">
        <v>1950</v>
      </c>
      <c r="F360" s="3232">
        <v>500</v>
      </c>
      <c r="G360" s="3245">
        <v>1200</v>
      </c>
    </row>
    <row r="361" spans="1:7" s="3225" customFormat="1">
      <c r="A361" s="3232" t="s">
        <v>3166</v>
      </c>
      <c r="B361" s="3232" t="s">
        <v>153</v>
      </c>
      <c r="C361" s="3232">
        <v>2260</v>
      </c>
      <c r="D361" s="3232">
        <v>2220</v>
      </c>
      <c r="E361" s="3232">
        <v>2180</v>
      </c>
      <c r="F361" s="3232">
        <v>580</v>
      </c>
      <c r="G361" s="3245">
        <v>1340</v>
      </c>
    </row>
    <row r="362" spans="1:7" s="3225" customFormat="1">
      <c r="A362" s="3232" t="s">
        <v>3166</v>
      </c>
      <c r="B362" s="3232" t="s">
        <v>3170</v>
      </c>
      <c r="C362" s="3232">
        <v>2650</v>
      </c>
      <c r="D362" s="3232">
        <v>2610</v>
      </c>
      <c r="E362" s="3232">
        <v>2570</v>
      </c>
      <c r="F362" s="3232">
        <v>630</v>
      </c>
      <c r="G362" s="3245">
        <v>1570</v>
      </c>
    </row>
    <row r="363" spans="1:7" s="3225" customFormat="1">
      <c r="A363" s="3232" t="s">
        <v>3166</v>
      </c>
      <c r="B363" s="3232" t="s">
        <v>2891</v>
      </c>
      <c r="C363" s="3232">
        <v>2390</v>
      </c>
      <c r="D363" s="3232">
        <v>2360</v>
      </c>
      <c r="E363" s="3232">
        <v>2320</v>
      </c>
      <c r="F363" s="3232">
        <v>600</v>
      </c>
      <c r="G363" s="3245">
        <v>1420</v>
      </c>
    </row>
    <row r="364" spans="1:7" s="3225" customFormat="1">
      <c r="A364" s="3232" t="s">
        <v>3166</v>
      </c>
      <c r="B364" s="3232" t="s">
        <v>3171</v>
      </c>
      <c r="C364" s="3232">
        <v>2050</v>
      </c>
      <c r="D364" s="3232">
        <v>2030</v>
      </c>
      <c r="E364" s="3232">
        <v>1990</v>
      </c>
      <c r="F364" s="3232">
        <v>550</v>
      </c>
      <c r="G364" s="3245">
        <v>1220</v>
      </c>
    </row>
    <row r="365" spans="1:7" s="3225" customFormat="1">
      <c r="A365" s="3232" t="s">
        <v>3166</v>
      </c>
      <c r="B365" s="3232" t="s">
        <v>200</v>
      </c>
      <c r="C365" s="3232">
        <v>2140</v>
      </c>
      <c r="D365" s="3232">
        <v>2100</v>
      </c>
      <c r="E365" s="3232">
        <v>2060</v>
      </c>
      <c r="F365" s="3232">
        <v>540</v>
      </c>
      <c r="G365" s="3245">
        <v>1270</v>
      </c>
    </row>
    <row r="366" spans="1:7" s="3225" customFormat="1">
      <c r="A366" s="3232" t="s">
        <v>3166</v>
      </c>
      <c r="B366" s="3232" t="s">
        <v>2898</v>
      </c>
      <c r="C366" s="3232">
        <v>2410</v>
      </c>
      <c r="D366" s="3232">
        <v>2370</v>
      </c>
      <c r="E366" s="3232">
        <v>2330</v>
      </c>
      <c r="F366" s="3232">
        <v>570</v>
      </c>
      <c r="G366" s="3245">
        <v>1440</v>
      </c>
    </row>
    <row r="367" spans="1:7" s="3225" customFormat="1">
      <c r="A367" s="3232" t="s">
        <v>3166</v>
      </c>
      <c r="B367" s="3232" t="s">
        <v>3172</v>
      </c>
      <c r="C367" s="3232">
        <v>2300</v>
      </c>
      <c r="D367" s="3232">
        <v>2260</v>
      </c>
      <c r="E367" s="3232">
        <v>2220</v>
      </c>
      <c r="F367" s="3232">
        <v>560</v>
      </c>
      <c r="G367" s="3245">
        <v>1370</v>
      </c>
    </row>
    <row r="368" spans="1:7" s="3225" customFormat="1">
      <c r="A368" s="3232" t="s">
        <v>3166</v>
      </c>
      <c r="B368" s="3232" t="s">
        <v>3173</v>
      </c>
      <c r="C368" s="3232">
        <v>2430</v>
      </c>
      <c r="D368" s="3232">
        <v>2390</v>
      </c>
      <c r="E368" s="3232">
        <v>2350</v>
      </c>
      <c r="F368" s="3232">
        <v>570</v>
      </c>
      <c r="G368" s="3245">
        <v>1450</v>
      </c>
    </row>
    <row r="369" spans="1:7" s="3225" customFormat="1">
      <c r="A369" s="3232" t="s">
        <v>3166</v>
      </c>
      <c r="B369" s="3232" t="s">
        <v>214</v>
      </c>
      <c r="C369" s="3232">
        <v>2320</v>
      </c>
      <c r="D369" s="3232">
        <v>2290</v>
      </c>
      <c r="E369" s="3232">
        <v>2250</v>
      </c>
      <c r="F369" s="3232">
        <v>550</v>
      </c>
      <c r="G369" s="3245">
        <v>1380</v>
      </c>
    </row>
    <row r="370" spans="1:7" s="3225" customFormat="1">
      <c r="A370" s="3232" t="s">
        <v>3166</v>
      </c>
      <c r="B370" s="3232" t="s">
        <v>221</v>
      </c>
      <c r="C370" s="3232">
        <v>2190</v>
      </c>
      <c r="D370" s="3232">
        <v>2170</v>
      </c>
      <c r="E370" s="3232">
        <v>2130</v>
      </c>
      <c r="F370" s="3232">
        <v>530</v>
      </c>
      <c r="G370" s="3245">
        <v>1310</v>
      </c>
    </row>
    <row r="371" spans="1:7" s="3225" customFormat="1">
      <c r="A371" s="3232" t="s">
        <v>3166</v>
      </c>
      <c r="B371" s="3232" t="s">
        <v>229</v>
      </c>
      <c r="C371" s="3232">
        <v>2460</v>
      </c>
      <c r="D371" s="3232">
        <v>2420</v>
      </c>
      <c r="E371" s="3232">
        <v>2370</v>
      </c>
      <c r="F371" s="3232">
        <v>560</v>
      </c>
      <c r="G371" s="3245">
        <v>1470</v>
      </c>
    </row>
    <row r="372" spans="1:7" s="3225" customFormat="1">
      <c r="A372" s="3232" t="s">
        <v>3166</v>
      </c>
      <c r="B372" s="3232" t="s">
        <v>3174</v>
      </c>
      <c r="C372" s="3232">
        <v>2250</v>
      </c>
      <c r="D372" s="3232">
        <v>2210</v>
      </c>
      <c r="E372" s="3232">
        <v>2180</v>
      </c>
      <c r="F372" s="3232">
        <v>550</v>
      </c>
      <c r="G372" s="3245">
        <v>1340</v>
      </c>
    </row>
    <row r="373" spans="1:7" s="3225" customFormat="1">
      <c r="A373" s="3232" t="s">
        <v>3166</v>
      </c>
      <c r="B373" s="3232" t="s">
        <v>258</v>
      </c>
      <c r="C373" s="3232">
        <v>2210</v>
      </c>
      <c r="D373" s="3232">
        <v>2190</v>
      </c>
      <c r="E373" s="3232">
        <v>2150</v>
      </c>
      <c r="F373" s="3232">
        <v>530</v>
      </c>
      <c r="G373" s="3245">
        <v>1320</v>
      </c>
    </row>
    <row r="374" spans="1:7" s="3225" customFormat="1">
      <c r="A374" s="3232" t="s">
        <v>3166</v>
      </c>
      <c r="B374" s="3232" t="s">
        <v>266</v>
      </c>
      <c r="C374" s="3232">
        <v>2320</v>
      </c>
      <c r="D374" s="3232">
        <v>2280</v>
      </c>
      <c r="E374" s="3232">
        <v>2230</v>
      </c>
      <c r="F374" s="3232">
        <v>580</v>
      </c>
      <c r="G374" s="3245">
        <v>1380</v>
      </c>
    </row>
    <row r="375" spans="1:7" s="3225" customFormat="1">
      <c r="A375" s="3232" t="s">
        <v>3166</v>
      </c>
      <c r="B375" s="3232" t="s">
        <v>3175</v>
      </c>
      <c r="C375" s="3232">
        <v>2090</v>
      </c>
      <c r="D375" s="3232">
        <v>2050</v>
      </c>
      <c r="E375" s="3232">
        <v>2020</v>
      </c>
      <c r="F375" s="3232">
        <v>520</v>
      </c>
      <c r="G375" s="3245">
        <v>1240</v>
      </c>
    </row>
    <row r="376" spans="1:7" s="3225" customFormat="1">
      <c r="A376" s="3232" t="s">
        <v>3166</v>
      </c>
      <c r="B376" s="3232" t="s">
        <v>277</v>
      </c>
      <c r="C376" s="3232">
        <v>2010</v>
      </c>
      <c r="D376" s="3232">
        <v>1980</v>
      </c>
      <c r="E376" s="3232">
        <v>1940</v>
      </c>
      <c r="F376" s="3232">
        <v>540</v>
      </c>
      <c r="G376" s="3245">
        <v>1190</v>
      </c>
    </row>
    <row r="377" spans="1:7" s="3225" customFormat="1" ht="12" thickBot="1">
      <c r="A377" s="3240" t="s">
        <v>3166</v>
      </c>
      <c r="B377" s="3243" t="s">
        <v>2928</v>
      </c>
      <c r="C377" s="3243">
        <v>1930</v>
      </c>
      <c r="D377" s="3243">
        <v>1890</v>
      </c>
      <c r="E377" s="3243">
        <v>1860</v>
      </c>
      <c r="F377" s="3243">
        <v>530</v>
      </c>
      <c r="G377" s="3248">
        <v>1150</v>
      </c>
    </row>
    <row r="378" spans="1:7" s="3225" customFormat="1">
      <c r="A378" s="3249" t="s">
        <v>3176</v>
      </c>
      <c r="B378" s="3228" t="s">
        <v>3177</v>
      </c>
      <c r="C378" s="3228">
        <v>1520</v>
      </c>
      <c r="D378" s="3228">
        <v>1490</v>
      </c>
      <c r="E378" s="3228">
        <v>1460</v>
      </c>
      <c r="F378" s="3228">
        <v>460</v>
      </c>
      <c r="G378" s="3244">
        <v>940</v>
      </c>
    </row>
    <row r="379" spans="1:7" s="3225" customFormat="1">
      <c r="A379" s="3250" t="s">
        <v>3176</v>
      </c>
      <c r="B379" s="3232" t="s">
        <v>3178</v>
      </c>
      <c r="C379" s="3232">
        <v>1500</v>
      </c>
      <c r="D379" s="3232">
        <v>1470</v>
      </c>
      <c r="E379" s="3232">
        <v>1430</v>
      </c>
      <c r="F379" s="3232">
        <v>460</v>
      </c>
      <c r="G379" s="3245">
        <v>920</v>
      </c>
    </row>
    <row r="380" spans="1:7" s="3225" customFormat="1">
      <c r="A380" s="3250" t="s">
        <v>3176</v>
      </c>
      <c r="B380" s="3232" t="s">
        <v>3179</v>
      </c>
      <c r="C380" s="3232">
        <v>1620</v>
      </c>
      <c r="D380" s="3232">
        <v>1590</v>
      </c>
      <c r="E380" s="3232">
        <v>1560</v>
      </c>
      <c r="F380" s="3232">
        <v>480</v>
      </c>
      <c r="G380" s="3245">
        <v>1000</v>
      </c>
    </row>
    <row r="381" spans="1:7" s="3225" customFormat="1">
      <c r="A381" s="3250" t="s">
        <v>3176</v>
      </c>
      <c r="B381" s="3232" t="s">
        <v>3180</v>
      </c>
      <c r="C381" s="3232">
        <v>1460</v>
      </c>
      <c r="D381" s="3232">
        <v>1430</v>
      </c>
      <c r="E381" s="3232">
        <v>1390</v>
      </c>
      <c r="F381" s="3232">
        <v>450</v>
      </c>
      <c r="G381" s="3245">
        <v>900</v>
      </c>
    </row>
    <row r="382" spans="1:7" s="3225" customFormat="1">
      <c r="A382" s="3250" t="s">
        <v>3176</v>
      </c>
      <c r="B382" s="3232" t="s">
        <v>3181</v>
      </c>
      <c r="C382" s="3232">
        <v>1310</v>
      </c>
      <c r="D382" s="3232">
        <v>1280</v>
      </c>
      <c r="E382" s="3232">
        <v>1250</v>
      </c>
      <c r="F382" s="3232">
        <v>440</v>
      </c>
      <c r="G382" s="3245">
        <v>800</v>
      </c>
    </row>
    <row r="383" spans="1:7" s="3225" customFormat="1">
      <c r="A383" s="3250" t="s">
        <v>3176</v>
      </c>
      <c r="B383" s="3232" t="s">
        <v>3182</v>
      </c>
      <c r="C383" s="3232">
        <v>1260</v>
      </c>
      <c r="D383" s="3232">
        <v>1230</v>
      </c>
      <c r="E383" s="3232">
        <v>1200</v>
      </c>
      <c r="F383" s="3232">
        <v>420</v>
      </c>
      <c r="G383" s="3245">
        <v>770</v>
      </c>
    </row>
    <row r="384" spans="1:7" s="3225" customFormat="1" ht="12" thickBot="1">
      <c r="A384" s="3251" t="s">
        <v>3176</v>
      </c>
      <c r="B384" s="3239" t="s">
        <v>3183</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98" t="s">
        <v>3184</v>
      </c>
      <c r="B1" s="3798"/>
    </row>
    <row r="2" spans="1:7" ht="14.25" thickBot="1">
      <c r="A2" s="3254"/>
      <c r="B2" s="3254"/>
    </row>
    <row r="3" spans="1:7" ht="14.25" thickBot="1">
      <c r="A3" s="3254"/>
      <c r="B3" s="3254"/>
      <c r="C3" s="3255" t="s">
        <v>2814</v>
      </c>
      <c r="D3" s="3255" t="s">
        <v>2870</v>
      </c>
      <c r="E3" s="3255" t="s">
        <v>2816</v>
      </c>
      <c r="F3" s="3255" t="s">
        <v>2871</v>
      </c>
      <c r="G3" s="3255" t="s">
        <v>2634</v>
      </c>
    </row>
    <row r="4" spans="1:7" ht="14.25" thickBot="1">
      <c r="A4" s="3256" t="s">
        <v>2869</v>
      </c>
      <c r="B4" s="3257" t="s">
        <v>2875</v>
      </c>
      <c r="C4" s="3255"/>
      <c r="D4" s="3255"/>
      <c r="E4" s="3255"/>
      <c r="F4" s="3255"/>
      <c r="G4" s="3255"/>
    </row>
    <row r="5" spans="1:7">
      <c r="A5" s="3258" t="s">
        <v>2843</v>
      </c>
      <c r="B5" s="3259" t="s">
        <v>2857</v>
      </c>
      <c r="C5" s="3260">
        <v>9.8000000000000004E-2</v>
      </c>
      <c r="D5" s="3260">
        <v>8.6999999999999994E-2</v>
      </c>
      <c r="E5" s="3260">
        <v>8.6999999999999994E-2</v>
      </c>
      <c r="F5" s="3260">
        <v>9.8000000000000004E-2</v>
      </c>
      <c r="G5" s="3261">
        <v>9.5000000000000001E-2</v>
      </c>
    </row>
    <row r="6" spans="1:7">
      <c r="A6" s="3262" t="s">
        <v>144</v>
      </c>
      <c r="B6" s="3263" t="s">
        <v>2872</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2858</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2908</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2926</v>
      </c>
      <c r="C29" s="3272"/>
      <c r="D29" s="3268">
        <v>5.1999999999999998E-2</v>
      </c>
      <c r="E29" s="3268">
        <v>7.0000000000000007E-2</v>
      </c>
      <c r="F29" s="3272"/>
      <c r="G29" s="3270">
        <v>7.0999999999999994E-2</v>
      </c>
    </row>
    <row r="30" spans="1:7">
      <c r="A30" s="3273" t="s">
        <v>296</v>
      </c>
      <c r="B30" s="3259" t="s">
        <v>2859</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2845</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2929</v>
      </c>
      <c r="C50" s="3264">
        <v>9.8000000000000004E-2</v>
      </c>
      <c r="D50" s="3264">
        <v>7.2999999999999995E-2</v>
      </c>
      <c r="E50" s="3264">
        <v>7.0999999999999994E-2</v>
      </c>
      <c r="F50" s="3275"/>
      <c r="G50" s="3265">
        <v>7.2999999999999995E-2</v>
      </c>
    </row>
    <row r="51" spans="1:7">
      <c r="A51" s="3274" t="s">
        <v>296</v>
      </c>
      <c r="B51" s="3263" t="s">
        <v>2931</v>
      </c>
      <c r="C51" s="3264">
        <v>9.9000000000000005E-2</v>
      </c>
      <c r="D51" s="3264">
        <v>8.5000000000000006E-2</v>
      </c>
      <c r="E51" s="3264">
        <v>6.3E-2</v>
      </c>
      <c r="F51" s="3275"/>
      <c r="G51" s="3265">
        <v>9.6000000000000002E-2</v>
      </c>
    </row>
    <row r="52" spans="1:7">
      <c r="A52" s="3274" t="s">
        <v>296</v>
      </c>
      <c r="B52" s="3263" t="s">
        <v>2935</v>
      </c>
      <c r="C52" s="3264">
        <v>7.3999999999999996E-2</v>
      </c>
      <c r="D52" s="3264">
        <v>9.6000000000000002E-2</v>
      </c>
      <c r="E52" s="3264">
        <v>0.05</v>
      </c>
      <c r="F52" s="3275"/>
      <c r="G52" s="3265">
        <v>9.8000000000000004E-2</v>
      </c>
    </row>
    <row r="53" spans="1:7">
      <c r="A53" s="3274" t="s">
        <v>296</v>
      </c>
      <c r="B53" s="3263" t="s">
        <v>2940</v>
      </c>
      <c r="C53" s="3264">
        <v>8.5999999999999993E-2</v>
      </c>
      <c r="D53" s="3275"/>
      <c r="E53" s="3264">
        <v>9.1999999999999998E-2</v>
      </c>
      <c r="F53" s="3275"/>
      <c r="G53" s="3276"/>
    </row>
    <row r="54" spans="1:7" ht="14.25" thickBot="1">
      <c r="A54" s="3277" t="s">
        <v>296</v>
      </c>
      <c r="B54" s="3267" t="s">
        <v>2943</v>
      </c>
      <c r="C54" s="3268">
        <v>9.6000000000000002E-2</v>
      </c>
      <c r="D54" s="3269"/>
      <c r="E54" s="3278"/>
      <c r="F54" s="3269"/>
      <c r="G54" s="3279"/>
    </row>
    <row r="55" spans="1:7">
      <c r="A55" s="3273" t="s">
        <v>110</v>
      </c>
      <c r="B55" s="3259" t="s">
        <v>2860</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2941</v>
      </c>
      <c r="C78" s="3264">
        <v>0.1</v>
      </c>
      <c r="D78" s="3264">
        <v>8.5000000000000006E-2</v>
      </c>
      <c r="E78" s="3264">
        <v>9.6000000000000002E-2</v>
      </c>
      <c r="F78" s="3275"/>
      <c r="G78" s="3265">
        <v>9.6000000000000002E-2</v>
      </c>
    </row>
    <row r="79" spans="1:7">
      <c r="A79" s="3274" t="s">
        <v>110</v>
      </c>
      <c r="B79" s="3263" t="s">
        <v>2944</v>
      </c>
      <c r="C79" s="3264">
        <v>0.05</v>
      </c>
      <c r="D79" s="3264">
        <v>9.6000000000000002E-2</v>
      </c>
      <c r="E79" s="3264">
        <v>9.5000000000000001E-2</v>
      </c>
      <c r="F79" s="3275"/>
      <c r="G79" s="3265">
        <v>9.8000000000000004E-2</v>
      </c>
    </row>
    <row r="80" spans="1:7">
      <c r="A80" s="3274" t="s">
        <v>110</v>
      </c>
      <c r="B80" s="3263" t="s">
        <v>2948</v>
      </c>
      <c r="C80" s="3264">
        <v>8.5999999999999993E-2</v>
      </c>
      <c r="D80" s="3280"/>
      <c r="E80" s="3264">
        <v>0.1</v>
      </c>
      <c r="F80" s="3275"/>
      <c r="G80" s="3276"/>
    </row>
    <row r="81" spans="1:7">
      <c r="A81" s="3274" t="s">
        <v>110</v>
      </c>
      <c r="B81" s="3263" t="s">
        <v>2953</v>
      </c>
      <c r="C81" s="3264">
        <v>9.6000000000000002E-2</v>
      </c>
      <c r="D81" s="3275"/>
      <c r="E81" s="3264">
        <v>9.8000000000000004E-2</v>
      </c>
      <c r="F81" s="3275"/>
      <c r="G81" s="3276"/>
    </row>
    <row r="82" spans="1:7">
      <c r="A82" s="3274" t="s">
        <v>110</v>
      </c>
      <c r="B82" s="3263" t="s">
        <v>2960</v>
      </c>
      <c r="C82" s="3280"/>
      <c r="D82" s="3275"/>
      <c r="E82" s="3264">
        <v>7.6999999999999999E-2</v>
      </c>
      <c r="F82" s="3275"/>
      <c r="G82" s="3276"/>
    </row>
    <row r="83" spans="1:7">
      <c r="A83" s="3274" t="s">
        <v>110</v>
      </c>
      <c r="B83" s="3263" t="s">
        <v>2966</v>
      </c>
      <c r="C83" s="3275"/>
      <c r="D83" s="3275"/>
      <c r="E83" s="3275"/>
      <c r="F83" s="3264">
        <v>0.1</v>
      </c>
      <c r="G83" s="3281"/>
    </row>
    <row r="84" spans="1:7">
      <c r="A84" s="3274" t="s">
        <v>110</v>
      </c>
      <c r="B84" s="3263" t="s">
        <v>2973</v>
      </c>
      <c r="C84" s="3275"/>
      <c r="D84" s="3275"/>
      <c r="E84" s="3275"/>
      <c r="F84" s="3264">
        <v>0.1</v>
      </c>
      <c r="G84" s="3281"/>
    </row>
    <row r="85" spans="1:7">
      <c r="A85" s="3274" t="s">
        <v>110</v>
      </c>
      <c r="B85" s="3263" t="s">
        <v>2980</v>
      </c>
      <c r="C85" s="3275"/>
      <c r="D85" s="3275"/>
      <c r="E85" s="3275"/>
      <c r="F85" s="3264">
        <v>0.1</v>
      </c>
      <c r="G85" s="3281"/>
    </row>
    <row r="86" spans="1:7" ht="14.25" thickBot="1">
      <c r="A86" s="3277" t="s">
        <v>110</v>
      </c>
      <c r="B86" s="3267" t="s">
        <v>2985</v>
      </c>
      <c r="C86" s="3268">
        <v>9.8000000000000004E-2</v>
      </c>
      <c r="D86" s="3268">
        <v>9.8000000000000004E-2</v>
      </c>
      <c r="E86" s="3268">
        <v>9.6000000000000002E-2</v>
      </c>
      <c r="F86" s="3278"/>
      <c r="G86" s="3270">
        <v>0.1</v>
      </c>
    </row>
    <row r="87" spans="1:7">
      <c r="A87" s="3273" t="s">
        <v>303</v>
      </c>
      <c r="B87" s="3259" t="s">
        <v>2861</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2954</v>
      </c>
      <c r="C113" s="3264">
        <v>0.1</v>
      </c>
      <c r="D113" s="3264">
        <v>0.1</v>
      </c>
      <c r="E113" s="3275"/>
      <c r="F113" s="3275"/>
      <c r="G113" s="3265">
        <v>0.1</v>
      </c>
    </row>
    <row r="114" spans="1:7">
      <c r="A114" s="3274" t="s">
        <v>303</v>
      </c>
      <c r="B114" s="3263" t="s">
        <v>2961</v>
      </c>
      <c r="C114" s="3264">
        <v>9.7000000000000003E-2</v>
      </c>
      <c r="D114" s="3264">
        <v>9.7000000000000003E-2</v>
      </c>
      <c r="E114" s="3275"/>
      <c r="F114" s="3275"/>
      <c r="G114" s="3265">
        <v>9.9000000000000005E-2</v>
      </c>
    </row>
    <row r="115" spans="1:7">
      <c r="A115" s="3274" t="s">
        <v>303</v>
      </c>
      <c r="B115" s="3263" t="s">
        <v>2967</v>
      </c>
      <c r="C115" s="3264">
        <v>0.1</v>
      </c>
      <c r="D115" s="3264">
        <v>0.1</v>
      </c>
      <c r="E115" s="3275"/>
      <c r="F115" s="3275"/>
      <c r="G115" s="3265">
        <v>0.1</v>
      </c>
    </row>
    <row r="116" spans="1:7">
      <c r="A116" s="3274" t="s">
        <v>303</v>
      </c>
      <c r="B116" s="3263" t="s">
        <v>2974</v>
      </c>
      <c r="C116" s="3264">
        <v>0.1</v>
      </c>
      <c r="D116" s="3264">
        <v>0.1</v>
      </c>
      <c r="E116" s="3275"/>
      <c r="F116" s="3275"/>
      <c r="G116" s="3265">
        <v>0.1</v>
      </c>
    </row>
    <row r="117" spans="1:7">
      <c r="A117" s="3274" t="s">
        <v>303</v>
      </c>
      <c r="B117" s="3263" t="s">
        <v>2981</v>
      </c>
      <c r="C117" s="3264">
        <v>9.7000000000000003E-2</v>
      </c>
      <c r="D117" s="3264">
        <v>9.7000000000000003E-2</v>
      </c>
      <c r="E117" s="3275"/>
      <c r="F117" s="3275"/>
      <c r="G117" s="3265">
        <v>9.7000000000000003E-2</v>
      </c>
    </row>
    <row r="118" spans="1:7">
      <c r="A118" s="3274" t="s">
        <v>303</v>
      </c>
      <c r="B118" s="3263" t="s">
        <v>2986</v>
      </c>
      <c r="C118" s="3264">
        <v>0.1</v>
      </c>
      <c r="D118" s="3264">
        <v>0.1</v>
      </c>
      <c r="E118" s="3275"/>
      <c r="F118" s="3275"/>
      <c r="G118" s="3265">
        <v>0.1</v>
      </c>
    </row>
    <row r="119" spans="1:7">
      <c r="A119" s="3274" t="s">
        <v>303</v>
      </c>
      <c r="B119" s="3263" t="s">
        <v>2990</v>
      </c>
      <c r="C119" s="3264">
        <v>5.0999999999999997E-2</v>
      </c>
      <c r="D119" s="3264">
        <v>5.1999999999999998E-2</v>
      </c>
      <c r="E119" s="3275"/>
      <c r="F119" s="3280"/>
      <c r="G119" s="3265">
        <v>0.06</v>
      </c>
    </row>
    <row r="120" spans="1:7">
      <c r="A120" s="3274" t="s">
        <v>303</v>
      </c>
      <c r="B120" s="3263" t="s">
        <v>2994</v>
      </c>
      <c r="C120" s="3275"/>
      <c r="D120" s="3275"/>
      <c r="E120" s="3275"/>
      <c r="F120" s="3264">
        <v>0.1</v>
      </c>
      <c r="G120" s="3281"/>
    </row>
    <row r="121" spans="1:7">
      <c r="A121" s="3274" t="s">
        <v>303</v>
      </c>
      <c r="B121" s="3263" t="s">
        <v>2999</v>
      </c>
      <c r="C121" s="3275"/>
      <c r="D121" s="3275"/>
      <c r="E121" s="3275"/>
      <c r="F121" s="3264">
        <v>0.1</v>
      </c>
      <c r="G121" s="3281"/>
    </row>
    <row r="122" spans="1:7">
      <c r="A122" s="3274" t="s">
        <v>303</v>
      </c>
      <c r="B122" s="3263" t="s">
        <v>3004</v>
      </c>
      <c r="C122" s="3264">
        <v>0.1</v>
      </c>
      <c r="D122" s="3264">
        <v>0.1</v>
      </c>
      <c r="E122" s="3264">
        <v>9.8000000000000004E-2</v>
      </c>
      <c r="F122" s="3264">
        <v>0.1</v>
      </c>
      <c r="G122" s="3265">
        <v>0.1</v>
      </c>
    </row>
    <row r="123" spans="1:7">
      <c r="A123" s="3274" t="s">
        <v>303</v>
      </c>
      <c r="B123" s="3263" t="s">
        <v>3009</v>
      </c>
      <c r="C123" s="3264">
        <v>0.1</v>
      </c>
      <c r="D123" s="3264">
        <v>0.1</v>
      </c>
      <c r="E123" s="3264">
        <v>9.8000000000000004E-2</v>
      </c>
      <c r="F123" s="3264">
        <v>0.1</v>
      </c>
      <c r="G123" s="3265">
        <v>0.1</v>
      </c>
    </row>
    <row r="124" spans="1:7">
      <c r="A124" s="3274" t="s">
        <v>303</v>
      </c>
      <c r="B124" s="3263" t="s">
        <v>3014</v>
      </c>
      <c r="C124" s="3264">
        <v>0.1</v>
      </c>
      <c r="D124" s="3264">
        <v>0.1</v>
      </c>
      <c r="E124" s="3264">
        <v>9.8000000000000004E-2</v>
      </c>
      <c r="F124" s="3280"/>
      <c r="G124" s="3265">
        <v>0.1</v>
      </c>
    </row>
    <row r="125" spans="1:7">
      <c r="A125" s="3274" t="s">
        <v>303</v>
      </c>
      <c r="B125" s="3263" t="s">
        <v>3019</v>
      </c>
      <c r="C125" s="3264">
        <v>9.8000000000000004E-2</v>
      </c>
      <c r="D125" s="3264">
        <v>9.8000000000000004E-2</v>
      </c>
      <c r="E125" s="3264">
        <v>9.6000000000000002E-2</v>
      </c>
      <c r="F125" s="3280"/>
      <c r="G125" s="3265">
        <v>0.1</v>
      </c>
    </row>
    <row r="126" spans="1:7" ht="14.25" thickBot="1">
      <c r="A126" s="3277" t="s">
        <v>303</v>
      </c>
      <c r="B126" s="3267" t="s">
        <v>3185</v>
      </c>
      <c r="C126" s="3268">
        <v>0.1</v>
      </c>
      <c r="D126" s="3268">
        <v>0.1</v>
      </c>
      <c r="E126" s="3268">
        <v>9.8000000000000004E-2</v>
      </c>
      <c r="F126" s="3268">
        <v>0.1</v>
      </c>
      <c r="G126" s="3270">
        <v>0.1</v>
      </c>
    </row>
    <row r="127" spans="1:7">
      <c r="A127" s="3273" t="s">
        <v>29</v>
      </c>
      <c r="B127" s="3259" t="s">
        <v>2862</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2932</v>
      </c>
      <c r="C148" s="3264">
        <v>0.13</v>
      </c>
      <c r="D148" s="3264">
        <v>0.13</v>
      </c>
      <c r="E148" s="3264">
        <v>0.13</v>
      </c>
      <c r="F148" s="3275"/>
      <c r="G148" s="3265">
        <v>0.13</v>
      </c>
    </row>
    <row r="149" spans="1:7">
      <c r="A149" s="3274" t="s">
        <v>29</v>
      </c>
      <c r="B149" s="3263" t="s">
        <v>2936</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2955</v>
      </c>
      <c r="C153" s="3264">
        <v>0.13</v>
      </c>
      <c r="D153" s="3264">
        <v>0.13</v>
      </c>
      <c r="E153" s="3264">
        <v>0.13</v>
      </c>
      <c r="F153" s="3264">
        <v>0.13</v>
      </c>
      <c r="G153" s="3265">
        <v>0.13</v>
      </c>
    </row>
    <row r="154" spans="1:7">
      <c r="A154" s="3274" t="s">
        <v>29</v>
      </c>
      <c r="B154" s="3263" t="s">
        <v>2962</v>
      </c>
      <c r="C154" s="3264">
        <v>0.121</v>
      </c>
      <c r="D154" s="3264">
        <v>0.121</v>
      </c>
      <c r="E154" s="3264">
        <v>0.105</v>
      </c>
      <c r="F154" s="3264">
        <v>0.121</v>
      </c>
      <c r="G154" s="3265">
        <v>0.123</v>
      </c>
    </row>
    <row r="155" spans="1:7">
      <c r="A155" s="3274" t="s">
        <v>29</v>
      </c>
      <c r="B155" s="3263" t="s">
        <v>2968</v>
      </c>
      <c r="C155" s="3264">
        <v>0.1</v>
      </c>
      <c r="D155" s="3264">
        <v>0.1</v>
      </c>
      <c r="E155" s="3264">
        <v>0.1</v>
      </c>
      <c r="F155" s="3264">
        <v>0.1</v>
      </c>
      <c r="G155" s="3265">
        <v>0.1</v>
      </c>
    </row>
    <row r="156" spans="1:7">
      <c r="A156" s="3274" t="s">
        <v>29</v>
      </c>
      <c r="B156" s="3263" t="s">
        <v>2975</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2995</v>
      </c>
      <c r="C160" s="3264">
        <v>0.13</v>
      </c>
      <c r="D160" s="3264">
        <v>0.13</v>
      </c>
      <c r="E160" s="3264">
        <v>0.124</v>
      </c>
      <c r="F160" s="3264">
        <v>0.126</v>
      </c>
      <c r="G160" s="3265">
        <v>0.13</v>
      </c>
    </row>
    <row r="161" spans="1:7">
      <c r="A161" s="3274" t="s">
        <v>29</v>
      </c>
      <c r="B161" s="3263" t="s">
        <v>3000</v>
      </c>
      <c r="C161" s="3264">
        <v>0.13</v>
      </c>
      <c r="D161" s="3264">
        <v>0.13</v>
      </c>
      <c r="E161" s="3264">
        <v>0.124</v>
      </c>
      <c r="F161" s="3264">
        <v>0.127</v>
      </c>
      <c r="G161" s="3265">
        <v>0.13</v>
      </c>
    </row>
    <row r="162" spans="1:7">
      <c r="A162" s="3274" t="s">
        <v>29</v>
      </c>
      <c r="B162" s="3263" t="s">
        <v>3005</v>
      </c>
      <c r="C162" s="3264">
        <v>0.1</v>
      </c>
      <c r="D162" s="3264">
        <v>0.1</v>
      </c>
      <c r="E162" s="3264">
        <v>0.1</v>
      </c>
      <c r="F162" s="3264">
        <v>0.121</v>
      </c>
      <c r="G162" s="3265">
        <v>0.105</v>
      </c>
    </row>
    <row r="163" spans="1:7">
      <c r="A163" s="3274" t="s">
        <v>29</v>
      </c>
      <c r="B163" s="3263" t="s">
        <v>3010</v>
      </c>
      <c r="C163" s="3264">
        <v>0.1</v>
      </c>
      <c r="D163" s="3264">
        <v>0.1</v>
      </c>
      <c r="E163" s="3264">
        <v>0.1</v>
      </c>
      <c r="F163" s="3264">
        <v>0.1</v>
      </c>
      <c r="G163" s="3265">
        <v>0.1</v>
      </c>
    </row>
    <row r="164" spans="1:7">
      <c r="A164" s="3274" t="s">
        <v>29</v>
      </c>
      <c r="B164" s="3263" t="s">
        <v>3015</v>
      </c>
      <c r="C164" s="3280"/>
      <c r="D164" s="3280"/>
      <c r="E164" s="3280"/>
      <c r="F164" s="3264">
        <v>0.1</v>
      </c>
      <c r="G164" s="3276"/>
    </row>
    <row r="165" spans="1:7">
      <c r="A165" s="3274" t="s">
        <v>29</v>
      </c>
      <c r="B165" s="3263" t="s">
        <v>3186</v>
      </c>
      <c r="C165" s="3264">
        <v>0.126</v>
      </c>
      <c r="D165" s="3264">
        <v>0.126</v>
      </c>
      <c r="E165" s="3264">
        <v>0.11899999999999999</v>
      </c>
      <c r="F165" s="3264">
        <v>0.13</v>
      </c>
      <c r="G165" s="3265">
        <v>0.128</v>
      </c>
    </row>
    <row r="166" spans="1:7">
      <c r="A166" s="3274" t="s">
        <v>29</v>
      </c>
      <c r="B166" s="3263" t="s">
        <v>3025</v>
      </c>
      <c r="C166" s="3264">
        <v>0.129</v>
      </c>
      <c r="D166" s="3264">
        <v>0.129</v>
      </c>
      <c r="E166" s="3264">
        <v>0.123</v>
      </c>
      <c r="F166" s="3264">
        <v>0.128</v>
      </c>
      <c r="G166" s="3265">
        <v>0.13</v>
      </c>
    </row>
    <row r="167" spans="1:7">
      <c r="A167" s="3274" t="s">
        <v>29</v>
      </c>
      <c r="B167" s="3263" t="s">
        <v>3029</v>
      </c>
      <c r="C167" s="3264">
        <v>0.125</v>
      </c>
      <c r="D167" s="3264">
        <v>0.125</v>
      </c>
      <c r="E167" s="3264">
        <v>0.11700000000000001</v>
      </c>
      <c r="F167" s="3264">
        <v>0.13</v>
      </c>
      <c r="G167" s="3265">
        <v>0.126</v>
      </c>
    </row>
    <row r="168" spans="1:7">
      <c r="A168" s="3274" t="s">
        <v>29</v>
      </c>
      <c r="B168" s="3263" t="s">
        <v>3034</v>
      </c>
      <c r="C168" s="3264">
        <v>0.128</v>
      </c>
      <c r="D168" s="3264">
        <v>0.128</v>
      </c>
      <c r="E168" s="3264">
        <v>0.123</v>
      </c>
      <c r="F168" s="3275"/>
      <c r="G168" s="3265">
        <v>0.13</v>
      </c>
    </row>
    <row r="169" spans="1:7">
      <c r="A169" s="3274" t="s">
        <v>29</v>
      </c>
      <c r="B169" s="3263" t="s">
        <v>3187</v>
      </c>
      <c r="C169" s="3280"/>
      <c r="D169" s="3280"/>
      <c r="E169" s="3280"/>
      <c r="F169" s="3264">
        <v>0.05</v>
      </c>
      <c r="G169" s="3276"/>
    </row>
    <row r="170" spans="1:7">
      <c r="A170" s="3274" t="s">
        <v>29</v>
      </c>
      <c r="B170" s="3263" t="s">
        <v>3188</v>
      </c>
      <c r="C170" s="3280"/>
      <c r="D170" s="3280"/>
      <c r="E170" s="3280"/>
      <c r="F170" s="3264">
        <v>0.05</v>
      </c>
      <c r="G170" s="3276"/>
    </row>
    <row r="171" spans="1:7">
      <c r="A171" s="3274" t="s">
        <v>29</v>
      </c>
      <c r="B171" s="3263" t="s">
        <v>3189</v>
      </c>
      <c r="C171" s="3280"/>
      <c r="D171" s="3280"/>
      <c r="E171" s="3280"/>
      <c r="F171" s="3264">
        <v>0.05</v>
      </c>
      <c r="G171" s="3281"/>
    </row>
    <row r="172" spans="1:7">
      <c r="A172" s="3274" t="s">
        <v>29</v>
      </c>
      <c r="B172" s="3263" t="s">
        <v>3190</v>
      </c>
      <c r="C172" s="3280"/>
      <c r="D172" s="3280"/>
      <c r="E172" s="3280"/>
      <c r="F172" s="3264">
        <v>0.05</v>
      </c>
      <c r="G172" s="3281"/>
    </row>
    <row r="173" spans="1:7">
      <c r="A173" s="3274" t="s">
        <v>29</v>
      </c>
      <c r="B173" s="3263" t="s">
        <v>3191</v>
      </c>
      <c r="C173" s="3280"/>
      <c r="D173" s="3280"/>
      <c r="E173" s="3280"/>
      <c r="F173" s="3264">
        <v>0.05</v>
      </c>
      <c r="G173" s="3276"/>
    </row>
    <row r="174" spans="1:7">
      <c r="A174" s="3274" t="s">
        <v>29</v>
      </c>
      <c r="B174" s="3263" t="s">
        <v>3192</v>
      </c>
      <c r="C174" s="3280"/>
      <c r="D174" s="3280"/>
      <c r="E174" s="3280"/>
      <c r="F174" s="3264">
        <v>0.05</v>
      </c>
      <c r="G174" s="3276"/>
    </row>
    <row r="175" spans="1:7">
      <c r="A175" s="3274" t="s">
        <v>29</v>
      </c>
      <c r="B175" s="3263" t="s">
        <v>3193</v>
      </c>
      <c r="C175" s="3280"/>
      <c r="D175" s="3280"/>
      <c r="E175" s="3280"/>
      <c r="F175" s="3264">
        <v>0.05</v>
      </c>
      <c r="G175" s="3276"/>
    </row>
    <row r="176" spans="1:7">
      <c r="A176" s="3274" t="s">
        <v>29</v>
      </c>
      <c r="B176" s="3263" t="s">
        <v>3194</v>
      </c>
      <c r="C176" s="3280"/>
      <c r="D176" s="3280"/>
      <c r="E176" s="3280"/>
      <c r="F176" s="3264">
        <v>0.05</v>
      </c>
      <c r="G176" s="3276"/>
    </row>
    <row r="177" spans="1:7">
      <c r="A177" s="3274" t="s">
        <v>29</v>
      </c>
      <c r="B177" s="3263" t="s">
        <v>3195</v>
      </c>
      <c r="C177" s="3275"/>
      <c r="D177" s="3275"/>
      <c r="E177" s="3275"/>
      <c r="F177" s="3264">
        <v>0.05</v>
      </c>
      <c r="G177" s="3281"/>
    </row>
    <row r="178" spans="1:7">
      <c r="A178" s="3274" t="s">
        <v>29</v>
      </c>
      <c r="B178" s="3263" t="s">
        <v>3196</v>
      </c>
      <c r="C178" s="3275"/>
      <c r="D178" s="3275"/>
      <c r="E178" s="3275"/>
      <c r="F178" s="3264">
        <v>0.05</v>
      </c>
      <c r="G178" s="3281"/>
    </row>
    <row r="179" spans="1:7">
      <c r="A179" s="3274" t="s">
        <v>29</v>
      </c>
      <c r="B179" s="3263" t="s">
        <v>3197</v>
      </c>
      <c r="C179" s="3275"/>
      <c r="D179" s="3275"/>
      <c r="E179" s="3275"/>
      <c r="F179" s="3264">
        <v>0.05</v>
      </c>
      <c r="G179" s="3281"/>
    </row>
    <row r="180" spans="1:7">
      <c r="A180" s="3274" t="s">
        <v>29</v>
      </c>
      <c r="B180" s="3263" t="s">
        <v>3198</v>
      </c>
      <c r="C180" s="3275"/>
      <c r="D180" s="3275"/>
      <c r="E180" s="3275"/>
      <c r="F180" s="3264">
        <v>0.05</v>
      </c>
      <c r="G180" s="3281"/>
    </row>
    <row r="181" spans="1:7">
      <c r="A181" s="3274" t="s">
        <v>29</v>
      </c>
      <c r="B181" s="3263" t="s">
        <v>3199</v>
      </c>
      <c r="C181" s="3275"/>
      <c r="D181" s="3275"/>
      <c r="E181" s="3275"/>
      <c r="F181" s="3264">
        <v>0.05</v>
      </c>
      <c r="G181" s="3281"/>
    </row>
    <row r="182" spans="1:7">
      <c r="A182" s="3274" t="s">
        <v>29</v>
      </c>
      <c r="B182" s="3263" t="s">
        <v>3200</v>
      </c>
      <c r="C182" s="3275"/>
      <c r="D182" s="3275"/>
      <c r="E182" s="3275"/>
      <c r="F182" s="3264">
        <v>0.05</v>
      </c>
      <c r="G182" s="3281"/>
    </row>
    <row r="183" spans="1:7">
      <c r="A183" s="3274" t="s">
        <v>29</v>
      </c>
      <c r="B183" s="3263" t="s">
        <v>3201</v>
      </c>
      <c r="C183" s="3275"/>
      <c r="D183" s="3275"/>
      <c r="E183" s="3275"/>
      <c r="F183" s="3264">
        <v>0.05</v>
      </c>
      <c r="G183" s="3281"/>
    </row>
    <row r="184" spans="1:7">
      <c r="A184" s="3274" t="s">
        <v>29</v>
      </c>
      <c r="B184" s="3263" t="s">
        <v>3202</v>
      </c>
      <c r="C184" s="3275"/>
      <c r="D184" s="3275"/>
      <c r="E184" s="3275"/>
      <c r="F184" s="3264">
        <v>0.05</v>
      </c>
      <c r="G184" s="3281"/>
    </row>
    <row r="185" spans="1:7">
      <c r="A185" s="3274" t="s">
        <v>29</v>
      </c>
      <c r="B185" s="3263" t="s">
        <v>3203</v>
      </c>
      <c r="C185" s="3275"/>
      <c r="D185" s="3275"/>
      <c r="E185" s="3275"/>
      <c r="F185" s="3264">
        <v>0.05</v>
      </c>
      <c r="G185" s="3281"/>
    </row>
    <row r="186" spans="1:7">
      <c r="A186" s="3274" t="s">
        <v>29</v>
      </c>
      <c r="B186" s="3263" t="s">
        <v>3204</v>
      </c>
      <c r="C186" s="3275"/>
      <c r="D186" s="3275"/>
      <c r="E186" s="3275"/>
      <c r="F186" s="3264">
        <v>0.05</v>
      </c>
      <c r="G186" s="3281"/>
    </row>
    <row r="187" spans="1:7">
      <c r="A187" s="3274" t="s">
        <v>29</v>
      </c>
      <c r="B187" s="3263" t="s">
        <v>3205</v>
      </c>
      <c r="C187" s="3275"/>
      <c r="D187" s="3275"/>
      <c r="E187" s="3275"/>
      <c r="F187" s="3264">
        <v>0.05</v>
      </c>
      <c r="G187" s="3281"/>
    </row>
    <row r="188" spans="1:7">
      <c r="A188" s="3274" t="s">
        <v>29</v>
      </c>
      <c r="B188" s="3263" t="s">
        <v>3206</v>
      </c>
      <c r="C188" s="3275"/>
      <c r="D188" s="3275"/>
      <c r="E188" s="3275"/>
      <c r="F188" s="3264">
        <v>0.05</v>
      </c>
      <c r="G188" s="3281"/>
    </row>
    <row r="189" spans="1:7" ht="14.25" thickBot="1">
      <c r="A189" s="3277" t="s">
        <v>29</v>
      </c>
      <c r="B189" s="3267" t="s">
        <v>3207</v>
      </c>
      <c r="C189" s="3269"/>
      <c r="D189" s="3269"/>
      <c r="E189" s="3269"/>
      <c r="F189" s="3268">
        <v>0.05</v>
      </c>
      <c r="G189" s="3282"/>
    </row>
    <row r="190" spans="1:7">
      <c r="A190" s="3273" t="s">
        <v>304</v>
      </c>
      <c r="B190" s="3259" t="s">
        <v>2863</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2899</v>
      </c>
      <c r="C199" s="3264">
        <v>0.13</v>
      </c>
      <c r="D199" s="3264">
        <v>0.13</v>
      </c>
      <c r="E199" s="3264">
        <v>0.13</v>
      </c>
      <c r="F199" s="3264">
        <v>0.13</v>
      </c>
      <c r="G199" s="3265">
        <v>0.13</v>
      </c>
    </row>
    <row r="200" spans="1:7">
      <c r="A200" s="3274" t="s">
        <v>304</v>
      </c>
      <c r="B200" s="3263" t="s">
        <v>2902</v>
      </c>
      <c r="C200" s="3280"/>
      <c r="D200" s="3280"/>
      <c r="E200" s="3280"/>
      <c r="F200" s="3264">
        <v>0.13</v>
      </c>
      <c r="G200" s="3276"/>
    </row>
    <row r="201" spans="1:7">
      <c r="A201" s="3274" t="s">
        <v>304</v>
      </c>
      <c r="B201" s="3263" t="s">
        <v>2907</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2910</v>
      </c>
      <c r="C203" s="3264">
        <v>0.129</v>
      </c>
      <c r="D203" s="3264">
        <v>0.129</v>
      </c>
      <c r="E203" s="3264">
        <v>0.13</v>
      </c>
      <c r="F203" s="3264">
        <v>0.13</v>
      </c>
      <c r="G203" s="3265">
        <v>0.13</v>
      </c>
    </row>
    <row r="204" spans="1:7">
      <c r="A204" s="3274" t="s">
        <v>304</v>
      </c>
      <c r="B204" s="3263" t="s">
        <v>2913</v>
      </c>
      <c r="C204" s="3264">
        <v>0.129</v>
      </c>
      <c r="D204" s="3264">
        <v>0.129</v>
      </c>
      <c r="E204" s="3264">
        <v>0.123</v>
      </c>
      <c r="F204" s="3264">
        <v>0.13</v>
      </c>
      <c r="G204" s="3265">
        <v>0.13</v>
      </c>
    </row>
    <row r="205" spans="1:7">
      <c r="A205" s="3274" t="s">
        <v>304</v>
      </c>
      <c r="B205" s="3263" t="s">
        <v>2915</v>
      </c>
      <c r="C205" s="3264">
        <v>0.13</v>
      </c>
      <c r="D205" s="3264">
        <v>0.13</v>
      </c>
      <c r="E205" s="3264">
        <v>0.13</v>
      </c>
      <c r="F205" s="3264">
        <v>0.13</v>
      </c>
      <c r="G205" s="3265">
        <v>0.13</v>
      </c>
    </row>
    <row r="206" spans="1:7">
      <c r="A206" s="3274" t="s">
        <v>304</v>
      </c>
      <c r="B206" s="3263" t="s">
        <v>2918</v>
      </c>
      <c r="C206" s="3264">
        <v>0.13</v>
      </c>
      <c r="D206" s="3264">
        <v>0.13</v>
      </c>
      <c r="E206" s="3264">
        <v>0.13</v>
      </c>
      <c r="F206" s="3264">
        <v>0.128</v>
      </c>
      <c r="G206" s="3265">
        <v>0.13</v>
      </c>
    </row>
    <row r="207" spans="1:7">
      <c r="A207" s="3274" t="s">
        <v>304</v>
      </c>
      <c r="B207" s="3263" t="s">
        <v>2920</v>
      </c>
      <c r="C207" s="3264">
        <v>0.13</v>
      </c>
      <c r="D207" s="3264">
        <v>0.13</v>
      </c>
      <c r="E207" s="3264">
        <v>0.13</v>
      </c>
      <c r="F207" s="3264">
        <v>0.13</v>
      </c>
      <c r="G207" s="3265">
        <v>0.13</v>
      </c>
    </row>
    <row r="208" spans="1:7">
      <c r="A208" s="3274" t="s">
        <v>304</v>
      </c>
      <c r="B208" s="3263" t="s">
        <v>2923</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2930</v>
      </c>
      <c r="C210" s="3264">
        <v>0.121</v>
      </c>
      <c r="D210" s="3264">
        <v>0.121</v>
      </c>
      <c r="E210" s="3264">
        <v>0.125</v>
      </c>
      <c r="F210" s="3264">
        <v>0.13</v>
      </c>
      <c r="G210" s="3265">
        <v>0.123</v>
      </c>
    </row>
    <row r="211" spans="1:7">
      <c r="A211" s="3274" t="s">
        <v>304</v>
      </c>
      <c r="B211" s="3263" t="s">
        <v>2933</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2945</v>
      </c>
      <c r="C214" s="3264">
        <v>0.128</v>
      </c>
      <c r="D214" s="3264">
        <v>0.128</v>
      </c>
      <c r="E214" s="3264">
        <v>0.13</v>
      </c>
      <c r="F214" s="3264">
        <v>0.13</v>
      </c>
      <c r="G214" s="3265">
        <v>0.13</v>
      </c>
    </row>
    <row r="215" spans="1:7">
      <c r="A215" s="3274" t="s">
        <v>304</v>
      </c>
      <c r="B215" s="3263" t="s">
        <v>2949</v>
      </c>
      <c r="C215" s="3264">
        <v>0.13</v>
      </c>
      <c r="D215" s="3264">
        <v>0.13</v>
      </c>
      <c r="E215" s="3264">
        <v>0.13</v>
      </c>
      <c r="F215" s="3264">
        <v>0.129</v>
      </c>
      <c r="G215" s="3265">
        <v>0.13</v>
      </c>
    </row>
    <row r="216" spans="1:7">
      <c r="A216" s="3274" t="s">
        <v>304</v>
      </c>
      <c r="B216" s="3263" t="s">
        <v>2956</v>
      </c>
      <c r="C216" s="3264">
        <v>0.13</v>
      </c>
      <c r="D216" s="3264">
        <v>0.13</v>
      </c>
      <c r="E216" s="3264">
        <v>0.13</v>
      </c>
      <c r="F216" s="3264">
        <v>0.13</v>
      </c>
      <c r="G216" s="3265">
        <v>0.13</v>
      </c>
    </row>
    <row r="217" spans="1:7">
      <c r="A217" s="3274" t="s">
        <v>304</v>
      </c>
      <c r="B217" s="3263" t="s">
        <v>2963</v>
      </c>
      <c r="C217" s="3264">
        <v>0.129</v>
      </c>
      <c r="D217" s="3264">
        <v>0.129</v>
      </c>
      <c r="E217" s="3264">
        <v>0.13</v>
      </c>
      <c r="F217" s="3264">
        <v>0.13</v>
      </c>
      <c r="G217" s="3265">
        <v>0.13</v>
      </c>
    </row>
    <row r="218" spans="1:7">
      <c r="A218" s="3274" t="s">
        <v>304</v>
      </c>
      <c r="B218" s="3263" t="s">
        <v>2969</v>
      </c>
      <c r="C218" s="3275"/>
      <c r="D218" s="3275"/>
      <c r="E218" s="3275"/>
      <c r="F218" s="3264">
        <v>0.05</v>
      </c>
      <c r="G218" s="3281"/>
    </row>
    <row r="219" spans="1:7">
      <c r="A219" s="3274" t="s">
        <v>304</v>
      </c>
      <c r="B219" s="3263" t="s">
        <v>2976</v>
      </c>
      <c r="C219" s="3275"/>
      <c r="D219" s="3275"/>
      <c r="E219" s="3275"/>
      <c r="F219" s="3264">
        <v>0.05</v>
      </c>
      <c r="G219" s="3281"/>
    </row>
    <row r="220" spans="1:7">
      <c r="A220" s="3274" t="s">
        <v>304</v>
      </c>
      <c r="B220" s="3263" t="s">
        <v>2982</v>
      </c>
      <c r="C220" s="3275"/>
      <c r="D220" s="3275"/>
      <c r="E220" s="3275"/>
      <c r="F220" s="3264">
        <v>0.05</v>
      </c>
      <c r="G220" s="3281"/>
    </row>
    <row r="221" spans="1:7">
      <c r="A221" s="3274" t="s">
        <v>304</v>
      </c>
      <c r="B221" s="3263" t="s">
        <v>2987</v>
      </c>
      <c r="C221" s="3275"/>
      <c r="D221" s="3275"/>
      <c r="E221" s="3275"/>
      <c r="F221" s="3264">
        <v>0.05</v>
      </c>
      <c r="G221" s="3281"/>
    </row>
    <row r="222" spans="1:7">
      <c r="A222" s="3274" t="s">
        <v>304</v>
      </c>
      <c r="B222" s="3263" t="s">
        <v>2991</v>
      </c>
      <c r="C222" s="3275"/>
      <c r="D222" s="3275"/>
      <c r="E222" s="3275"/>
      <c r="F222" s="3264">
        <v>0.05</v>
      </c>
      <c r="G222" s="3281"/>
    </row>
    <row r="223" spans="1:7">
      <c r="A223" s="3274" t="s">
        <v>304</v>
      </c>
      <c r="B223" s="3263" t="s">
        <v>2996</v>
      </c>
      <c r="C223" s="3275"/>
      <c r="D223" s="3275"/>
      <c r="E223" s="3275"/>
      <c r="F223" s="3264">
        <v>0.05</v>
      </c>
      <c r="G223" s="3281"/>
    </row>
    <row r="224" spans="1:7">
      <c r="A224" s="3274" t="s">
        <v>304</v>
      </c>
      <c r="B224" s="3263" t="s">
        <v>3001</v>
      </c>
      <c r="C224" s="3275"/>
      <c r="D224" s="3275"/>
      <c r="E224" s="3275"/>
      <c r="F224" s="3264">
        <v>0.05</v>
      </c>
      <c r="G224" s="3281"/>
    </row>
    <row r="225" spans="1:7">
      <c r="A225" s="3274" t="s">
        <v>304</v>
      </c>
      <c r="B225" s="3263" t="s">
        <v>3006</v>
      </c>
      <c r="C225" s="3275"/>
      <c r="D225" s="3275"/>
      <c r="E225" s="3275"/>
      <c r="F225" s="3264">
        <v>0.05</v>
      </c>
      <c r="G225" s="3281"/>
    </row>
    <row r="226" spans="1:7">
      <c r="A226" s="3274" t="s">
        <v>304</v>
      </c>
      <c r="B226" s="3263" t="s">
        <v>3208</v>
      </c>
      <c r="C226" s="3275"/>
      <c r="D226" s="3275"/>
      <c r="E226" s="3275"/>
      <c r="F226" s="3264">
        <v>0.05</v>
      </c>
      <c r="G226" s="3281"/>
    </row>
    <row r="227" spans="1:7">
      <c r="A227" s="3274" t="s">
        <v>304</v>
      </c>
      <c r="B227" s="3263" t="s">
        <v>3209</v>
      </c>
      <c r="C227" s="3275"/>
      <c r="D227" s="3275"/>
      <c r="E227" s="3275"/>
      <c r="F227" s="3264">
        <v>0.05</v>
      </c>
      <c r="G227" s="3281"/>
    </row>
    <row r="228" spans="1:7">
      <c r="A228" s="3274" t="s">
        <v>304</v>
      </c>
      <c r="B228" s="3263" t="s">
        <v>3210</v>
      </c>
      <c r="C228" s="3275"/>
      <c r="D228" s="3275"/>
      <c r="E228" s="3275"/>
      <c r="F228" s="3264">
        <v>0.05</v>
      </c>
      <c r="G228" s="3281"/>
    </row>
    <row r="229" spans="1:7">
      <c r="A229" s="3274" t="s">
        <v>304</v>
      </c>
      <c r="B229" s="3263" t="s">
        <v>3211</v>
      </c>
      <c r="C229" s="3275"/>
      <c r="D229" s="3275"/>
      <c r="E229" s="3275"/>
      <c r="F229" s="3264">
        <v>0.05</v>
      </c>
      <c r="G229" s="3281"/>
    </row>
    <row r="230" spans="1:7">
      <c r="A230" s="3274" t="s">
        <v>304</v>
      </c>
      <c r="B230" s="3263" t="s">
        <v>3212</v>
      </c>
      <c r="C230" s="3275"/>
      <c r="D230" s="3275"/>
      <c r="E230" s="3275"/>
      <c r="F230" s="3264">
        <v>0.05</v>
      </c>
      <c r="G230" s="3281"/>
    </row>
    <row r="231" spans="1:7">
      <c r="A231" s="3274" t="s">
        <v>304</v>
      </c>
      <c r="B231" s="3263" t="s">
        <v>3213</v>
      </c>
      <c r="C231" s="3275"/>
      <c r="D231" s="3275"/>
      <c r="E231" s="3275"/>
      <c r="F231" s="3264">
        <v>0.05</v>
      </c>
      <c r="G231" s="3281"/>
    </row>
    <row r="232" spans="1:7">
      <c r="A232" s="3274" t="s">
        <v>304</v>
      </c>
      <c r="B232" s="3263" t="s">
        <v>3214</v>
      </c>
      <c r="C232" s="3275"/>
      <c r="D232" s="3275"/>
      <c r="E232" s="3275"/>
      <c r="F232" s="3264">
        <v>0.05</v>
      </c>
      <c r="G232" s="3281"/>
    </row>
    <row r="233" spans="1:7" ht="14.25" thickBot="1">
      <c r="A233" s="3277" t="s">
        <v>304</v>
      </c>
      <c r="B233" s="3267" t="s">
        <v>3215</v>
      </c>
      <c r="C233" s="3269"/>
      <c r="D233" s="3269"/>
      <c r="E233" s="3269"/>
      <c r="F233" s="3268">
        <v>0.05</v>
      </c>
      <c r="G233" s="3282"/>
    </row>
    <row r="234" spans="1:7">
      <c r="A234" s="3273" t="s">
        <v>305</v>
      </c>
      <c r="B234" s="3259" t="s">
        <v>2864</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2884</v>
      </c>
      <c r="C238" s="3264">
        <v>0.14899999999999999</v>
      </c>
      <c r="D238" s="3264">
        <v>0.14899999999999999</v>
      </c>
      <c r="E238" s="3264">
        <v>0.15</v>
      </c>
      <c r="F238" s="3264">
        <v>0.15</v>
      </c>
      <c r="G238" s="3265">
        <v>0.15</v>
      </c>
    </row>
    <row r="239" spans="1:7">
      <c r="A239" s="3274" t="s">
        <v>305</v>
      </c>
      <c r="B239" s="3263" t="s">
        <v>2888</v>
      </c>
      <c r="C239" s="3264">
        <v>0.15</v>
      </c>
      <c r="D239" s="3264">
        <v>0.15</v>
      </c>
      <c r="E239" s="3264">
        <v>0.15</v>
      </c>
      <c r="F239" s="3264">
        <v>0.15</v>
      </c>
      <c r="G239" s="3265">
        <v>0.15</v>
      </c>
    </row>
    <row r="240" spans="1:7">
      <c r="A240" s="3274" t="s">
        <v>305</v>
      </c>
      <c r="B240" s="3263" t="s">
        <v>2893</v>
      </c>
      <c r="C240" s="3264">
        <v>0.15</v>
      </c>
      <c r="D240" s="3264">
        <v>0.15</v>
      </c>
      <c r="E240" s="3264">
        <v>0.15</v>
      </c>
      <c r="F240" s="3264">
        <v>0.15</v>
      </c>
      <c r="G240" s="3265">
        <v>0.15</v>
      </c>
    </row>
    <row r="241" spans="1:7">
      <c r="A241" s="3274" t="s">
        <v>305</v>
      </c>
      <c r="B241" s="3263" t="s">
        <v>2897</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2903</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2911</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2916</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2924</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2937</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2946</v>
      </c>
      <c r="C258" s="3264">
        <v>0.14299999999999999</v>
      </c>
      <c r="D258" s="3264">
        <v>0.14299999999999999</v>
      </c>
      <c r="E258" s="3264">
        <v>0.15</v>
      </c>
      <c r="F258" s="3264">
        <v>0.14799999999999999</v>
      </c>
      <c r="G258" s="3265">
        <v>0.14599999999999999</v>
      </c>
    </row>
    <row r="259" spans="1:7">
      <c r="A259" s="3274" t="s">
        <v>305</v>
      </c>
      <c r="B259" s="3263" t="s">
        <v>2950</v>
      </c>
      <c r="C259" s="3264">
        <v>0.14399999999999999</v>
      </c>
      <c r="D259" s="3264">
        <v>0.14399999999999999</v>
      </c>
      <c r="E259" s="3264">
        <v>0.14899999999999999</v>
      </c>
      <c r="F259" s="3264">
        <v>0.14699999999999999</v>
      </c>
      <c r="G259" s="3265">
        <v>0.14599999999999999</v>
      </c>
    </row>
    <row r="260" spans="1:7">
      <c r="A260" s="3274" t="s">
        <v>305</v>
      </c>
      <c r="B260" s="3263" t="s">
        <v>2957</v>
      </c>
      <c r="C260" s="3264">
        <v>0.109</v>
      </c>
      <c r="D260" s="3264">
        <v>0.111</v>
      </c>
      <c r="E260" s="3264">
        <v>0.13100000000000001</v>
      </c>
      <c r="F260" s="3264">
        <v>0.126</v>
      </c>
      <c r="G260" s="3265">
        <v>0.11899999999999999</v>
      </c>
    </row>
    <row r="261" spans="1:7">
      <c r="A261" s="3274" t="s">
        <v>305</v>
      </c>
      <c r="B261" s="3263" t="s">
        <v>2964</v>
      </c>
      <c r="C261" s="3264">
        <v>0.1</v>
      </c>
      <c r="D261" s="3264">
        <v>0.1</v>
      </c>
      <c r="E261" s="3264">
        <v>0.11799999999999999</v>
      </c>
      <c r="F261" s="3264">
        <v>0.108</v>
      </c>
      <c r="G261" s="3265">
        <v>0.107</v>
      </c>
    </row>
    <row r="262" spans="1:7">
      <c r="A262" s="3274" t="s">
        <v>305</v>
      </c>
      <c r="B262" s="3263" t="s">
        <v>2970</v>
      </c>
      <c r="C262" s="3264">
        <v>0.1</v>
      </c>
      <c r="D262" s="3264">
        <v>0.1</v>
      </c>
      <c r="E262" s="3264">
        <v>0.1</v>
      </c>
      <c r="F262" s="3264">
        <v>0.14099999999999999</v>
      </c>
      <c r="G262" s="3265">
        <v>0.1</v>
      </c>
    </row>
    <row r="263" spans="1:7">
      <c r="A263" s="3274" t="s">
        <v>305</v>
      </c>
      <c r="B263" s="3263" t="s">
        <v>2977</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2988</v>
      </c>
      <c r="C265" s="3275"/>
      <c r="D265" s="3275"/>
      <c r="E265" s="3275"/>
      <c r="F265" s="3264">
        <v>0.05</v>
      </c>
      <c r="G265" s="3281"/>
    </row>
    <row r="266" spans="1:7">
      <c r="A266" s="3274" t="s">
        <v>305</v>
      </c>
      <c r="B266" s="3263" t="s">
        <v>2992</v>
      </c>
      <c r="C266" s="3275"/>
      <c r="D266" s="3275"/>
      <c r="E266" s="3275"/>
      <c r="F266" s="3264">
        <v>0.05</v>
      </c>
      <c r="G266" s="3281"/>
    </row>
    <row r="267" spans="1:7">
      <c r="A267" s="3274" t="s">
        <v>305</v>
      </c>
      <c r="B267" s="3263" t="s">
        <v>2997</v>
      </c>
      <c r="C267" s="3275"/>
      <c r="D267" s="3275"/>
      <c r="E267" s="3275"/>
      <c r="F267" s="3264">
        <v>0.05</v>
      </c>
      <c r="G267" s="3281"/>
    </row>
    <row r="268" spans="1:7">
      <c r="A268" s="3274" t="s">
        <v>305</v>
      </c>
      <c r="B268" s="3263" t="s">
        <v>3002</v>
      </c>
      <c r="C268" s="3275"/>
      <c r="D268" s="3275"/>
      <c r="E268" s="3275"/>
      <c r="F268" s="3264">
        <v>0.05</v>
      </c>
      <c r="G268" s="3281"/>
    </row>
    <row r="269" spans="1:7">
      <c r="A269" s="3274" t="s">
        <v>305</v>
      </c>
      <c r="B269" s="3263" t="s">
        <v>3007</v>
      </c>
      <c r="C269" s="3275"/>
      <c r="D269" s="3275"/>
      <c r="E269" s="3275"/>
      <c r="F269" s="3264">
        <v>0.05</v>
      </c>
      <c r="G269" s="3281"/>
    </row>
    <row r="270" spans="1:7">
      <c r="A270" s="3274" t="s">
        <v>305</v>
      </c>
      <c r="B270" s="3263" t="s">
        <v>3012</v>
      </c>
      <c r="C270" s="3275"/>
      <c r="D270" s="3275"/>
      <c r="E270" s="3275"/>
      <c r="F270" s="3264">
        <v>0.05</v>
      </c>
      <c r="G270" s="3281"/>
    </row>
    <row r="271" spans="1:7">
      <c r="A271" s="3274" t="s">
        <v>305</v>
      </c>
      <c r="B271" s="3263" t="s">
        <v>3216</v>
      </c>
      <c r="C271" s="3275"/>
      <c r="D271" s="3275"/>
      <c r="E271" s="3275"/>
      <c r="F271" s="3264">
        <v>0.05</v>
      </c>
      <c r="G271" s="3281"/>
    </row>
    <row r="272" spans="1:7">
      <c r="A272" s="3274" t="s">
        <v>305</v>
      </c>
      <c r="B272" s="3263" t="s">
        <v>3217</v>
      </c>
      <c r="C272" s="3275"/>
      <c r="D272" s="3275"/>
      <c r="E272" s="3275"/>
      <c r="F272" s="3264">
        <v>0.05</v>
      </c>
      <c r="G272" s="3281"/>
    </row>
    <row r="273" spans="1:7">
      <c r="A273" s="3274" t="s">
        <v>305</v>
      </c>
      <c r="B273" s="3263" t="s">
        <v>3218</v>
      </c>
      <c r="C273" s="3275"/>
      <c r="D273" s="3275"/>
      <c r="E273" s="3275"/>
      <c r="F273" s="3264">
        <v>0.05</v>
      </c>
      <c r="G273" s="3281"/>
    </row>
    <row r="274" spans="1:7">
      <c r="A274" s="3274" t="s">
        <v>305</v>
      </c>
      <c r="B274" s="3263" t="s">
        <v>3219</v>
      </c>
      <c r="C274" s="3275"/>
      <c r="D274" s="3275"/>
      <c r="E274" s="3275"/>
      <c r="F274" s="3264">
        <v>0.05</v>
      </c>
      <c r="G274" s="3281"/>
    </row>
    <row r="275" spans="1:7">
      <c r="A275" s="3274" t="s">
        <v>305</v>
      </c>
      <c r="B275" s="3263" t="s">
        <v>3220</v>
      </c>
      <c r="C275" s="3275"/>
      <c r="D275" s="3275"/>
      <c r="E275" s="3275"/>
      <c r="F275" s="3264">
        <v>0.05</v>
      </c>
      <c r="G275" s="3281"/>
    </row>
    <row r="276" spans="1:7" ht="14.25" thickBot="1">
      <c r="A276" s="3277" t="s">
        <v>305</v>
      </c>
      <c r="B276" s="3267" t="s">
        <v>3221</v>
      </c>
      <c r="C276" s="3269"/>
      <c r="D276" s="3269"/>
      <c r="E276" s="3269"/>
      <c r="F276" s="3268">
        <v>0.05</v>
      </c>
      <c r="G276" s="3282"/>
    </row>
    <row r="277" spans="1:7">
      <c r="A277" s="3273" t="s">
        <v>306</v>
      </c>
      <c r="B277" s="3259" t="s">
        <v>2865</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2877</v>
      </c>
      <c r="C279" s="3264">
        <v>0.15</v>
      </c>
      <c r="D279" s="3264">
        <v>0.15</v>
      </c>
      <c r="E279" s="3264">
        <v>0.15</v>
      </c>
      <c r="F279" s="3264">
        <v>0.15</v>
      </c>
      <c r="G279" s="3265">
        <v>0.15</v>
      </c>
    </row>
    <row r="280" spans="1:7">
      <c r="A280" s="3274" t="s">
        <v>306</v>
      </c>
      <c r="B280" s="3263" t="s">
        <v>2881</v>
      </c>
      <c r="C280" s="3264">
        <v>0.15</v>
      </c>
      <c r="D280" s="3264">
        <v>0.15</v>
      </c>
      <c r="E280" s="3264">
        <v>0.15</v>
      </c>
      <c r="F280" s="3264">
        <v>0.15</v>
      </c>
      <c r="G280" s="3265">
        <v>0.15</v>
      </c>
    </row>
    <row r="281" spans="1:7">
      <c r="A281" s="3274" t="s">
        <v>306</v>
      </c>
      <c r="B281" s="3263" t="s">
        <v>2885</v>
      </c>
      <c r="C281" s="3264">
        <v>0.15</v>
      </c>
      <c r="D281" s="3264">
        <v>0.15</v>
      </c>
      <c r="E281" s="3264">
        <v>0.15</v>
      </c>
      <c r="F281" s="3264">
        <v>0.15</v>
      </c>
      <c r="G281" s="3265">
        <v>0.15</v>
      </c>
    </row>
    <row r="282" spans="1:7">
      <c r="A282" s="3274" t="s">
        <v>306</v>
      </c>
      <c r="B282" s="3263" t="s">
        <v>2889</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2904</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2909</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2919</v>
      </c>
      <c r="C293" s="3264">
        <v>0.15</v>
      </c>
      <c r="D293" s="3264">
        <v>0.15</v>
      </c>
      <c r="E293" s="3264">
        <v>0.15</v>
      </c>
      <c r="F293" s="3264">
        <v>0.14499999999999999</v>
      </c>
      <c r="G293" s="3265">
        <v>0.15</v>
      </c>
    </row>
    <row r="294" spans="1:7">
      <c r="A294" s="3274" t="s">
        <v>306</v>
      </c>
      <c r="B294" s="3263" t="s">
        <v>2921</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2938</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2951</v>
      </c>
      <c r="C302" s="3264">
        <v>0.15</v>
      </c>
      <c r="D302" s="3264">
        <v>0.15</v>
      </c>
      <c r="E302" s="3264">
        <v>0.15</v>
      </c>
      <c r="F302" s="3264">
        <v>0.14699999999999999</v>
      </c>
      <c r="G302" s="3265">
        <v>0.15</v>
      </c>
    </row>
    <row r="303" spans="1:7">
      <c r="A303" s="3274" t="s">
        <v>306</v>
      </c>
      <c r="B303" s="3263" t="s">
        <v>2958</v>
      </c>
      <c r="C303" s="3264">
        <v>0.15</v>
      </c>
      <c r="D303" s="3264">
        <v>0.15</v>
      </c>
      <c r="E303" s="3264">
        <v>0.15</v>
      </c>
      <c r="F303" s="3264">
        <v>0.14199999999999999</v>
      </c>
      <c r="G303" s="3265">
        <v>0.15</v>
      </c>
    </row>
    <row r="304" spans="1:7">
      <c r="A304" s="3274" t="s">
        <v>306</v>
      </c>
      <c r="B304" s="3263" t="s">
        <v>2965</v>
      </c>
      <c r="C304" s="3264">
        <v>0.15</v>
      </c>
      <c r="D304" s="3264">
        <v>0.15</v>
      </c>
      <c r="E304" s="3264">
        <v>0.15</v>
      </c>
      <c r="F304" s="3264">
        <v>0.14499999999999999</v>
      </c>
      <c r="G304" s="3265">
        <v>0.15</v>
      </c>
    </row>
    <row r="305" spans="1:7">
      <c r="A305" s="3274" t="s">
        <v>306</v>
      </c>
      <c r="B305" s="3263" t="s">
        <v>2971</v>
      </c>
      <c r="C305" s="3264">
        <v>0.15</v>
      </c>
      <c r="D305" s="3264">
        <v>0.15</v>
      </c>
      <c r="E305" s="3264">
        <v>0.15</v>
      </c>
      <c r="F305" s="3264">
        <v>0.111</v>
      </c>
      <c r="G305" s="3265">
        <v>0.15</v>
      </c>
    </row>
    <row r="306" spans="1:7">
      <c r="A306" s="3274" t="s">
        <v>306</v>
      </c>
      <c r="B306" s="3263" t="s">
        <v>2978</v>
      </c>
      <c r="C306" s="3264">
        <v>0.15</v>
      </c>
      <c r="D306" s="3264">
        <v>0.15</v>
      </c>
      <c r="E306" s="3264">
        <v>0.15</v>
      </c>
      <c r="F306" s="3264">
        <v>0.126</v>
      </c>
      <c r="G306" s="3265">
        <v>0.15</v>
      </c>
    </row>
    <row r="307" spans="1:7">
      <c r="A307" s="3274" t="s">
        <v>306</v>
      </c>
      <c r="B307" s="3263" t="s">
        <v>2983</v>
      </c>
      <c r="C307" s="3264">
        <v>0.15</v>
      </c>
      <c r="D307" s="3264">
        <v>0.15</v>
      </c>
      <c r="E307" s="3264">
        <v>0.15</v>
      </c>
      <c r="F307" s="3264">
        <v>0.12</v>
      </c>
      <c r="G307" s="3265">
        <v>0.15</v>
      </c>
    </row>
    <row r="308" spans="1:7">
      <c r="A308" s="3274" t="s">
        <v>306</v>
      </c>
      <c r="B308" s="3263" t="s">
        <v>2989</v>
      </c>
      <c r="C308" s="3264">
        <v>0.15</v>
      </c>
      <c r="D308" s="3264">
        <v>0.15</v>
      </c>
      <c r="E308" s="3264">
        <v>0.15</v>
      </c>
      <c r="F308" s="3264">
        <v>0.13</v>
      </c>
      <c r="G308" s="3265">
        <v>0.15</v>
      </c>
    </row>
    <row r="309" spans="1:7">
      <c r="A309" s="3274" t="s">
        <v>306</v>
      </c>
      <c r="B309" s="3263" t="s">
        <v>2993</v>
      </c>
      <c r="C309" s="3264">
        <v>0.15</v>
      </c>
      <c r="D309" s="3264">
        <v>0.15</v>
      </c>
      <c r="E309" s="3264">
        <v>0.15</v>
      </c>
      <c r="F309" s="3264">
        <v>0.14099999999999999</v>
      </c>
      <c r="G309" s="3265">
        <v>0.15</v>
      </c>
    </row>
    <row r="310" spans="1:7">
      <c r="A310" s="3274" t="s">
        <v>306</v>
      </c>
      <c r="B310" s="3263" t="s">
        <v>2998</v>
      </c>
      <c r="C310" s="3264">
        <v>0.15</v>
      </c>
      <c r="D310" s="3264">
        <v>0.15</v>
      </c>
      <c r="E310" s="3264">
        <v>0.15</v>
      </c>
      <c r="F310" s="3264">
        <v>0.15</v>
      </c>
      <c r="G310" s="3265">
        <v>0.15</v>
      </c>
    </row>
    <row r="311" spans="1:7">
      <c r="A311" s="3274" t="s">
        <v>306</v>
      </c>
      <c r="B311" s="3263" t="s">
        <v>3003</v>
      </c>
      <c r="C311" s="3264">
        <v>0.13200000000000001</v>
      </c>
      <c r="D311" s="3264">
        <v>0.13300000000000001</v>
      </c>
      <c r="E311" s="3264">
        <v>0.14499999999999999</v>
      </c>
      <c r="F311" s="3264">
        <v>0.14199999999999999</v>
      </c>
      <c r="G311" s="3265">
        <v>0.14000000000000001</v>
      </c>
    </row>
    <row r="312" spans="1:7">
      <c r="A312" s="3274" t="s">
        <v>306</v>
      </c>
      <c r="B312" s="3263" t="s">
        <v>3008</v>
      </c>
      <c r="C312" s="3264">
        <v>0.13800000000000001</v>
      </c>
      <c r="D312" s="3264">
        <v>0.14000000000000001</v>
      </c>
      <c r="E312" s="3264">
        <v>0.14599999999999999</v>
      </c>
      <c r="F312" s="3264">
        <v>0.14899999999999999</v>
      </c>
      <c r="G312" s="3265">
        <v>0.14199999999999999</v>
      </c>
    </row>
    <row r="313" spans="1:7">
      <c r="A313" s="3274" t="s">
        <v>306</v>
      </c>
      <c r="B313" s="3263" t="s">
        <v>3013</v>
      </c>
      <c r="C313" s="3264">
        <v>0.125</v>
      </c>
      <c r="D313" s="3264">
        <v>0.127</v>
      </c>
      <c r="E313" s="3264">
        <v>0.14399999999999999</v>
      </c>
      <c r="F313" s="3264">
        <v>0.115</v>
      </c>
      <c r="G313" s="3265">
        <v>0.13600000000000001</v>
      </c>
    </row>
    <row r="314" spans="1:7">
      <c r="A314" s="3274" t="s">
        <v>306</v>
      </c>
      <c r="B314" s="3263" t="s">
        <v>3222</v>
      </c>
      <c r="C314" s="3280"/>
      <c r="D314" s="3280"/>
      <c r="E314" s="3280"/>
      <c r="F314" s="3264">
        <v>0.05</v>
      </c>
      <c r="G314" s="3281"/>
    </row>
    <row r="315" spans="1:7">
      <c r="A315" s="3274" t="s">
        <v>306</v>
      </c>
      <c r="B315" s="3263" t="s">
        <v>3223</v>
      </c>
      <c r="C315" s="3280"/>
      <c r="D315" s="3280"/>
      <c r="E315" s="3280"/>
      <c r="F315" s="3264">
        <v>0.05</v>
      </c>
      <c r="G315" s="3281"/>
    </row>
    <row r="316" spans="1:7">
      <c r="A316" s="3274" t="s">
        <v>306</v>
      </c>
      <c r="B316" s="3263" t="s">
        <v>3224</v>
      </c>
      <c r="C316" s="3275"/>
      <c r="D316" s="3275"/>
      <c r="E316" s="3275"/>
      <c r="F316" s="3264">
        <v>0.05</v>
      </c>
      <c r="G316" s="3281"/>
    </row>
    <row r="317" spans="1:7">
      <c r="A317" s="3274" t="s">
        <v>306</v>
      </c>
      <c r="B317" s="3263" t="s">
        <v>3225</v>
      </c>
      <c r="C317" s="3275"/>
      <c r="D317" s="3275"/>
      <c r="E317" s="3275"/>
      <c r="F317" s="3264">
        <v>0.05</v>
      </c>
      <c r="G317" s="3281"/>
    </row>
    <row r="318" spans="1:7">
      <c r="A318" s="3274" t="s">
        <v>306</v>
      </c>
      <c r="B318" s="3263" t="s">
        <v>3226</v>
      </c>
      <c r="C318" s="3275"/>
      <c r="D318" s="3275"/>
      <c r="E318" s="3275"/>
      <c r="F318" s="3264">
        <v>0.05</v>
      </c>
      <c r="G318" s="3281"/>
    </row>
    <row r="319" spans="1:7">
      <c r="A319" s="3274" t="s">
        <v>306</v>
      </c>
      <c r="B319" s="3263" t="s">
        <v>3227</v>
      </c>
      <c r="C319" s="3275"/>
      <c r="D319" s="3275"/>
      <c r="E319" s="3275"/>
      <c r="F319" s="3264">
        <v>0.05</v>
      </c>
      <c r="G319" s="3281"/>
    </row>
    <row r="320" spans="1:7">
      <c r="A320" s="3274" t="s">
        <v>306</v>
      </c>
      <c r="B320" s="3263" t="s">
        <v>3228</v>
      </c>
      <c r="C320" s="3275"/>
      <c r="D320" s="3275"/>
      <c r="E320" s="3275"/>
      <c r="F320" s="3264">
        <v>0.05</v>
      </c>
      <c r="G320" s="3281"/>
    </row>
    <row r="321" spans="1:7">
      <c r="A321" s="3274" t="s">
        <v>306</v>
      </c>
      <c r="B321" s="3263" t="s">
        <v>3229</v>
      </c>
      <c r="C321" s="3275"/>
      <c r="D321" s="3275"/>
      <c r="E321" s="3275"/>
      <c r="F321" s="3264">
        <v>0.05</v>
      </c>
      <c r="G321" s="3281"/>
    </row>
    <row r="322" spans="1:7">
      <c r="A322" s="3274" t="s">
        <v>306</v>
      </c>
      <c r="B322" s="3263" t="s">
        <v>3230</v>
      </c>
      <c r="C322" s="3275"/>
      <c r="D322" s="3275"/>
      <c r="E322" s="3275"/>
      <c r="F322" s="3264">
        <v>0.05</v>
      </c>
      <c r="G322" s="3281"/>
    </row>
    <row r="323" spans="1:7">
      <c r="A323" s="3274" t="s">
        <v>306</v>
      </c>
      <c r="B323" s="3263" t="s">
        <v>3231</v>
      </c>
      <c r="C323" s="3275"/>
      <c r="D323" s="3275"/>
      <c r="E323" s="3275"/>
      <c r="F323" s="3264">
        <v>0.05</v>
      </c>
      <c r="G323" s="3281"/>
    </row>
    <row r="324" spans="1:7">
      <c r="A324" s="3274" t="s">
        <v>306</v>
      </c>
      <c r="B324" s="3263" t="s">
        <v>3232</v>
      </c>
      <c r="C324" s="3275"/>
      <c r="D324" s="3275"/>
      <c r="E324" s="3275"/>
      <c r="F324" s="3264">
        <v>0.05</v>
      </c>
      <c r="G324" s="3281"/>
    </row>
    <row r="325" spans="1:7">
      <c r="A325" s="3274" t="s">
        <v>306</v>
      </c>
      <c r="B325" s="3263" t="s">
        <v>3233</v>
      </c>
      <c r="C325" s="3275"/>
      <c r="D325" s="3275"/>
      <c r="E325" s="3275"/>
      <c r="F325" s="3264">
        <v>0.05</v>
      </c>
      <c r="G325" s="3281"/>
    </row>
    <row r="326" spans="1:7" ht="14.25" thickBot="1">
      <c r="A326" s="3277" t="s">
        <v>306</v>
      </c>
      <c r="B326" s="3267" t="s">
        <v>3234</v>
      </c>
      <c r="C326" s="3269"/>
      <c r="D326" s="3269"/>
      <c r="E326" s="3269"/>
      <c r="F326" s="3268">
        <v>0.05</v>
      </c>
      <c r="G326" s="3282"/>
    </row>
    <row r="327" spans="1:7">
      <c r="A327" s="3273" t="s">
        <v>307</v>
      </c>
      <c r="B327" s="3259" t="s">
        <v>2866</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2878</v>
      </c>
      <c r="C329" s="3264">
        <v>0.15</v>
      </c>
      <c r="D329" s="3264">
        <v>0.15</v>
      </c>
      <c r="E329" s="3264">
        <v>0.15</v>
      </c>
      <c r="F329" s="3264">
        <v>0.15</v>
      </c>
      <c r="G329" s="3265">
        <v>0.15</v>
      </c>
    </row>
    <row r="330" spans="1:7">
      <c r="A330" s="3274" t="s">
        <v>307</v>
      </c>
      <c r="B330" s="3263" t="s">
        <v>2882</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2890</v>
      </c>
      <c r="C332" s="3264">
        <v>0.15</v>
      </c>
      <c r="D332" s="3264">
        <v>0.15</v>
      </c>
      <c r="E332" s="3264">
        <v>0.15</v>
      </c>
      <c r="F332" s="3264">
        <v>0.15</v>
      </c>
      <c r="G332" s="3265">
        <v>0.15</v>
      </c>
    </row>
    <row r="333" spans="1:7">
      <c r="A333" s="3274" t="s">
        <v>307</v>
      </c>
      <c r="B333" s="3263" t="s">
        <v>2894</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2900</v>
      </c>
      <c r="C336" s="3264">
        <v>0.15</v>
      </c>
      <c r="D336" s="3264">
        <v>0.15</v>
      </c>
      <c r="E336" s="3264">
        <v>0.15</v>
      </c>
      <c r="F336" s="3264">
        <v>0.14199999999999999</v>
      </c>
      <c r="G336" s="3265">
        <v>0.15</v>
      </c>
    </row>
    <row r="337" spans="1:7">
      <c r="A337" s="3274" t="s">
        <v>307</v>
      </c>
      <c r="B337" s="3263" t="s">
        <v>2905</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2912</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2917</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2925</v>
      </c>
      <c r="C345" s="3264">
        <v>0.15</v>
      </c>
      <c r="D345" s="3264">
        <v>0.15</v>
      </c>
      <c r="E345" s="3264">
        <v>0.15</v>
      </c>
      <c r="F345" s="3264">
        <v>0.13800000000000001</v>
      </c>
      <c r="G345" s="3265">
        <v>0.15</v>
      </c>
    </row>
    <row r="346" spans="1:7">
      <c r="A346" s="3274" t="s">
        <v>307</v>
      </c>
      <c r="B346" s="3263" t="s">
        <v>2927</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2934</v>
      </c>
      <c r="C348" s="3264">
        <v>0.15</v>
      </c>
      <c r="D348" s="3264">
        <v>0.15</v>
      </c>
      <c r="E348" s="3264">
        <v>0.15</v>
      </c>
      <c r="F348" s="3264">
        <v>0.14399999999999999</v>
      </c>
      <c r="G348" s="3265">
        <v>0.15</v>
      </c>
    </row>
    <row r="349" spans="1:7">
      <c r="A349" s="3274" t="s">
        <v>307</v>
      </c>
      <c r="B349" s="3263" t="s">
        <v>2939</v>
      </c>
      <c r="C349" s="3264">
        <v>0.15</v>
      </c>
      <c r="D349" s="3264">
        <v>0.15</v>
      </c>
      <c r="E349" s="3264">
        <v>0.15</v>
      </c>
      <c r="F349" s="3264">
        <v>0.15</v>
      </c>
      <c r="G349" s="3265">
        <v>0.15</v>
      </c>
    </row>
    <row r="350" spans="1:7">
      <c r="A350" s="3274" t="s">
        <v>307</v>
      </c>
      <c r="B350" s="3263" t="s">
        <v>2942</v>
      </c>
      <c r="C350" s="3264">
        <v>0.15</v>
      </c>
      <c r="D350" s="3264">
        <v>0.15</v>
      </c>
      <c r="E350" s="3264">
        <v>0.15</v>
      </c>
      <c r="F350" s="3264">
        <v>0.14699999999999999</v>
      </c>
      <c r="G350" s="3265">
        <v>0.15</v>
      </c>
    </row>
    <row r="351" spans="1:7">
      <c r="A351" s="3274" t="s">
        <v>307</v>
      </c>
      <c r="B351" s="3263" t="s">
        <v>2947</v>
      </c>
      <c r="C351" s="3264">
        <v>0.15</v>
      </c>
      <c r="D351" s="3264">
        <v>0.15</v>
      </c>
      <c r="E351" s="3264">
        <v>0.15</v>
      </c>
      <c r="F351" s="3264">
        <v>0.13</v>
      </c>
      <c r="G351" s="3265">
        <v>0.15</v>
      </c>
    </row>
    <row r="352" spans="1:7">
      <c r="A352" s="3274" t="s">
        <v>307</v>
      </c>
      <c r="B352" s="3263" t="s">
        <v>2952</v>
      </c>
      <c r="C352" s="3264">
        <v>0.15</v>
      </c>
      <c r="D352" s="3264">
        <v>0.15</v>
      </c>
      <c r="E352" s="3264">
        <v>0.15</v>
      </c>
      <c r="F352" s="3264">
        <v>0.14599999999999999</v>
      </c>
      <c r="G352" s="3265">
        <v>0.15</v>
      </c>
    </row>
    <row r="353" spans="1:7">
      <c r="A353" s="3274" t="s">
        <v>307</v>
      </c>
      <c r="B353" s="3263" t="s">
        <v>2959</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2972</v>
      </c>
      <c r="C355" s="3264">
        <v>0.15</v>
      </c>
      <c r="D355" s="3264">
        <v>0.15</v>
      </c>
      <c r="E355" s="3264">
        <v>0.15</v>
      </c>
      <c r="F355" s="3264">
        <v>0.15</v>
      </c>
      <c r="G355" s="3265">
        <v>0.15</v>
      </c>
    </row>
    <row r="356" spans="1:7">
      <c r="A356" s="3274" t="s">
        <v>307</v>
      </c>
      <c r="B356" s="3263" t="s">
        <v>2979</v>
      </c>
      <c r="C356" s="3264">
        <v>0.15</v>
      </c>
      <c r="D356" s="3264">
        <v>0.15</v>
      </c>
      <c r="E356" s="3264">
        <v>0.15</v>
      </c>
      <c r="F356" s="3264">
        <v>0.15</v>
      </c>
      <c r="G356" s="3265">
        <v>0.15</v>
      </c>
    </row>
    <row r="357" spans="1:7" ht="14.25" thickBot="1">
      <c r="A357" s="3277" t="s">
        <v>307</v>
      </c>
      <c r="B357" s="3267" t="s">
        <v>2984</v>
      </c>
      <c r="C357" s="3268">
        <v>0.126</v>
      </c>
      <c r="D357" s="3268">
        <v>0.127</v>
      </c>
      <c r="E357" s="3268">
        <v>0.14299999999999999</v>
      </c>
      <c r="F357" s="3268">
        <v>0.125</v>
      </c>
      <c r="G357" s="3270">
        <v>0.129</v>
      </c>
    </row>
    <row r="358" spans="1:7">
      <c r="A358" s="3273" t="s">
        <v>2853</v>
      </c>
      <c r="B358" s="3259" t="s">
        <v>2867</v>
      </c>
      <c r="C358" s="3260">
        <v>0.15</v>
      </c>
      <c r="D358" s="3260">
        <v>0.15</v>
      </c>
      <c r="E358" s="3260">
        <v>0.15</v>
      </c>
      <c r="F358" s="3260">
        <v>0.15</v>
      </c>
      <c r="G358" s="3261">
        <v>0.15</v>
      </c>
    </row>
    <row r="359" spans="1:7">
      <c r="A359" s="3274" t="s">
        <v>2853</v>
      </c>
      <c r="B359" s="3263" t="s">
        <v>2873</v>
      </c>
      <c r="C359" s="3264">
        <v>0.1</v>
      </c>
      <c r="D359" s="3264">
        <v>0.1</v>
      </c>
      <c r="E359" s="3264">
        <v>0.1</v>
      </c>
      <c r="F359" s="3264">
        <v>0.1</v>
      </c>
      <c r="G359" s="3265">
        <v>0.1</v>
      </c>
    </row>
    <row r="360" spans="1:7">
      <c r="A360" s="3274" t="s">
        <v>2853</v>
      </c>
      <c r="B360" s="3263" t="s">
        <v>2879</v>
      </c>
      <c r="C360" s="3264">
        <v>0.15</v>
      </c>
      <c r="D360" s="3264">
        <v>0.15</v>
      </c>
      <c r="E360" s="3264">
        <v>0.15</v>
      </c>
      <c r="F360" s="3264">
        <v>0.14899999999999999</v>
      </c>
      <c r="G360" s="3265">
        <v>0.15</v>
      </c>
    </row>
    <row r="361" spans="1:7">
      <c r="A361" s="3274" t="s">
        <v>2853</v>
      </c>
      <c r="B361" s="3263" t="s">
        <v>153</v>
      </c>
      <c r="C361" s="3264">
        <v>0.15</v>
      </c>
      <c r="D361" s="3264">
        <v>0.15</v>
      </c>
      <c r="E361" s="3264">
        <v>0.15</v>
      </c>
      <c r="F361" s="3264">
        <v>0.115</v>
      </c>
      <c r="G361" s="3265">
        <v>0.15</v>
      </c>
    </row>
    <row r="362" spans="1:7">
      <c r="A362" s="3274" t="s">
        <v>2853</v>
      </c>
      <c r="B362" s="3263" t="s">
        <v>2886</v>
      </c>
      <c r="C362" s="3264">
        <v>0.15</v>
      </c>
      <c r="D362" s="3264">
        <v>0.15</v>
      </c>
      <c r="E362" s="3264">
        <v>0.15</v>
      </c>
      <c r="F362" s="3264">
        <v>0.106</v>
      </c>
      <c r="G362" s="3265">
        <v>0.15</v>
      </c>
    </row>
    <row r="363" spans="1:7">
      <c r="A363" s="3274" t="s">
        <v>2853</v>
      </c>
      <c r="B363" s="3263" t="s">
        <v>2891</v>
      </c>
      <c r="C363" s="3264">
        <v>0.15</v>
      </c>
      <c r="D363" s="3264">
        <v>0.15</v>
      </c>
      <c r="E363" s="3264">
        <v>0.15</v>
      </c>
      <c r="F363" s="3264">
        <v>0.14699999999999999</v>
      </c>
      <c r="G363" s="3265">
        <v>0.15</v>
      </c>
    </row>
    <row r="364" spans="1:7">
      <c r="A364" s="3274" t="s">
        <v>2853</v>
      </c>
      <c r="B364" s="3263" t="s">
        <v>2895</v>
      </c>
      <c r="C364" s="3264">
        <v>0.15</v>
      </c>
      <c r="D364" s="3264">
        <v>0.15</v>
      </c>
      <c r="E364" s="3264">
        <v>0.15</v>
      </c>
      <c r="F364" s="3264">
        <v>0.14799999999999999</v>
      </c>
      <c r="G364" s="3265">
        <v>0.15</v>
      </c>
    </row>
    <row r="365" spans="1:7">
      <c r="A365" s="3274" t="s">
        <v>2853</v>
      </c>
      <c r="B365" s="3263" t="s">
        <v>200</v>
      </c>
      <c r="C365" s="3264">
        <v>0.15</v>
      </c>
      <c r="D365" s="3264">
        <v>0.15</v>
      </c>
      <c r="E365" s="3264">
        <v>0.15</v>
      </c>
      <c r="F365" s="3264">
        <v>0.15</v>
      </c>
      <c r="G365" s="3265">
        <v>0.15</v>
      </c>
    </row>
    <row r="366" spans="1:7">
      <c r="A366" s="3274" t="s">
        <v>2853</v>
      </c>
      <c r="B366" s="3263" t="s">
        <v>2898</v>
      </c>
      <c r="C366" s="3264">
        <v>0.15</v>
      </c>
      <c r="D366" s="3264">
        <v>0.15</v>
      </c>
      <c r="E366" s="3264">
        <v>0.15</v>
      </c>
      <c r="F366" s="3264">
        <v>0.15</v>
      </c>
      <c r="G366" s="3265">
        <v>0.15</v>
      </c>
    </row>
    <row r="367" spans="1:7">
      <c r="A367" s="3274" t="s">
        <v>2853</v>
      </c>
      <c r="B367" s="3263" t="s">
        <v>2901</v>
      </c>
      <c r="C367" s="3264">
        <v>0.15</v>
      </c>
      <c r="D367" s="3264">
        <v>0.15</v>
      </c>
      <c r="E367" s="3264">
        <v>0.15</v>
      </c>
      <c r="F367" s="3264">
        <v>0.14699999999999999</v>
      </c>
      <c r="G367" s="3265">
        <v>0.15</v>
      </c>
    </row>
    <row r="368" spans="1:7">
      <c r="A368" s="3274" t="s">
        <v>2853</v>
      </c>
      <c r="B368" s="3263" t="s">
        <v>2906</v>
      </c>
      <c r="C368" s="3264">
        <v>0.15</v>
      </c>
      <c r="D368" s="3264">
        <v>0.15</v>
      </c>
      <c r="E368" s="3264">
        <v>0.15</v>
      </c>
      <c r="F368" s="3264">
        <v>0.13600000000000001</v>
      </c>
      <c r="G368" s="3265">
        <v>0.15</v>
      </c>
    </row>
    <row r="369" spans="1:7">
      <c r="A369" s="3274" t="s">
        <v>2853</v>
      </c>
      <c r="B369" s="3263" t="s">
        <v>214</v>
      </c>
      <c r="C369" s="3264">
        <v>0.15</v>
      </c>
      <c r="D369" s="3264">
        <v>0.15</v>
      </c>
      <c r="E369" s="3264">
        <v>0.15</v>
      </c>
      <c r="F369" s="3264">
        <v>0.14399999999999999</v>
      </c>
      <c r="G369" s="3265">
        <v>0.15</v>
      </c>
    </row>
    <row r="370" spans="1:7">
      <c r="A370" s="3274" t="s">
        <v>2853</v>
      </c>
      <c r="B370" s="3263" t="s">
        <v>221</v>
      </c>
      <c r="C370" s="3264">
        <v>0.15</v>
      </c>
      <c r="D370" s="3264">
        <v>0.15</v>
      </c>
      <c r="E370" s="3264">
        <v>0.15</v>
      </c>
      <c r="F370" s="3264">
        <v>0.14599999999999999</v>
      </c>
      <c r="G370" s="3265">
        <v>0.15</v>
      </c>
    </row>
    <row r="371" spans="1:7">
      <c r="A371" s="3274" t="s">
        <v>2853</v>
      </c>
      <c r="B371" s="3263" t="s">
        <v>229</v>
      </c>
      <c r="C371" s="3264">
        <v>0.15</v>
      </c>
      <c r="D371" s="3264">
        <v>0.15</v>
      </c>
      <c r="E371" s="3264">
        <v>0.15</v>
      </c>
      <c r="F371" s="3264">
        <v>0.12</v>
      </c>
      <c r="G371" s="3265">
        <v>0.15</v>
      </c>
    </row>
    <row r="372" spans="1:7">
      <c r="A372" s="3274" t="s">
        <v>2853</v>
      </c>
      <c r="B372" s="3263" t="s">
        <v>2914</v>
      </c>
      <c r="C372" s="3264">
        <v>0.15</v>
      </c>
      <c r="D372" s="3264">
        <v>0.15</v>
      </c>
      <c r="E372" s="3264">
        <v>0.15</v>
      </c>
      <c r="F372" s="3264">
        <v>0.14299999999999999</v>
      </c>
      <c r="G372" s="3265">
        <v>0.15</v>
      </c>
    </row>
    <row r="373" spans="1:7">
      <c r="A373" s="3274" t="s">
        <v>2853</v>
      </c>
      <c r="B373" s="3263" t="s">
        <v>258</v>
      </c>
      <c r="C373" s="3264">
        <v>0.15</v>
      </c>
      <c r="D373" s="3264">
        <v>0.15</v>
      </c>
      <c r="E373" s="3264">
        <v>0.15</v>
      </c>
      <c r="F373" s="3264">
        <v>0.14599999999999999</v>
      </c>
      <c r="G373" s="3265">
        <v>0.15</v>
      </c>
    </row>
    <row r="374" spans="1:7">
      <c r="A374" s="3274" t="s">
        <v>2853</v>
      </c>
      <c r="B374" s="3263" t="s">
        <v>266</v>
      </c>
      <c r="C374" s="3264">
        <v>0.15</v>
      </c>
      <c r="D374" s="3264">
        <v>0.15</v>
      </c>
      <c r="E374" s="3264">
        <v>0.15</v>
      </c>
      <c r="F374" s="3264">
        <v>0.14399999999999999</v>
      </c>
      <c r="G374" s="3265">
        <v>0.15</v>
      </c>
    </row>
    <row r="375" spans="1:7">
      <c r="A375" s="3274" t="s">
        <v>2853</v>
      </c>
      <c r="B375" s="3263" t="s">
        <v>2922</v>
      </c>
      <c r="C375" s="3264">
        <v>0.15</v>
      </c>
      <c r="D375" s="3264">
        <v>0.15</v>
      </c>
      <c r="E375" s="3264">
        <v>0.15</v>
      </c>
      <c r="F375" s="3264">
        <v>0.13</v>
      </c>
      <c r="G375" s="3265">
        <v>0.15</v>
      </c>
    </row>
    <row r="376" spans="1:7">
      <c r="A376" s="3274" t="s">
        <v>2853</v>
      </c>
      <c r="B376" s="3263" t="s">
        <v>277</v>
      </c>
      <c r="C376" s="3264">
        <v>0.15</v>
      </c>
      <c r="D376" s="3264">
        <v>0.15</v>
      </c>
      <c r="E376" s="3264">
        <v>0.15</v>
      </c>
      <c r="F376" s="3264">
        <v>0.14199999999999999</v>
      </c>
      <c r="G376" s="3265">
        <v>0.15</v>
      </c>
    </row>
    <row r="377" spans="1:7" ht="14.25" thickBot="1">
      <c r="A377" s="3277" t="s">
        <v>2853</v>
      </c>
      <c r="B377" s="3267" t="s">
        <v>2928</v>
      </c>
      <c r="C377" s="3268">
        <v>0.15</v>
      </c>
      <c r="D377" s="3268">
        <v>0.15</v>
      </c>
      <c r="E377" s="3268">
        <v>0.15</v>
      </c>
      <c r="F377" s="3268">
        <v>0.14000000000000001</v>
      </c>
      <c r="G377" s="3270">
        <v>0.15</v>
      </c>
    </row>
    <row r="378" spans="1:7">
      <c r="A378" s="3273" t="s">
        <v>2854</v>
      </c>
      <c r="B378" s="3259" t="s">
        <v>2868</v>
      </c>
      <c r="C378" s="3260">
        <v>0.15</v>
      </c>
      <c r="D378" s="3260">
        <v>0.15</v>
      </c>
      <c r="E378" s="3260">
        <v>0.15</v>
      </c>
      <c r="F378" s="3260">
        <v>0.107</v>
      </c>
      <c r="G378" s="3261">
        <v>0.15</v>
      </c>
    </row>
    <row r="379" spans="1:7">
      <c r="A379" s="3274" t="s">
        <v>2854</v>
      </c>
      <c r="B379" s="3263" t="s">
        <v>2874</v>
      </c>
      <c r="C379" s="3264">
        <v>0.15</v>
      </c>
      <c r="D379" s="3264">
        <v>0.15</v>
      </c>
      <c r="E379" s="3264">
        <v>0.15</v>
      </c>
      <c r="F379" s="3264">
        <v>0.115</v>
      </c>
      <c r="G379" s="3265">
        <v>0.14899999999999999</v>
      </c>
    </row>
    <row r="380" spans="1:7">
      <c r="A380" s="3274" t="s">
        <v>2854</v>
      </c>
      <c r="B380" s="3263" t="s">
        <v>2880</v>
      </c>
      <c r="C380" s="3264">
        <v>0.15</v>
      </c>
      <c r="D380" s="3264">
        <v>0.15</v>
      </c>
      <c r="E380" s="3264">
        <v>0.15</v>
      </c>
      <c r="F380" s="3264">
        <v>0.1</v>
      </c>
      <c r="G380" s="3265">
        <v>0.14799999999999999</v>
      </c>
    </row>
    <row r="381" spans="1:7">
      <c r="A381" s="3274" t="s">
        <v>2854</v>
      </c>
      <c r="B381" s="3263" t="s">
        <v>2883</v>
      </c>
      <c r="C381" s="3264">
        <v>0.15</v>
      </c>
      <c r="D381" s="3264">
        <v>0.15</v>
      </c>
      <c r="E381" s="3264">
        <v>0.15</v>
      </c>
      <c r="F381" s="3264">
        <v>0.126</v>
      </c>
      <c r="G381" s="3265">
        <v>0.15</v>
      </c>
    </row>
    <row r="382" spans="1:7">
      <c r="A382" s="3274" t="s">
        <v>2854</v>
      </c>
      <c r="B382" s="3263" t="s">
        <v>2887</v>
      </c>
      <c r="C382" s="3264">
        <v>0.15</v>
      </c>
      <c r="D382" s="3264">
        <v>0.15</v>
      </c>
      <c r="E382" s="3264">
        <v>0.15</v>
      </c>
      <c r="F382" s="3264">
        <v>0.15</v>
      </c>
      <c r="G382" s="3265">
        <v>0.15</v>
      </c>
    </row>
    <row r="383" spans="1:7">
      <c r="A383" s="3274" t="s">
        <v>2854</v>
      </c>
      <c r="B383" s="3263" t="s">
        <v>2892</v>
      </c>
      <c r="C383" s="3264">
        <v>0.15</v>
      </c>
      <c r="D383" s="3264">
        <v>0.15</v>
      </c>
      <c r="E383" s="3264">
        <v>0.15</v>
      </c>
      <c r="F383" s="3264">
        <v>0.14699999999999999</v>
      </c>
      <c r="G383" s="3265">
        <v>0.15</v>
      </c>
    </row>
    <row r="384" spans="1:7" ht="14.25" thickBot="1">
      <c r="A384" s="3284" t="s">
        <v>2854</v>
      </c>
      <c r="B384" s="3285" t="s">
        <v>2896</v>
      </c>
      <c r="C384" s="3286">
        <v>0.15</v>
      </c>
      <c r="D384" s="3286">
        <v>0.15</v>
      </c>
      <c r="E384" s="3286">
        <v>0.15</v>
      </c>
      <c r="F384" s="3286">
        <v>0.15</v>
      </c>
      <c r="G384" s="3287">
        <v>0.15</v>
      </c>
    </row>
  </sheetData>
  <sheetProtection password="CEE9" sheet="1" objects="1" scenarios="1"/>
  <mergeCells count="1">
    <mergeCell ref="A1:B1"/>
  </mergeCells>
  <phoneticPr fontId="9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99" t="s">
        <v>3235</v>
      </c>
      <c r="B1" s="3799"/>
      <c r="C1" s="3799"/>
      <c r="D1" s="3799"/>
      <c r="E1" s="3799"/>
      <c r="F1" s="3800"/>
    </row>
    <row r="2" spans="1:6">
      <c r="A2" s="3290" t="s">
        <v>3236</v>
      </c>
      <c r="B2" s="3291"/>
      <c r="C2" s="3291"/>
      <c r="D2" s="3291"/>
      <c r="E2" s="3291"/>
      <c r="F2" s="3291"/>
    </row>
    <row r="3" spans="1:6">
      <c r="A3" s="3290" t="s">
        <v>3237</v>
      </c>
      <c r="B3" s="3291"/>
      <c r="C3" s="3291"/>
      <c r="D3" s="3291"/>
      <c r="E3" s="3291"/>
      <c r="F3" s="3292" t="s">
        <v>3238</v>
      </c>
    </row>
    <row r="4" spans="1:6">
      <c r="A4" s="3293" t="s">
        <v>672</v>
      </c>
      <c r="B4" s="3293" t="s">
        <v>673</v>
      </c>
      <c r="C4" s="3293" t="s">
        <v>21</v>
      </c>
      <c r="D4" s="3293" t="s">
        <v>674</v>
      </c>
      <c r="E4" s="3293" t="s">
        <v>3</v>
      </c>
      <c r="F4" s="3293" t="s">
        <v>3239</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0">
        <f>基准地价修正!G23</f>
        <v>45279</v>
      </c>
      <c r="B1" s="3209" t="s">
        <v>3373</v>
      </c>
      <c r="C1" s="3210"/>
      <c r="D1" s="3210"/>
      <c r="E1" s="3210"/>
      <c r="F1" s="3210"/>
      <c r="G1" s="3210"/>
      <c r="H1" s="3210"/>
      <c r="I1" s="3210"/>
      <c r="J1" s="3164"/>
      <c r="K1" s="3210" t="s">
        <v>454</v>
      </c>
      <c r="L1" s="3210"/>
      <c r="M1" s="3210"/>
      <c r="N1" s="3210"/>
      <c r="O1" s="3210"/>
      <c r="P1" s="3210"/>
      <c r="Q1" s="3164"/>
      <c r="R1" s="3801" t="s">
        <v>456</v>
      </c>
      <c r="S1" s="3802"/>
      <c r="T1" s="3802"/>
      <c r="U1" s="3802"/>
      <c r="V1" s="3802"/>
      <c r="W1" s="3802"/>
      <c r="X1" s="3164"/>
      <c r="Y1" s="3801" t="s">
        <v>457</v>
      </c>
      <c r="Z1" s="3802"/>
      <c r="AA1" s="3802"/>
      <c r="AB1" s="3802"/>
      <c r="AC1" s="3802"/>
      <c r="AD1" s="3802"/>
    </row>
    <row r="2" spans="1:30" s="3142" customFormat="1" ht="14.2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2.75">
      <c r="A3" s="3148" t="s">
        <v>2822</v>
      </c>
      <c r="B3" s="3149"/>
      <c r="C3" s="3150"/>
      <c r="D3" s="3150">
        <f>ROUND(AVERAGEIF(D4:D18,"&lt;&gt;0"),2)</f>
        <v>0.78</v>
      </c>
      <c r="E3" s="3150">
        <f t="shared" ref="E3:H3" si="0">ROUND(AVERAGEIF(E4:E18,"&lt;&gt;0"),2)</f>
        <v>0.41</v>
      </c>
      <c r="F3" s="3150">
        <f t="shared" si="0"/>
        <v>0.23</v>
      </c>
      <c r="G3" s="3150">
        <f t="shared" si="0"/>
        <v>0.84</v>
      </c>
      <c r="H3" s="3150">
        <f t="shared" si="0"/>
        <v>0.63</v>
      </c>
      <c r="I3" s="3150">
        <f>F3</f>
        <v>0.23</v>
      </c>
      <c r="J3" s="3151"/>
      <c r="K3" s="3152">
        <f>ROUND(AVERAGEIF(K4:K18,"&lt;&gt;0"),4)</f>
        <v>7.7999999999999996E-3</v>
      </c>
      <c r="L3" s="3153">
        <f t="shared" ref="L3:O3" si="1">ROUND(AVERAGEIF(L4:L18,"&lt;&gt;0"),4)</f>
        <v>4.1000000000000003E-3</v>
      </c>
      <c r="M3" s="3153">
        <f t="shared" si="1"/>
        <v>2.3E-3</v>
      </c>
      <c r="N3" s="3153">
        <f t="shared" si="1"/>
        <v>8.3999999999999995E-3</v>
      </c>
      <c r="O3" s="3153">
        <f t="shared" si="1"/>
        <v>6.3E-3</v>
      </c>
      <c r="P3" s="3153">
        <f>M3</f>
        <v>2.3E-3</v>
      </c>
      <c r="Q3" s="3151"/>
      <c r="R3" s="3154">
        <f>ROUND(SUMPRODUCT(PRODUCT(1+K4:K18)),4)</f>
        <v>1.0888</v>
      </c>
      <c r="S3" s="3155">
        <f t="shared" ref="S3:V3" si="2">ROUND(SUMPRODUCT(PRODUCT(1+L4:L18)),4)</f>
        <v>1.0463</v>
      </c>
      <c r="T3" s="3155">
        <f t="shared" si="2"/>
        <v>1.0257000000000001</v>
      </c>
      <c r="U3" s="3155">
        <f t="shared" si="2"/>
        <v>1.0961000000000001</v>
      </c>
      <c r="V3" s="3155">
        <f t="shared" si="2"/>
        <v>1.0713999999999999</v>
      </c>
      <c r="W3" s="3154">
        <f>T3</f>
        <v>1.0257000000000001</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5" t="s">
        <v>3377</v>
      </c>
      <c r="B5" s="3176">
        <v>2023</v>
      </c>
      <c r="C5" s="3177">
        <v>4</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1.0783</v>
      </c>
      <c r="S5" s="3182">
        <f>ROUND(IF(项目基本情况!$B$8="出让",SUMPRODUCT(PRODUCT(1+L5:$L$18)),SUMPRODUCT(PRODUCT(1+L5:$L$17))),4)</f>
        <v>1.0447</v>
      </c>
      <c r="T5" s="3182">
        <f>ROUND(IF(项目基本情况!$B$8="出让",SUMPRODUCT(PRODUCT(1+M5:$M$18)),SUMPRODUCT(PRODUCT(1+M5:$M$17))),4)</f>
        <v>1.0282</v>
      </c>
      <c r="U5" s="3182">
        <f>ROUND(IF(项目基本情况!$B$8="出让",SUMPRODUCT(PRODUCT(1+N5:$N$18)),SUMPRODUCT(PRODUCT(1+N5:$N$17))),4)</f>
        <v>1.0841000000000001</v>
      </c>
      <c r="V5" s="3182">
        <f>ROUND(IF(项目基本情况!$B$8="出让",SUMPRODUCT(PRODUCT(1+O5:$O$18)),SUMPRODUCT(PRODUCT(1+O5:$O$17))),4)</f>
        <v>1.0674999999999999</v>
      </c>
      <c r="W5" s="3182">
        <f>T5</f>
        <v>1.0282</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2.75">
      <c r="A6" s="2205" t="s">
        <v>3378</v>
      </c>
      <c r="B6" s="3176">
        <v>2023</v>
      </c>
      <c r="C6" s="3177">
        <v>3</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1.0783</v>
      </c>
      <c r="S6" s="3182">
        <f>ROUND(IF(项目基本情况!$B$8="出让",SUMPRODUCT(PRODUCT(1+L6:$L$18)),SUMPRODUCT(PRODUCT(1+L6:$L$17))),4)</f>
        <v>1.0447</v>
      </c>
      <c r="T6" s="3182">
        <f>ROUND(IF(项目基本情况!$B$8="出让",SUMPRODUCT(PRODUCT(1+M6:$M$18)),SUMPRODUCT(PRODUCT(1+M6:$M$17))),4)</f>
        <v>1.0282</v>
      </c>
      <c r="U6" s="3182">
        <f>ROUND(IF(项目基本情况!$B$8="出让",SUMPRODUCT(PRODUCT(1+N6:$N$18)),SUMPRODUCT(PRODUCT(1+N6:$N$17))),4)</f>
        <v>1.0841000000000001</v>
      </c>
      <c r="V6" s="3182">
        <f>ROUND(IF(项目基本情况!$B$8="出让",SUMPRODUCT(PRODUCT(1+O6:$O$18)),SUMPRODUCT(PRODUCT(1+O6:$O$17))),4)</f>
        <v>1.0674999999999999</v>
      </c>
      <c r="W6" s="3182">
        <f t="shared" ref="W6" si="14">T6</f>
        <v>1.0282</v>
      </c>
      <c r="X6" s="3180"/>
      <c r="Y6" s="3183"/>
      <c r="Z6" s="3183"/>
      <c r="AA6" s="3183"/>
      <c r="AB6" s="3183"/>
      <c r="AC6" s="3183"/>
      <c r="AD6" s="3183"/>
    </row>
    <row r="7" spans="1:30" s="3184" customFormat="1" ht="12.75">
      <c r="A7" s="2205" t="s">
        <v>3379</v>
      </c>
      <c r="B7" s="3176">
        <v>2023</v>
      </c>
      <c r="C7" s="3177">
        <v>3</v>
      </c>
      <c r="D7" s="3178">
        <v>0</v>
      </c>
      <c r="E7" s="3178">
        <v>0</v>
      </c>
      <c r="F7" s="3178">
        <v>0</v>
      </c>
      <c r="G7" s="3178">
        <v>0</v>
      </c>
      <c r="H7" s="3195">
        <v>0</v>
      </c>
      <c r="I7" s="3179">
        <v>0</v>
      </c>
      <c r="J7" s="3180"/>
      <c r="K7" s="3181">
        <f t="shared" si="5"/>
        <v>0</v>
      </c>
      <c r="L7" s="3171">
        <f t="shared" si="5"/>
        <v>0</v>
      </c>
      <c r="M7" s="3171">
        <f t="shared" si="5"/>
        <v>0</v>
      </c>
      <c r="N7" s="3171">
        <f t="shared" si="5"/>
        <v>0</v>
      </c>
      <c r="O7" s="3171">
        <f t="shared" si="5"/>
        <v>0</v>
      </c>
      <c r="P7" s="3171">
        <f t="shared" ref="P7" si="15">M7</f>
        <v>0</v>
      </c>
      <c r="Q7" s="3180"/>
      <c r="R7" s="3182">
        <f>ROUND(IF(项目基本情况!$B$8="出让",SUMPRODUCT(PRODUCT(1+K7:$K$18)),SUMPRODUCT(PRODUCT(1+K7:$K$17))),4)</f>
        <v>1.0783</v>
      </c>
      <c r="S7" s="3182">
        <f>ROUND(IF(项目基本情况!$B$8="出让",SUMPRODUCT(PRODUCT(1+L7:$L$18)),SUMPRODUCT(PRODUCT(1+L7:$L$17))),4)</f>
        <v>1.0447</v>
      </c>
      <c r="T7" s="3182">
        <f>ROUND(IF(项目基本情况!$B$8="出让",SUMPRODUCT(PRODUCT(1+M7:$M$18)),SUMPRODUCT(PRODUCT(1+M7:$M$17))),4)</f>
        <v>1.0282</v>
      </c>
      <c r="U7" s="3182">
        <f>ROUND(IF(项目基本情况!$B$8="出让",SUMPRODUCT(PRODUCT(1+N7:$N$18)),SUMPRODUCT(PRODUCT(1+N7:$N$17))),4)</f>
        <v>1.0841000000000001</v>
      </c>
      <c r="V7" s="3182">
        <f>ROUND(IF(项目基本情况!$B$8="出让",SUMPRODUCT(PRODUCT(1+O7:$O$18)),SUMPRODUCT(PRODUCT(1+O7:$O$17))),4)</f>
        <v>1.0674999999999999</v>
      </c>
      <c r="W7" s="3182">
        <f t="shared" ref="W7" si="16">T7</f>
        <v>1.0282</v>
      </c>
      <c r="X7" s="3180"/>
      <c r="Y7" s="3183"/>
      <c r="Z7" s="3183"/>
      <c r="AA7" s="3183"/>
      <c r="AB7" s="3183"/>
      <c r="AC7" s="3183"/>
      <c r="AD7" s="3183"/>
    </row>
    <row r="8" spans="1:30" s="3194" customFormat="1" ht="12.75">
      <c r="A8" s="3185" t="s">
        <v>3371</v>
      </c>
      <c r="B8" s="3186">
        <v>2023</v>
      </c>
      <c r="C8" s="3187">
        <v>3</v>
      </c>
      <c r="D8" s="3188">
        <v>0.25</v>
      </c>
      <c r="E8" s="3188">
        <v>0.5</v>
      </c>
      <c r="F8" s="3188">
        <v>0.31</v>
      </c>
      <c r="G8" s="3188">
        <v>0.21</v>
      </c>
      <c r="H8" s="3189">
        <v>0.43</v>
      </c>
      <c r="I8" s="3190">
        <f t="shared" si="4"/>
        <v>0.31</v>
      </c>
      <c r="J8" s="3191"/>
      <c r="K8" s="3192">
        <f t="shared" ref="K8:K10" si="17">D8/100</f>
        <v>2.5000000000000001E-3</v>
      </c>
      <c r="L8" s="3193">
        <f t="shared" ref="L8:L10" si="18">E8/100</f>
        <v>5.0000000000000001E-3</v>
      </c>
      <c r="M8" s="3193">
        <f t="shared" ref="M8:M10" si="19">F8/100</f>
        <v>3.0999999999999999E-3</v>
      </c>
      <c r="N8" s="3193">
        <f t="shared" ref="N8:N10" si="20">G8/100</f>
        <v>2.0999999999999999E-3</v>
      </c>
      <c r="O8" s="3193">
        <f t="shared" ref="O8:O10" si="21">H8/100</f>
        <v>4.3E-3</v>
      </c>
      <c r="P8" s="3193">
        <f t="shared" ref="P8:P10" si="22">M8</f>
        <v>3.0999999999999999E-3</v>
      </c>
      <c r="Q8" s="3191"/>
      <c r="R8" s="3191">
        <f>ROUND(IF(项目基本情况!$B$8="出让",SUMPRODUCT(PRODUCT(1+K8:$K$18)),SUMPRODUCT(PRODUCT(1+K8:$K$17))),4)</f>
        <v>1.0783</v>
      </c>
      <c r="S8" s="3191">
        <f>ROUND(IF(项目基本情况!$B$8="出让",SUMPRODUCT(PRODUCT(1+L8:$L$18)),SUMPRODUCT(PRODUCT(1+L8:$L$17))),4)</f>
        <v>1.0447</v>
      </c>
      <c r="T8" s="3191">
        <f>ROUND(IF(项目基本情况!$B$8="出让",SUMPRODUCT(PRODUCT(1+M8:$M$18)),SUMPRODUCT(PRODUCT(1+M8:$M$17))),4)</f>
        <v>1.0282</v>
      </c>
      <c r="U8" s="3191">
        <f>ROUND(IF(项目基本情况!$B$8="出让",SUMPRODUCT(PRODUCT(1+N8:$N$18)),SUMPRODUCT(PRODUCT(1+N8:$N$17))),4)</f>
        <v>1.0841000000000001</v>
      </c>
      <c r="V8" s="3191">
        <f>ROUND(IF(项目基本情况!$B$8="出让",SUMPRODUCT(PRODUCT(1+O8:$O$18)),SUMPRODUCT(PRODUCT(1+O8:$O$17))),4)</f>
        <v>1.0674999999999999</v>
      </c>
      <c r="W8" s="3191">
        <f t="shared" ref="W8:W9" si="23">T8</f>
        <v>1.0282</v>
      </c>
      <c r="X8" s="3191"/>
      <c r="Y8" s="3193"/>
      <c r="Z8" s="3193"/>
      <c r="AA8" s="3193"/>
      <c r="AB8" s="3193"/>
      <c r="AC8" s="3193"/>
      <c r="AD8" s="3193"/>
    </row>
    <row r="9" spans="1:30" s="3184" customFormat="1" ht="12.75">
      <c r="A9" s="3175" t="s">
        <v>3372</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2.75">
      <c r="A10" s="3175" t="s">
        <v>3370</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2.75">
      <c r="A11" s="3175" t="s">
        <v>3369</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2.75">
      <c r="A12" s="3175" t="s">
        <v>3365</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2.75">
      <c r="A13" s="3175" t="s">
        <v>3356</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2.75">
      <c r="A14" s="3175" t="s">
        <v>2823</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2.75">
      <c r="A15" s="3175" t="s">
        <v>2824</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2.75">
      <c r="A16" s="3175" t="s">
        <v>2825</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2.75">
      <c r="A17" s="3175" t="s">
        <v>2826</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thickBot="1">
      <c r="A18" s="3196" t="s">
        <v>2827</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4.25" thickTop="1"/>
    <row r="20" spans="1:30" s="3008" customFormat="1">
      <c r="A20" s="3447" t="s">
        <v>3367</v>
      </c>
    </row>
    <row r="21" spans="1:30" s="3008" customFormat="1">
      <c r="I21" s="3207" t="s">
        <v>2828</v>
      </c>
    </row>
    <row r="22" spans="1:30" s="3008" customFormat="1"/>
    <row r="23" spans="1:30" s="3208" customFormat="1" ht="12.75">
      <c r="B23" s="3209" t="s">
        <v>3374</v>
      </c>
      <c r="C23" s="3210"/>
      <c r="D23" s="3210"/>
      <c r="E23" s="3210"/>
      <c r="F23" s="3210"/>
      <c r="G23" s="3210"/>
      <c r="H23" s="3210"/>
      <c r="I23" s="3210"/>
      <c r="J23" s="3164"/>
      <c r="K23" s="3210" t="s">
        <v>2829</v>
      </c>
      <c r="L23" s="3210"/>
      <c r="M23" s="3210"/>
      <c r="N23" s="3210"/>
      <c r="O23" s="3210"/>
      <c r="P23" s="3210"/>
      <c r="Q23" s="3164"/>
      <c r="R23" s="3801" t="s">
        <v>2830</v>
      </c>
      <c r="S23" s="3802"/>
      <c r="T23" s="3802"/>
      <c r="U23" s="3802"/>
      <c r="V23" s="3802"/>
      <c r="W23" s="3802"/>
      <c r="X23" s="3164"/>
      <c r="Y23" s="3801" t="s">
        <v>2831</v>
      </c>
      <c r="Z23" s="3802"/>
      <c r="AA23" s="3802"/>
      <c r="AB23" s="3802"/>
      <c r="AC23" s="3802"/>
      <c r="AD23" s="3802"/>
    </row>
    <row r="24" spans="1:30" s="3142" customFormat="1" ht="14.25" thickBot="1">
      <c r="B24" s="3143"/>
      <c r="C24" s="3144"/>
      <c r="D24" s="3145" t="s">
        <v>2832</v>
      </c>
      <c r="E24" s="3146" t="s">
        <v>2833</v>
      </c>
      <c r="F24" s="3146" t="s">
        <v>2834</v>
      </c>
      <c r="G24" s="3146" t="s">
        <v>2835</v>
      </c>
      <c r="H24" s="3146"/>
      <c r="I24" s="3146" t="s">
        <v>2836</v>
      </c>
      <c r="J24" s="3147"/>
      <c r="K24" s="3145" t="s">
        <v>2832</v>
      </c>
      <c r="L24" s="3146" t="s">
        <v>2833</v>
      </c>
      <c r="M24" s="3146" t="s">
        <v>2834</v>
      </c>
      <c r="N24" s="3146" t="s">
        <v>2835</v>
      </c>
      <c r="O24" s="3146"/>
      <c r="P24" s="3146" t="s">
        <v>2836</v>
      </c>
      <c r="Q24" s="3147"/>
      <c r="R24" s="3145" t="s">
        <v>2832</v>
      </c>
      <c r="S24" s="3146" t="s">
        <v>2833</v>
      </c>
      <c r="T24" s="3146" t="s">
        <v>2834</v>
      </c>
      <c r="U24" s="3146" t="s">
        <v>2835</v>
      </c>
      <c r="V24" s="3146"/>
      <c r="W24" s="3146" t="s">
        <v>2836</v>
      </c>
      <c r="X24" s="3147"/>
      <c r="Y24" s="3145" t="s">
        <v>2832</v>
      </c>
      <c r="Z24" s="3146" t="s">
        <v>2833</v>
      </c>
      <c r="AA24" s="3146" t="s">
        <v>2834</v>
      </c>
      <c r="AB24" s="3146" t="s">
        <v>2835</v>
      </c>
      <c r="AC24" s="3146"/>
      <c r="AD24" s="3146" t="s">
        <v>2836</v>
      </c>
    </row>
    <row r="25" spans="1:30" s="3160" customFormat="1" ht="12.75">
      <c r="A25" s="3148" t="s">
        <v>2837</v>
      </c>
      <c r="B25" s="3149"/>
      <c r="C25" s="3150"/>
      <c r="D25" s="3150"/>
      <c r="E25" s="3150">
        <f t="shared" ref="E25:G25" si="32">ROUND(AVERAGEIF(E26:E40,"&lt;&gt;0"),2)</f>
        <v>0.42</v>
      </c>
      <c r="F25" s="3150">
        <f t="shared" si="32"/>
        <v>0.3</v>
      </c>
      <c r="G25" s="3150">
        <f t="shared" si="32"/>
        <v>0.73</v>
      </c>
      <c r="H25" s="3150"/>
      <c r="I25" s="3150">
        <f>F25</f>
        <v>0.3</v>
      </c>
      <c r="J25" s="3151"/>
      <c r="K25" s="3152"/>
      <c r="L25" s="3153">
        <f t="shared" ref="L25:N25" si="33">ROUND(AVERAGEIF(L26:L40,"&lt;&gt;0"),4)</f>
        <v>4.1999999999999997E-3</v>
      </c>
      <c r="M25" s="3153">
        <f t="shared" si="33"/>
        <v>3.0000000000000001E-3</v>
      </c>
      <c r="N25" s="3153">
        <f t="shared" si="33"/>
        <v>7.3000000000000001E-3</v>
      </c>
      <c r="O25" s="3153"/>
      <c r="P25" s="3153">
        <f>M25</f>
        <v>3.0000000000000001E-3</v>
      </c>
      <c r="Q25" s="3151"/>
      <c r="R25" s="3154"/>
      <c r="S25" s="3155">
        <f>ROUND(SUMPRODUCT(PRODUCT(1+L26:L40)),4)</f>
        <v>1.0468</v>
      </c>
      <c r="T25" s="3155">
        <f t="shared" ref="T25:U25" si="34">ROUND(SUMPRODUCT(PRODUCT(1+M26:M40)),4)</f>
        <v>1.0337000000000001</v>
      </c>
      <c r="U25" s="3155">
        <f t="shared" si="34"/>
        <v>1.0828</v>
      </c>
      <c r="V25" s="3155"/>
      <c r="W25" s="3154">
        <f>T25</f>
        <v>1.0337000000000001</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2.75">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2.75">
      <c r="A27" s="2205" t="s">
        <v>3377</v>
      </c>
      <c r="B27" s="3176">
        <v>2023</v>
      </c>
      <c r="C27" s="3177">
        <v>4</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1.0431999999999999</v>
      </c>
      <c r="T27" s="3182">
        <f>ROUND(IF(项目基本情况!$B$8="出让",SUMPRODUCT(PRODUCT(1+M27:M$40)),SUMPRODUCT(PRODUCT(1+M27:M$39))),4)</f>
        <v>1.0286999999999999</v>
      </c>
      <c r="U27" s="3182">
        <f>ROUND(IF(项目基本情况!$B$8="出让",SUMPRODUCT(PRODUCT(1+N27:N$40)),SUMPRODUCT(PRODUCT(1+N27:N$39))),4)</f>
        <v>1.0723</v>
      </c>
      <c r="V27" s="3182"/>
      <c r="W27" s="3182">
        <f>T27</f>
        <v>1.0286999999999999</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2.75">
      <c r="A28" s="2205" t="s">
        <v>3378</v>
      </c>
      <c r="B28" s="3176">
        <v>2023</v>
      </c>
      <c r="C28" s="3177">
        <v>3</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1.0431999999999999</v>
      </c>
      <c r="T28" s="3182">
        <f>ROUND(IF(项目基本情况!$B$8="出让",SUMPRODUCT(PRODUCT(1+M28:M$40)),SUMPRODUCT(PRODUCT(1+M28:M$39))),4)</f>
        <v>1.0286999999999999</v>
      </c>
      <c r="U28" s="3182">
        <f>ROUND(IF(项目基本情况!$B$8="出让",SUMPRODUCT(PRODUCT(1+N28:N$40)),SUMPRODUCT(PRODUCT(1+N28:N$39))),4)</f>
        <v>1.0723</v>
      </c>
      <c r="V28" s="3182"/>
      <c r="W28" s="3182">
        <f t="shared" ref="W28" si="43">T28</f>
        <v>1.0286999999999999</v>
      </c>
      <c r="X28" s="3180"/>
      <c r="Y28" s="3183"/>
      <c r="Z28" s="3211"/>
      <c r="AA28" s="3213"/>
      <c r="AB28" s="3183"/>
      <c r="AC28" s="3212"/>
      <c r="AD28" s="3183"/>
    </row>
    <row r="29" spans="1:30" s="3184" customFormat="1" ht="12.75">
      <c r="A29" s="2205" t="s">
        <v>3379</v>
      </c>
      <c r="B29" s="3176">
        <v>2023</v>
      </c>
      <c r="C29" s="3177">
        <v>3</v>
      </c>
      <c r="D29" s="3178"/>
      <c r="E29" s="3178">
        <v>0</v>
      </c>
      <c r="F29" s="3178">
        <v>0</v>
      </c>
      <c r="G29" s="3178">
        <v>0</v>
      </c>
      <c r="H29" s="3178"/>
      <c r="I29" s="3179">
        <f t="shared" si="38"/>
        <v>0</v>
      </c>
      <c r="J29" s="3180"/>
      <c r="K29" s="3181"/>
      <c r="L29" s="3171">
        <f t="shared" si="37"/>
        <v>0</v>
      </c>
      <c r="M29" s="3171">
        <f t="shared" si="37"/>
        <v>0</v>
      </c>
      <c r="N29" s="3171">
        <f t="shared" si="37"/>
        <v>0</v>
      </c>
      <c r="O29" s="3171"/>
      <c r="P29" s="3171">
        <f t="shared" ref="P29" si="44">M29</f>
        <v>0</v>
      </c>
      <c r="Q29" s="3180"/>
      <c r="R29" s="3182"/>
      <c r="S29" s="3182">
        <f>ROUND(IF(项目基本情况!$B$8="出让",SUMPRODUCT(PRODUCT(1+L29:L$40)),SUMPRODUCT(PRODUCT(1+L29:L$39))),4)</f>
        <v>1.0431999999999999</v>
      </c>
      <c r="T29" s="3182">
        <f>ROUND(IF(项目基本情况!$B$8="出让",SUMPRODUCT(PRODUCT(1+M29:M$40)),SUMPRODUCT(PRODUCT(1+M29:M$39))),4)</f>
        <v>1.0286999999999999</v>
      </c>
      <c r="U29" s="3182">
        <f>ROUND(IF(项目基本情况!$B$8="出让",SUMPRODUCT(PRODUCT(1+N29:N$40)),SUMPRODUCT(PRODUCT(1+N29:N$39))),4)</f>
        <v>1.0723</v>
      </c>
      <c r="V29" s="3182"/>
      <c r="W29" s="3182">
        <f t="shared" ref="W29" si="45">T29</f>
        <v>1.0286999999999999</v>
      </c>
      <c r="X29" s="3180"/>
      <c r="Y29" s="3183"/>
      <c r="Z29" s="3211"/>
      <c r="AA29" s="3213"/>
      <c r="AB29" s="3183"/>
      <c r="AC29" s="3212"/>
      <c r="AD29" s="3183"/>
    </row>
    <row r="30" spans="1:30" s="3194" customFormat="1" ht="12.75">
      <c r="A30" s="3185" t="s">
        <v>3375</v>
      </c>
      <c r="B30" s="3186">
        <v>2023</v>
      </c>
      <c r="C30" s="3187">
        <v>3</v>
      </c>
      <c r="D30" s="3188"/>
      <c r="E30" s="3188">
        <v>0.35</v>
      </c>
      <c r="F30" s="3188">
        <v>0.17</v>
      </c>
      <c r="G30" s="3188">
        <v>0.52</v>
      </c>
      <c r="H30" s="3189"/>
      <c r="I30" s="3190">
        <f t="shared" si="36"/>
        <v>0.17</v>
      </c>
      <c r="J30" s="3191"/>
      <c r="K30" s="3192"/>
      <c r="L30" s="3193">
        <f t="shared" ref="L30:L32" si="46">E30/100</f>
        <v>3.4999999999999996E-3</v>
      </c>
      <c r="M30" s="3193">
        <f t="shared" ref="M30:M32" si="47">F30/100</f>
        <v>1.7000000000000001E-3</v>
      </c>
      <c r="N30" s="3193">
        <f t="shared" ref="N30:N32" si="48">G30/100</f>
        <v>5.1999999999999998E-3</v>
      </c>
      <c r="O30" s="3193"/>
      <c r="P30" s="3193">
        <f t="shared" ref="P30:P32" si="49">M30</f>
        <v>1.7000000000000001E-3</v>
      </c>
      <c r="Q30" s="3191"/>
      <c r="R30" s="3191"/>
      <c r="S30" s="3191">
        <f>ROUND(IF(项目基本情况!$B$8="出让",SUMPRODUCT(PRODUCT(1+L30:L$40)),SUMPRODUCT(PRODUCT(1+L30:L$39))),4)</f>
        <v>1.0431999999999999</v>
      </c>
      <c r="T30" s="3191">
        <f>ROUND(IF(项目基本情况!$B$8="出让",SUMPRODUCT(PRODUCT(1+M30:M$40)),SUMPRODUCT(PRODUCT(1+M30:M$39))),4)</f>
        <v>1.0286999999999999</v>
      </c>
      <c r="U30" s="3191">
        <f>ROUND(IF(项目基本情况!$B$8="出让",SUMPRODUCT(PRODUCT(1+N30:N$40)),SUMPRODUCT(PRODUCT(1+N30:N$39))),4)</f>
        <v>1.0723</v>
      </c>
      <c r="V30" s="3191"/>
      <c r="W30" s="3191">
        <f t="shared" ref="W30:W32" si="50">T30</f>
        <v>1.0286999999999999</v>
      </c>
      <c r="X30" s="3191"/>
      <c r="Y30" s="3193"/>
      <c r="Z30" s="3214"/>
      <c r="AA30" s="3215"/>
      <c r="AB30" s="3193"/>
      <c r="AC30" s="3216"/>
      <c r="AD30" s="3193"/>
    </row>
    <row r="31" spans="1:30" s="3184" customFormat="1" ht="12.75">
      <c r="A31" s="3175" t="s">
        <v>3376</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2.75">
      <c r="A32" s="3175" t="s">
        <v>3370</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2.75">
      <c r="A33" s="3175" t="s">
        <v>3369</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2.75">
      <c r="A34" s="3175" t="s">
        <v>3366</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2.75">
      <c r="A35" s="3175" t="s">
        <v>3356</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2.75">
      <c r="A36" s="3175" t="s">
        <v>2838</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2.75">
      <c r="A37" s="3175" t="s">
        <v>2839</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2.75">
      <c r="A38" s="3175" t="s">
        <v>2840</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2.75">
      <c r="A39" s="3175" t="s">
        <v>2841</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thickBot="1">
      <c r="A40" s="3196" t="s">
        <v>2827</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4.25" thickTop="1"/>
    <row r="42" spans="1:30">
      <c r="A42" s="3447" t="s">
        <v>3368</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8" t="s">
        <v>452</v>
      </c>
      <c r="C1" s="3808"/>
      <c r="D1" s="3808"/>
      <c r="E1" s="3808"/>
      <c r="F1" s="3808"/>
      <c r="G1" s="3807" t="s">
        <v>453</v>
      </c>
      <c r="H1" s="3807"/>
      <c r="I1" s="3807"/>
      <c r="J1" s="3807"/>
      <c r="K1" s="3807"/>
      <c r="L1" s="3807"/>
      <c r="N1" s="3807" t="s">
        <v>454</v>
      </c>
      <c r="O1" s="3807"/>
      <c r="P1" s="3807"/>
      <c r="Q1" s="3807"/>
      <c r="S1" s="3807" t="s">
        <v>455</v>
      </c>
      <c r="T1" s="3807"/>
      <c r="U1" s="3807"/>
      <c r="V1" s="3807"/>
      <c r="X1" s="3806" t="s">
        <v>456</v>
      </c>
      <c r="Y1" s="3807"/>
      <c r="Z1" s="3807"/>
      <c r="AA1" s="3807"/>
      <c r="AB1" s="3807"/>
      <c r="AD1" s="3806" t="s">
        <v>457</v>
      </c>
      <c r="AE1" s="3807"/>
      <c r="AF1" s="3807"/>
      <c r="AG1" s="3807"/>
      <c r="AH1" s="3807"/>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2311</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2310</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3"/>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09">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3"/>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9">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0">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1"/>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1"/>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2"/>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4">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5">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4">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5">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45279</v>
      </c>
      <c r="D1" s="1302" t="s">
        <v>603</v>
      </c>
      <c r="E1" s="1297">
        <f>'数据-取费表'!B22</f>
        <v>1</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45159</v>
      </c>
      <c r="D13" s="2821">
        <v>3.45</v>
      </c>
      <c r="E13" s="2821">
        <f>D13</f>
        <v>3.45</v>
      </c>
      <c r="F13" s="2821">
        <f>D13</f>
        <v>3.45</v>
      </c>
      <c r="G13" s="2821">
        <f>D13</f>
        <v>3.45</v>
      </c>
      <c r="H13" s="2821">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45097</v>
      </c>
      <c r="D14" s="2816">
        <v>3.55</v>
      </c>
      <c r="E14" s="2816">
        <f>D14</f>
        <v>3.55</v>
      </c>
      <c r="F14" s="2816">
        <f>D14</f>
        <v>3.55</v>
      </c>
      <c r="G14" s="2816">
        <f>D14</f>
        <v>3.55</v>
      </c>
      <c r="H14" s="2816">
        <v>4.2</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44795</v>
      </c>
      <c r="D15" s="2816">
        <v>3.65</v>
      </c>
      <c r="E15" s="2816">
        <v>3.65</v>
      </c>
      <c r="F15" s="2816">
        <v>3.65</v>
      </c>
      <c r="G15" s="2816">
        <v>3.65</v>
      </c>
      <c r="H15" s="2816">
        <v>4.3</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44701</v>
      </c>
      <c r="D16" s="2816">
        <v>3.7</v>
      </c>
      <c r="E16" s="2816">
        <f>D16</f>
        <v>3.7</v>
      </c>
      <c r="F16" s="2816">
        <f>D16</f>
        <v>3.7</v>
      </c>
      <c r="G16" s="2816">
        <f>D16</f>
        <v>3.7</v>
      </c>
      <c r="H16" s="2816">
        <v>4.45</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7">
        <v>44581</v>
      </c>
      <c r="D17" s="2816">
        <v>3.7</v>
      </c>
      <c r="E17" s="2816">
        <f>D17</f>
        <v>3.7</v>
      </c>
      <c r="F17" s="2816">
        <f>D17</f>
        <v>3.7</v>
      </c>
      <c r="G17" s="2816">
        <f>D17</f>
        <v>3.7</v>
      </c>
      <c r="H17" s="2816">
        <v>4.5999999999999996</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43941</v>
      </c>
      <c r="D19" s="2816">
        <v>3.85</v>
      </c>
      <c r="E19" s="2816">
        <v>3.85</v>
      </c>
      <c r="F19" s="2816">
        <v>3.85</v>
      </c>
      <c r="G19" s="2816">
        <v>3.85</v>
      </c>
      <c r="H19" s="2816">
        <v>4.6500000000000004</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43881</v>
      </c>
      <c r="D20" s="2816">
        <v>4.05</v>
      </c>
      <c r="E20" s="2816">
        <v>4.05</v>
      </c>
      <c r="F20" s="2816">
        <v>4.05</v>
      </c>
      <c r="G20" s="2816">
        <v>4.05</v>
      </c>
      <c r="H20" s="2816">
        <v>4.75</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7">
        <v>43789</v>
      </c>
      <c r="D21" s="2816">
        <v>4.1500000000000004</v>
      </c>
      <c r="E21" s="2816">
        <v>4.1500000000000004</v>
      </c>
      <c r="F21" s="2816">
        <v>4.1500000000000004</v>
      </c>
      <c r="G21" s="2816">
        <v>4.1500000000000004</v>
      </c>
      <c r="H21" s="2816">
        <v>4.8</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c r="C22" s="2817">
        <v>43728</v>
      </c>
      <c r="D22" s="2816">
        <v>4.2</v>
      </c>
      <c r="E22" s="2816">
        <v>4.2</v>
      </c>
      <c r="F22" s="2816">
        <v>4.2</v>
      </c>
      <c r="G22" s="2816">
        <v>4.2</v>
      </c>
      <c r="H22" s="2816">
        <v>4.8499999999999996</v>
      </c>
      <c r="I22" s="2816"/>
      <c r="J22" s="281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15" t="s">
        <v>2312</v>
      </c>
      <c r="C23" s="2818">
        <v>43697</v>
      </c>
      <c r="D23" s="2819">
        <v>4.25</v>
      </c>
      <c r="E23" s="2819">
        <v>4.25</v>
      </c>
      <c r="F23" s="2819">
        <v>4.25</v>
      </c>
      <c r="G23" s="2819">
        <v>4.25</v>
      </c>
      <c r="H23" s="2819">
        <v>4.8499999999999996</v>
      </c>
      <c r="I23" s="2819"/>
      <c r="J23" s="2819"/>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3"/>
      <c r="C24" s="2824">
        <v>42301</v>
      </c>
      <c r="D24" s="2825">
        <v>4.3499999999999996</v>
      </c>
      <c r="E24" s="2825">
        <v>4.3499999999999996</v>
      </c>
      <c r="F24" s="2825">
        <v>4.75</v>
      </c>
      <c r="G24" s="2825">
        <v>4.75</v>
      </c>
      <c r="H24" s="2825">
        <v>4.9000000000000004</v>
      </c>
      <c r="I24" s="2825"/>
      <c r="J24" s="2825"/>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topLeftCell="B1" workbookViewId="0">
      <selection activeCell="D2" sqref="D2"/>
    </sheetView>
  </sheetViews>
  <sheetFormatPr defaultRowHeight="13.5"/>
  <cols>
    <col min="4" max="4" width="9.5" bestFit="1" customWidth="1"/>
    <col min="5" max="5" width="10.5" bestFit="1" customWidth="1"/>
  </cols>
  <sheetData>
    <row r="1" spans="1:9">
      <c r="F1" s="3462" t="s">
        <v>3447</v>
      </c>
    </row>
    <row r="2" spans="1:9">
      <c r="A2">
        <v>1</v>
      </c>
      <c r="B2" s="3462" t="s">
        <v>3448</v>
      </c>
      <c r="C2">
        <v>62</v>
      </c>
      <c r="D2" s="3461">
        <v>44713</v>
      </c>
      <c r="E2" s="3461">
        <v>45808</v>
      </c>
      <c r="F2">
        <v>95000</v>
      </c>
      <c r="G2">
        <v>100000</v>
      </c>
      <c r="H2" s="3462" t="s">
        <v>3449</v>
      </c>
      <c r="I2" s="3463">
        <f>F2/C2/365</f>
        <v>4.1979673000441888</v>
      </c>
    </row>
    <row r="3" spans="1:9">
      <c r="B3" s="3462" t="s">
        <v>3448</v>
      </c>
      <c r="C3">
        <v>62</v>
      </c>
      <c r="D3" s="3461">
        <v>44713</v>
      </c>
      <c r="E3" s="3461">
        <v>45808</v>
      </c>
      <c r="F3">
        <v>95000</v>
      </c>
      <c r="G3">
        <v>100000</v>
      </c>
      <c r="H3" s="3462" t="s">
        <v>3449</v>
      </c>
      <c r="I3" s="3463">
        <f t="shared" ref="I3:I9" si="0">F3/C3/365</f>
        <v>4.1979673000441888</v>
      </c>
    </row>
    <row r="4" spans="1:9">
      <c r="B4" s="3462" t="s">
        <v>3450</v>
      </c>
      <c r="C4">
        <v>62</v>
      </c>
      <c r="D4" s="3461">
        <v>44713</v>
      </c>
      <c r="E4" s="3461">
        <v>45808</v>
      </c>
      <c r="F4">
        <v>95000</v>
      </c>
      <c r="G4">
        <v>100000</v>
      </c>
      <c r="H4" s="3462" t="s">
        <v>3449</v>
      </c>
      <c r="I4" s="3463">
        <f t="shared" si="0"/>
        <v>4.1979673000441888</v>
      </c>
    </row>
    <row r="5" spans="1:9">
      <c r="B5" s="3462" t="s">
        <v>3450</v>
      </c>
      <c r="C5">
        <v>62</v>
      </c>
      <c r="D5" s="3461">
        <v>44713</v>
      </c>
      <c r="E5" s="3461">
        <v>45808</v>
      </c>
      <c r="F5">
        <v>95000</v>
      </c>
      <c r="G5">
        <v>100000</v>
      </c>
      <c r="H5" s="3462" t="s">
        <v>3449</v>
      </c>
      <c r="I5" s="3463">
        <f t="shared" si="0"/>
        <v>4.1979673000441888</v>
      </c>
    </row>
    <row r="6" spans="1:9">
      <c r="B6" s="3462" t="s">
        <v>3457</v>
      </c>
      <c r="C6">
        <v>62</v>
      </c>
      <c r="D6" s="3461">
        <v>44713</v>
      </c>
      <c r="E6" s="3461">
        <v>45808</v>
      </c>
      <c r="F6">
        <v>95000</v>
      </c>
      <c r="G6">
        <v>100000</v>
      </c>
      <c r="H6" s="3462" t="s">
        <v>3449</v>
      </c>
      <c r="I6" s="3463">
        <f t="shared" si="0"/>
        <v>4.1979673000441888</v>
      </c>
    </row>
    <row r="7" spans="1:9">
      <c r="B7" s="3462" t="s">
        <v>3457</v>
      </c>
      <c r="C7">
        <v>62</v>
      </c>
      <c r="D7" s="3461">
        <v>44713</v>
      </c>
      <c r="E7" s="3461">
        <v>45808</v>
      </c>
      <c r="F7">
        <v>95000</v>
      </c>
      <c r="G7">
        <v>100000</v>
      </c>
      <c r="H7" s="3462" t="s">
        <v>3449</v>
      </c>
      <c r="I7" s="3463">
        <f t="shared" si="0"/>
        <v>4.1979673000441888</v>
      </c>
    </row>
    <row r="8" spans="1:9">
      <c r="B8" s="3462" t="s">
        <v>3458</v>
      </c>
      <c r="C8">
        <v>82</v>
      </c>
      <c r="D8" s="3461">
        <v>44713</v>
      </c>
      <c r="E8" s="3461">
        <v>45808</v>
      </c>
      <c r="F8">
        <v>105000</v>
      </c>
      <c r="G8">
        <v>110000</v>
      </c>
      <c r="H8" s="3462" t="s">
        <v>3449</v>
      </c>
      <c r="I8" s="3463">
        <f t="shared" si="0"/>
        <v>3.5081857667891749</v>
      </c>
    </row>
    <row r="9" spans="1:9">
      <c r="B9" s="3462" t="s">
        <v>3458</v>
      </c>
      <c r="C9">
        <v>42</v>
      </c>
      <c r="D9" s="3461">
        <v>44713</v>
      </c>
      <c r="E9" s="3461">
        <v>45808</v>
      </c>
      <c r="F9">
        <v>75000</v>
      </c>
      <c r="G9">
        <v>80000</v>
      </c>
      <c r="H9" s="3462" t="s">
        <v>3449</v>
      </c>
      <c r="I9" s="3463">
        <f t="shared" si="0"/>
        <v>4.8923679060665366</v>
      </c>
    </row>
    <row r="10" spans="1:9">
      <c r="B10" s="3462" t="s">
        <v>3459</v>
      </c>
      <c r="C10">
        <v>42</v>
      </c>
      <c r="D10" s="3461">
        <v>44713</v>
      </c>
      <c r="E10" s="3461">
        <v>45808</v>
      </c>
      <c r="F10">
        <v>75000</v>
      </c>
      <c r="G10">
        <v>80000</v>
      </c>
      <c r="H10" s="3462" t="s">
        <v>3449</v>
      </c>
      <c r="I10" s="3463">
        <f t="shared" ref="I10:I12" si="1">F10/C10/365</f>
        <v>4.8923679060665366</v>
      </c>
    </row>
    <row r="11" spans="1:9">
      <c r="B11" s="3462" t="s">
        <v>3459</v>
      </c>
      <c r="C11">
        <v>82</v>
      </c>
      <c r="D11" s="3461">
        <v>44713</v>
      </c>
      <c r="E11" s="3461">
        <v>45808</v>
      </c>
      <c r="F11">
        <v>105000</v>
      </c>
      <c r="G11">
        <v>110000</v>
      </c>
      <c r="H11" s="3462" t="s">
        <v>3449</v>
      </c>
      <c r="I11" s="3463">
        <f t="shared" si="1"/>
        <v>3.5081857667891749</v>
      </c>
    </row>
    <row r="12" spans="1:9">
      <c r="C12">
        <f>SUM(C2:C11)</f>
        <v>620</v>
      </c>
      <c r="F12">
        <f>SUM(F2:F11)</f>
        <v>930000</v>
      </c>
      <c r="I12" s="3463">
        <f t="shared" si="1"/>
        <v>4.1095890410958908</v>
      </c>
    </row>
    <row r="17" spans="4:7" ht="14.25" thickBot="1"/>
    <row r="18" spans="4:7" ht="27" thickBot="1">
      <c r="D18" s="3465" t="s">
        <v>3460</v>
      </c>
      <c r="E18" s="3466" t="s">
        <v>3461</v>
      </c>
      <c r="F18" s="3466" t="s">
        <v>3462</v>
      </c>
      <c r="G18" s="3466" t="s">
        <v>3463</v>
      </c>
    </row>
    <row r="19" spans="4:7" ht="14.25" thickBot="1">
      <c r="D19" s="3467" t="str">
        <f>'数据-基础表'!C13</f>
        <v>1-2层商业</v>
      </c>
      <c r="E19" s="3468">
        <f>'数据-基础表'!I13</f>
        <v>1562.24</v>
      </c>
      <c r="F19" s="3468">
        <f ca="1">典型户型修正!R24</f>
        <v>8425</v>
      </c>
      <c r="G19" s="3468">
        <f ca="1">典型户型修正!T24</f>
        <v>13161872</v>
      </c>
    </row>
    <row r="20" spans="4:7" ht="14.25" thickBot="1">
      <c r="D20" s="3467">
        <f>'数据-基础表'!C14</f>
        <v>0</v>
      </c>
      <c r="E20" s="3468">
        <f>'数据-基础表'!I14</f>
        <v>0</v>
      </c>
      <c r="F20" s="3468">
        <f ca="1">典型户型修正!R25</f>
        <v>9099</v>
      </c>
      <c r="G20" s="3468">
        <f ca="1">典型户型修正!T25</f>
        <v>0</v>
      </c>
    </row>
    <row r="21" spans="4:7" ht="14.25" thickBot="1">
      <c r="D21" s="3467">
        <f>'数据-基础表'!C15</f>
        <v>0</v>
      </c>
      <c r="E21" s="3468">
        <f>'数据-基础表'!I15</f>
        <v>0</v>
      </c>
      <c r="F21" s="3468">
        <f ca="1">典型户型修正!R26</f>
        <v>9099</v>
      </c>
      <c r="G21" s="3468">
        <f ca="1">典型户型修正!T26</f>
        <v>0</v>
      </c>
    </row>
    <row r="22" spans="4:7" ht="14.25" thickBot="1">
      <c r="D22" s="3467">
        <f>'数据-基础表'!C16</f>
        <v>0</v>
      </c>
      <c r="E22" s="3468">
        <f>'数据-基础表'!I16</f>
        <v>0</v>
      </c>
      <c r="F22" s="3468">
        <f ca="1">典型户型修正!R27</f>
        <v>9099</v>
      </c>
      <c r="G22" s="3468">
        <f ca="1">典型户型修正!T27</f>
        <v>0</v>
      </c>
    </row>
    <row r="23" spans="4:7" ht="14.25" thickBot="1">
      <c r="D23" s="3467">
        <f>'数据-基础表'!C17</f>
        <v>0</v>
      </c>
      <c r="E23" s="3468">
        <f>'数据-基础表'!I17</f>
        <v>0</v>
      </c>
      <c r="F23" s="3468">
        <f ca="1">典型户型修正!R28</f>
        <v>9099</v>
      </c>
      <c r="G23" s="3468">
        <f ca="1">典型户型修正!T28</f>
        <v>0</v>
      </c>
    </row>
    <row r="24" spans="4:7" ht="14.25" thickBot="1">
      <c r="D24" s="3467"/>
      <c r="E24" s="3468"/>
      <c r="F24" s="3468"/>
      <c r="G24" s="3468"/>
    </row>
    <row r="25" spans="4:7" ht="14.25" thickBot="1">
      <c r="D25" s="3467"/>
      <c r="E25" s="3468"/>
      <c r="F25" s="3468"/>
      <c r="G25" s="3468"/>
    </row>
    <row r="26" spans="4:7" ht="14.25" thickBot="1">
      <c r="D26" s="3467"/>
      <c r="E26" s="3468"/>
      <c r="F26" s="3468"/>
      <c r="G26" s="3468"/>
    </row>
  </sheetData>
  <phoneticPr fontId="135"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1" t="str">
        <f>IF(项目基本情况!B9="房地产市场价值","估价结果一览表","结果表-2")</f>
        <v>结果表-2</v>
      </c>
      <c r="B1" s="3491"/>
      <c r="C1" s="3491"/>
      <c r="D1" s="3491"/>
      <c r="E1" s="3491"/>
      <c r="F1" s="3491"/>
      <c r="G1" s="3491"/>
      <c r="H1" s="3491"/>
      <c r="I1" s="3491"/>
    </row>
    <row r="2" spans="1:9" ht="30" customHeight="1" thickTop="1">
      <c r="A2" s="3492" t="s">
        <v>928</v>
      </c>
      <c r="B2" s="3492" t="s">
        <v>929</v>
      </c>
      <c r="C2" s="3492" t="s">
        <v>930</v>
      </c>
      <c r="D2" s="3492" t="str">
        <f>结果表!D116</f>
        <v>出让国有建设用地使用权价值</v>
      </c>
      <c r="E2" s="3492"/>
      <c r="F2" s="3492" t="str">
        <f>结果表!F116</f>
        <v>在建建筑物价值</v>
      </c>
      <c r="G2" s="3492"/>
      <c r="H2" s="3492" t="str">
        <f>IF(项目基本情况!B9="房地产市场价值","房地产市场价值","房地产价值")</f>
        <v>房地产价值</v>
      </c>
      <c r="I2" s="3492"/>
    </row>
    <row r="3" spans="1:9" ht="15">
      <c r="A3" s="3487"/>
      <c r="B3" s="3487"/>
      <c r="C3" s="3487"/>
      <c r="D3" s="854" t="s">
        <v>925</v>
      </c>
      <c r="E3" s="854" t="s">
        <v>931</v>
      </c>
      <c r="F3" s="854" t="s">
        <v>925</v>
      </c>
      <c r="G3" s="854" t="s">
        <v>926</v>
      </c>
      <c r="H3" s="854" t="s">
        <v>925</v>
      </c>
      <c r="I3" s="854" t="s">
        <v>926</v>
      </c>
    </row>
    <row r="4" spans="1:9" ht="30">
      <c r="A4" s="1505" t="str">
        <f>项目基本情况!S2</f>
        <v>北京市密云区沙河镇1号院房地产</v>
      </c>
      <c r="B4" s="854">
        <f>项目基本情况!C17</f>
        <v>1562.24</v>
      </c>
      <c r="C4" s="854">
        <f>项目基本情况!C18</f>
        <v>0</v>
      </c>
      <c r="D4" s="854">
        <f ca="1">结果表!D118</f>
        <v>836</v>
      </c>
      <c r="E4" s="854">
        <f ca="1">结果表!E118</f>
        <v>5350</v>
      </c>
      <c r="F4" s="854">
        <f ca="1">结果表!F118</f>
        <v>480</v>
      </c>
      <c r="G4" s="854">
        <f ca="1">结果表!G118</f>
        <v>3075</v>
      </c>
      <c r="H4" s="854">
        <f ca="1">结果表!H118</f>
        <v>1316</v>
      </c>
      <c r="I4" s="854">
        <f ca="1">结果表!I118</f>
        <v>8425</v>
      </c>
    </row>
    <row r="5" spans="1:9" ht="30" customHeight="1">
      <c r="A5" s="3487" t="s">
        <v>927</v>
      </c>
      <c r="B5" s="3487"/>
      <c r="C5" s="3487"/>
      <c r="D5" s="3487" t="str">
        <f ca="1">结果表!D119</f>
        <v>捌佰叁拾陆万元整</v>
      </c>
      <c r="E5" s="3487"/>
      <c r="F5" s="3487" t="str">
        <f ca="1">结果表!F119</f>
        <v>肆佰捌拾万元整</v>
      </c>
      <c r="G5" s="3487"/>
      <c r="H5" s="3487" t="str">
        <f ca="1">结果表!H119</f>
        <v>壹仟叁佰壹拾陆万元整</v>
      </c>
      <c r="I5" s="3487"/>
    </row>
    <row r="6" spans="1:9" ht="15.75">
      <c r="A6" s="3486" t="str">
        <f>结果表!A120</f>
        <v>估价师知悉的法定优先受偿款</v>
      </c>
      <c r="B6" s="3486"/>
      <c r="C6" s="3486"/>
      <c r="D6" s="3486">
        <f>结果表!D120</f>
        <v>0</v>
      </c>
      <c r="E6" s="3486"/>
      <c r="F6" s="3486"/>
      <c r="G6" s="3486"/>
      <c r="H6" s="3486"/>
      <c r="I6" s="3486"/>
    </row>
    <row r="7" spans="1:9" ht="15">
      <c r="A7" s="3487" t="s">
        <v>927</v>
      </c>
      <c r="B7" s="3487"/>
      <c r="C7" s="3487"/>
      <c r="D7" s="3488" t="str">
        <f>结果表!D121</f>
        <v>零元整</v>
      </c>
      <c r="E7" s="3489"/>
      <c r="F7" s="3489"/>
      <c r="G7" s="3489"/>
      <c r="H7" s="3489"/>
      <c r="I7" s="3490"/>
    </row>
    <row r="8" spans="1:9" ht="15.75">
      <c r="A8" s="3486" t="str">
        <f>结果表!A122</f>
        <v>房地产抵押价值</v>
      </c>
      <c r="B8" s="3486"/>
      <c r="C8" s="3486"/>
      <c r="D8" s="3486">
        <f ca="1">结果表!D122</f>
        <v>1316</v>
      </c>
      <c r="E8" s="3486"/>
      <c r="F8" s="3486"/>
      <c r="G8" s="3486"/>
      <c r="H8" s="3486"/>
      <c r="I8" s="3486"/>
    </row>
    <row r="9" spans="1:9" ht="15">
      <c r="A9" s="3487" t="s">
        <v>927</v>
      </c>
      <c r="B9" s="3487"/>
      <c r="C9" s="3487"/>
      <c r="D9" s="3487" t="str">
        <f ca="1">结果表!D123</f>
        <v>壹仟叁佰壹拾陆万元整</v>
      </c>
      <c r="E9" s="3487"/>
      <c r="F9" s="3487"/>
      <c r="G9" s="3487"/>
      <c r="H9" s="3487"/>
      <c r="I9" s="3487"/>
    </row>
    <row r="10" spans="1:9" ht="15.75">
      <c r="A10" s="3486" t="str">
        <f>结果表!A124</f>
        <v/>
      </c>
      <c r="B10" s="3486"/>
      <c r="C10" s="3486"/>
      <c r="D10" s="3486" t="str">
        <f>结果表!D124</f>
        <v>——</v>
      </c>
      <c r="E10" s="3486"/>
      <c r="F10" s="3486"/>
      <c r="G10" s="3486"/>
      <c r="H10" s="3486"/>
      <c r="I10" s="3486"/>
    </row>
    <row r="11" spans="1:9" ht="15">
      <c r="A11" s="3487" t="s">
        <v>927</v>
      </c>
      <c r="B11" s="3487"/>
      <c r="C11" s="3487"/>
      <c r="D11" s="3487" t="e">
        <f>结果表!D125</f>
        <v>#VALUE!</v>
      </c>
      <c r="E11" s="3487"/>
      <c r="F11" s="3487"/>
      <c r="G11" s="3487"/>
      <c r="H11" s="3487"/>
      <c r="I11" s="3487"/>
    </row>
    <row r="12" spans="1:9" ht="15.75">
      <c r="A12" s="3486" t="str">
        <f>结果表!A126</f>
        <v/>
      </c>
      <c r="B12" s="3486"/>
      <c r="C12" s="3486"/>
      <c r="D12" s="3486" t="str">
        <f>结果表!D126</f>
        <v>——</v>
      </c>
      <c r="E12" s="3486"/>
      <c r="F12" s="3486"/>
      <c r="G12" s="3486"/>
      <c r="H12" s="3486"/>
      <c r="I12" s="3486"/>
    </row>
    <row r="13" spans="1:9" ht="15.75" thickBot="1">
      <c r="A13" s="3484" t="s">
        <v>927</v>
      </c>
      <c r="B13" s="3484"/>
      <c r="C13" s="3484"/>
      <c r="D13" s="3484" t="e">
        <f>结果表!D127</f>
        <v>#VALUE!</v>
      </c>
      <c r="E13" s="3484"/>
      <c r="F13" s="3484"/>
      <c r="G13" s="3484"/>
      <c r="H13" s="3484"/>
      <c r="I13" s="3484"/>
    </row>
    <row r="14" spans="1:9" ht="15" thickTop="1">
      <c r="A14" s="3485" t="s">
        <v>932</v>
      </c>
      <c r="B14" s="3485"/>
      <c r="C14" s="3485"/>
      <c r="D14" s="3485"/>
      <c r="E14" s="3485"/>
      <c r="F14" s="3485"/>
      <c r="G14" s="3485"/>
      <c r="H14" s="3485"/>
      <c r="I14" s="3485"/>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9" t="s">
        <v>949</v>
      </c>
      <c r="B1" s="3499"/>
      <c r="C1" s="3499"/>
      <c r="D1" s="3499"/>
    </row>
    <row r="2" spans="1:4" ht="18">
      <c r="A2" s="3500" t="s">
        <v>933</v>
      </c>
      <c r="B2" s="3500"/>
      <c r="C2" s="3500"/>
      <c r="D2" s="3500"/>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崔锴</v>
      </c>
      <c r="B5" s="1511">
        <f ca="1">项目基本情况!E4</f>
        <v>1120100036</v>
      </c>
      <c r="C5" s="1514"/>
      <c r="D5" s="1513" t="s">
        <v>938</v>
      </c>
    </row>
    <row r="6" spans="1:4" ht="18">
      <c r="A6" s="3500" t="s">
        <v>939</v>
      </c>
      <c r="B6" s="3500"/>
      <c r="C6" s="3500"/>
      <c r="D6" s="350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1" t="s">
        <v>942</v>
      </c>
      <c r="B11" s="3493"/>
      <c r="C11" s="3493"/>
      <c r="D11" s="3493"/>
    </row>
    <row r="12" spans="1:4" ht="15.75">
      <c r="A12" s="34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8"/>
      <c r="C12" s="3498"/>
      <c r="D12" s="3498"/>
    </row>
    <row r="13" spans="1:4" ht="30" customHeight="1">
      <c r="A13" s="34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8"/>
      <c r="C13" s="3498"/>
      <c r="D13" s="3498"/>
    </row>
    <row r="14" spans="1:4" ht="15.75" customHeight="1">
      <c r="A14" s="3493" t="str">
        <f>IF(项目基本情况!B8="抵押","4.本次评估估价师所知悉的法定优先受偿款情况说明如下：","——")</f>
        <v>4.本次评估估价师所知悉的法定优先受偿款情况说明如下：</v>
      </c>
      <c r="B14" s="3498"/>
      <c r="C14" s="3498"/>
      <c r="D14" s="3498"/>
    </row>
    <row r="15" spans="1:4" ht="42" customHeight="1">
      <c r="A15" s="349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3"/>
      <c r="C15" s="3493"/>
      <c r="D15" s="3493"/>
    </row>
    <row r="16" spans="1:4" ht="30" customHeight="1">
      <c r="A16" s="3495" t="s">
        <v>943</v>
      </c>
      <c r="B16" s="3495"/>
      <c r="C16" s="3495"/>
      <c r="D16" s="3495"/>
    </row>
    <row r="17" spans="1:4" ht="144" customHeight="1">
      <c r="A17" s="3495" t="s">
        <v>944</v>
      </c>
      <c r="B17" s="3495"/>
      <c r="C17" s="3495"/>
      <c r="D17" s="3495"/>
    </row>
    <row r="18" spans="1:4" ht="15.75" customHeight="1">
      <c r="A18" s="3493" t="str">
        <f>IF(项目基本情况!B8="抵押",结果表!K120,"——")</f>
        <v>故，本次评估不存在估价师知悉的法定优先受偿款</v>
      </c>
      <c r="B18" s="3493"/>
      <c r="C18" s="3493"/>
      <c r="D18" s="3493"/>
    </row>
    <row r="19" spans="1:4" ht="46.5" customHeight="1">
      <c r="A19" s="34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3"/>
      <c r="C19" s="3493"/>
      <c r="D19" s="3493"/>
    </row>
    <row r="20" spans="1:4" ht="57.75" customHeight="1">
      <c r="A20" s="34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3"/>
      <c r="C20" s="3493"/>
      <c r="D20" s="3493"/>
    </row>
    <row r="21" spans="1:4" ht="57.75" customHeight="1">
      <c r="A21" s="34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6"/>
      <c r="C21" s="3496"/>
      <c r="D21" s="3496"/>
    </row>
    <row r="22" spans="1:4" ht="18.75" customHeight="1">
      <c r="A22" s="3497" t="s">
        <v>945</v>
      </c>
      <c r="B22" s="3497"/>
      <c r="C22" s="3497"/>
      <c r="D22" s="349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4">
        <v>42551</v>
      </c>
      <c r="D31" s="349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7" t="s">
        <v>956</v>
      </c>
      <c r="B15" s="3502" t="s">
        <v>109</v>
      </c>
      <c r="C15" s="3503"/>
    </row>
    <row r="16" spans="1:7" ht="13.5">
      <c r="A16" s="3508"/>
      <c r="B16" s="3502" t="s">
        <v>42</v>
      </c>
      <c r="C16" s="3503"/>
    </row>
    <row r="17" spans="1:3" ht="13.5">
      <c r="A17" s="3508"/>
      <c r="B17" s="3505" t="s">
        <v>957</v>
      </c>
      <c r="C17" s="1532" t="s">
        <v>956</v>
      </c>
    </row>
    <row r="18" spans="1:3" ht="13.5">
      <c r="A18" s="3508"/>
      <c r="B18" s="3505"/>
      <c r="C18" s="1532" t="s">
        <v>958</v>
      </c>
    </row>
    <row r="19" spans="1:3" ht="13.5">
      <c r="A19" s="3508"/>
      <c r="B19" s="3505"/>
      <c r="C19" s="1532" t="s">
        <v>959</v>
      </c>
    </row>
    <row r="20" spans="1:3" ht="13.5">
      <c r="A20" s="3509"/>
      <c r="B20" s="3504" t="s">
        <v>960</v>
      </c>
      <c r="C20" s="3503"/>
    </row>
    <row r="21" spans="1:3" ht="13.5">
      <c r="A21" s="1533" t="s">
        <v>961</v>
      </c>
      <c r="B21" s="1534"/>
      <c r="C21" s="1535"/>
    </row>
    <row r="22" spans="1:3" ht="13.5">
      <c r="A22" s="3506" t="s">
        <v>962</v>
      </c>
      <c r="B22" s="3504" t="s">
        <v>963</v>
      </c>
      <c r="C22" s="3503"/>
    </row>
    <row r="23" spans="1:3" ht="13.5">
      <c r="A23" s="3506"/>
      <c r="B23" s="3504" t="s">
        <v>964</v>
      </c>
      <c r="C23" s="3503"/>
    </row>
    <row r="24" spans="1:3" ht="13.5">
      <c r="A24" s="3506"/>
      <c r="B24" s="3504" t="s">
        <v>965</v>
      </c>
      <c r="C24" s="3503"/>
    </row>
    <row r="25" spans="1:3" ht="13.5">
      <c r="A25" s="3506"/>
      <c r="B25" s="3505" t="s">
        <v>966</v>
      </c>
      <c r="C25" s="1532" t="s">
        <v>967</v>
      </c>
    </row>
    <row r="26" spans="1:3" ht="13.5">
      <c r="A26" s="3506"/>
      <c r="B26" s="3505"/>
      <c r="C26" s="1532" t="s">
        <v>968</v>
      </c>
    </row>
    <row r="27" spans="1:3" ht="13.5">
      <c r="A27" s="3506"/>
      <c r="B27" s="3505"/>
      <c r="C27" s="1532" t="s">
        <v>969</v>
      </c>
    </row>
    <row r="28" spans="1:3" ht="13.5">
      <c r="A28" s="3506"/>
      <c r="B28" s="3505"/>
      <c r="C28" s="1532" t="s">
        <v>970</v>
      </c>
    </row>
    <row r="29" spans="1:3" ht="13.5">
      <c r="A29" s="3506"/>
      <c r="B29" s="3505"/>
      <c r="C29" s="1532" t="s">
        <v>971</v>
      </c>
    </row>
    <row r="30" spans="1:3" ht="13.5">
      <c r="A30" s="3506"/>
      <c r="B30" s="3505"/>
      <c r="C30" s="1532" t="s">
        <v>972</v>
      </c>
    </row>
    <row r="31" spans="1:3" ht="13.5">
      <c r="A31" s="3506"/>
      <c r="B31" s="3505"/>
      <c r="C31" s="1532" t="s">
        <v>973</v>
      </c>
    </row>
    <row r="32" spans="1:3" ht="13.5">
      <c r="A32" s="3506"/>
      <c r="B32" s="3505"/>
      <c r="C32" s="1532" t="s">
        <v>974</v>
      </c>
    </row>
    <row r="33" spans="1:3" ht="13.5">
      <c r="A33" s="3506"/>
      <c r="B33" s="350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45286</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0" t="s">
        <v>2159</v>
      </c>
      <c r="B17" s="3510"/>
      <c r="C17" s="3510"/>
      <c r="D17" s="3510"/>
      <c r="E17" s="3510"/>
      <c r="F17" s="3510"/>
      <c r="G17" s="3510"/>
      <c r="H17" s="3510"/>
    </row>
    <row r="18" spans="1:8" ht="24" customHeight="1">
      <c r="A18" s="3511" t="s">
        <v>2160</v>
      </c>
      <c r="B18" s="3511"/>
      <c r="C18" s="3511"/>
      <c r="D18" s="2343"/>
      <c r="E18" s="3512" t="s">
        <v>2161</v>
      </c>
      <c r="F18" s="3511"/>
      <c r="G18" s="3511"/>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3"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167</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比较法-商业</vt:lpstr>
      <vt:lpstr>比较案例</vt:lpstr>
      <vt:lpstr>比较法-租金</vt:lpstr>
      <vt:lpstr>成本法 (元)</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'比较法-租金'!商业层高</vt:lpstr>
      <vt:lpstr>商业层高</vt:lpstr>
      <vt:lpstr>'比较法-租金'!商业成新度</vt:lpstr>
      <vt:lpstr>商业成新度</vt:lpstr>
      <vt:lpstr>商业繁华度</vt:lpstr>
      <vt:lpstr>'比较法-租金'!商业公共部分装修</vt:lpstr>
      <vt:lpstr>商业公共部分装修</vt:lpstr>
      <vt:lpstr>'比较法-租金'!商业基础设施水平</vt:lpstr>
      <vt:lpstr>商业基础设施水平</vt:lpstr>
      <vt:lpstr>'比较法-租金'!商业建筑结构</vt:lpstr>
      <vt:lpstr>商业建筑结构</vt:lpstr>
      <vt:lpstr>'比较法-租金'!商业交易情况</vt:lpstr>
      <vt:lpstr>商业交易情况</vt:lpstr>
      <vt:lpstr>商业街名称</vt:lpstr>
      <vt:lpstr>'比较法-租金'!商业进深比</vt:lpstr>
      <vt:lpstr>商业进深比</vt:lpstr>
      <vt:lpstr>'比较法-租金'!商业类型</vt:lpstr>
      <vt:lpstr>商业类型</vt:lpstr>
      <vt:lpstr>'比较法-租金'!商业临街状况</vt:lpstr>
      <vt:lpstr>商业临街状况</vt:lpstr>
      <vt:lpstr>'比较法-租金'!商业楼层</vt:lpstr>
      <vt:lpstr>商业楼层</vt:lpstr>
      <vt:lpstr>'比较法-租金'!商业内部装修</vt:lpstr>
      <vt:lpstr>商业内部装修</vt:lpstr>
      <vt:lpstr>'比较法-租金'!商业人流量</vt:lpstr>
      <vt:lpstr>商业人流量</vt:lpstr>
      <vt:lpstr>'比较法-租金'!商业业态</vt:lpstr>
      <vt:lpstr>商业业态</vt:lpstr>
      <vt:lpstr>'比较法-租金'!商业用途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2023-12-26T08:16:16Z</dcterms:modified>
</cp:coreProperties>
</file>