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2765" windowHeight="1257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state="hidden"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分户表" sheetId="77" state="hidden" r:id="rId40"/>
    <sheet name="土地案例" sheetId="78"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9" r:id="rId47"/>
    <sheet name="土地" sheetId="80"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D15" i="74" l="1"/>
  <c r="C16" i="3" l="1"/>
  <c r="B21" i="3"/>
  <c r="C11" i="21"/>
  <c r="I13" i="3"/>
  <c r="E104" i="21" l="1"/>
  <c r="F104" i="21" s="1"/>
  <c r="G104" i="21" s="1"/>
  <c r="H104" i="21" s="1"/>
  <c r="I104" i="21" s="1"/>
  <c r="D104" i="21"/>
  <c r="E103" i="21"/>
  <c r="F103" i="21" s="1"/>
  <c r="G103" i="21" s="1"/>
  <c r="H103" i="21" s="1"/>
  <c r="I103" i="21" s="1"/>
  <c r="D103" i="21"/>
  <c r="C33" i="21"/>
  <c r="I7" i="39" l="1"/>
  <c r="G7" i="39"/>
  <c r="E7" i="39"/>
  <c r="E117" i="39"/>
  <c r="F117" i="39" s="1"/>
  <c r="G117" i="39" s="1"/>
  <c r="D117" i="39"/>
  <c r="I5" i="39"/>
  <c r="G5" i="39"/>
  <c r="E5" i="39"/>
  <c r="I38" i="39"/>
  <c r="G38" i="39"/>
  <c r="E38" i="39"/>
  <c r="I46" i="39"/>
  <c r="G46" i="39"/>
  <c r="E46" i="39"/>
  <c r="F20" i="6" l="1"/>
  <c r="K13" i="3"/>
  <c r="C17" i="3"/>
  <c r="L71" i="39" l="1"/>
  <c r="M71" i="39" s="1"/>
  <c r="N71" i="39" s="1"/>
  <c r="O71" i="39" s="1"/>
  <c r="Y7" i="77" l="1"/>
  <c r="Y6" i="77"/>
  <c r="Y5" i="77"/>
  <c r="W7" i="77"/>
  <c r="W6" i="77"/>
  <c r="W5" i="77"/>
  <c r="W4" i="77"/>
  <c r="E118" i="39"/>
  <c r="F118" i="39" s="1"/>
  <c r="G118" i="39" s="1"/>
  <c r="D118" i="39"/>
  <c r="E71" i="39"/>
  <c r="F71" i="39" s="1"/>
  <c r="G71" i="39" s="1"/>
  <c r="H71" i="39" s="1"/>
  <c r="I71" i="39" s="1"/>
  <c r="J71" i="39" s="1"/>
  <c r="K71" i="39" s="1"/>
  <c r="D71" i="39"/>
  <c r="V4" i="78"/>
  <c r="V3" i="78"/>
  <c r="V2" i="78"/>
  <c r="V8" i="78"/>
  <c r="V9" i="78"/>
  <c r="V10" i="78"/>
  <c r="V11" i="78"/>
  <c r="V12" i="78"/>
  <c r="V13" i="78"/>
  <c r="V14" i="78"/>
  <c r="V15" i="78"/>
  <c r="V16" i="78"/>
  <c r="V17" i="78"/>
  <c r="V18" i="78"/>
  <c r="V19" i="78"/>
  <c r="V20" i="78"/>
  <c r="V21" i="78"/>
  <c r="V7" i="78"/>
  <c r="B35" i="1" l="1"/>
  <c r="B21" i="1"/>
  <c r="D3" i="4"/>
  <c r="AH5" i="71" l="1"/>
  <c r="AG5" i="71"/>
  <c r="AE5" i="71"/>
  <c r="AF5" i="71"/>
  <c r="AD5" i="71"/>
  <c r="Q5" i="71"/>
  <c r="Q6" i="71"/>
  <c r="AB5" i="71"/>
  <c r="P5" i="71"/>
  <c r="P6" i="71"/>
  <c r="AA5" i="71"/>
  <c r="O5" i="71"/>
  <c r="O6" i="71"/>
  <c r="Y5" i="71"/>
  <c r="Z5" i="71"/>
  <c r="N5" i="71"/>
  <c r="N6" i="71"/>
  <c r="X5" i="71"/>
  <c r="F6" i="71"/>
  <c r="F5" i="71"/>
  <c r="E6" i="71"/>
  <c r="E5" i="71"/>
  <c r="C6" i="71"/>
  <c r="C5" i="71"/>
  <c r="D5"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Q7" i="71"/>
  <c r="AB6" i="71"/>
  <c r="P7" i="71"/>
  <c r="AA6" i="71"/>
  <c r="O7" i="71"/>
  <c r="Y6" i="71"/>
  <c r="Z6" i="71" s="1"/>
  <c r="N7"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s="1"/>
  <c r="P74" i="67"/>
  <c r="D116" i="39"/>
  <c r="E116" i="39"/>
  <c r="F116" i="39"/>
  <c r="G116" i="39"/>
  <c r="H116" i="39"/>
  <c r="I116" i="39"/>
  <c r="J116" i="39"/>
  <c r="K116" i="39"/>
  <c r="L116" i="39"/>
  <c r="M116" i="39"/>
  <c r="C116" i="39"/>
  <c r="A21" i="62"/>
  <c r="B67" i="72" s="1"/>
  <c r="A20" i="62"/>
  <c r="B66" i="72" s="1"/>
  <c r="A22" i="51"/>
  <c r="A21" i="51"/>
  <c r="A20" i="51"/>
  <c r="A14" i="62"/>
  <c r="A13" i="62"/>
  <c r="B59" i="72" s="1"/>
  <c r="A19" i="62"/>
  <c r="B65" i="72" s="1"/>
  <c r="A12" i="62"/>
  <c r="B58" i="72" s="1"/>
  <c r="A120" i="9"/>
  <c r="H2" i="52"/>
  <c r="A1" i="52"/>
  <c r="A3" i="53"/>
  <c r="Q14" i="71"/>
  <c r="P14" i="71"/>
  <c r="O14" i="71"/>
  <c r="N14"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s="1"/>
  <c r="A10" i="52" s="1"/>
  <c r="B55" i="72" s="1"/>
  <c r="B44" i="72"/>
  <c r="B42" i="72"/>
  <c r="B69" i="72"/>
  <c r="B68" i="72"/>
  <c r="B63" i="72"/>
  <c r="B62" i="72"/>
  <c r="B16" i="72"/>
  <c r="B60" i="72"/>
  <c r="B10" i="72"/>
  <c r="C53" i="10"/>
  <c r="B51" i="10"/>
  <c r="B19" i="72"/>
  <c r="A18" i="51"/>
  <c r="B13" i="72" s="1"/>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S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C21" i="69" s="1"/>
  <c r="F20" i="69"/>
  <c r="E10" i="69"/>
  <c r="E9" i="69"/>
  <c r="C7" i="69"/>
  <c r="AC21" i="37"/>
  <c r="W21" i="37"/>
  <c r="AC21" i="34"/>
  <c r="W21" i="34"/>
  <c r="AC21" i="33"/>
  <c r="W21" i="33"/>
  <c r="AB21" i="21"/>
  <c r="G83" i="21"/>
  <c r="J21" i="21"/>
  <c r="AC21" i="21" s="1"/>
  <c r="C40" i="69"/>
  <c r="F38" i="68"/>
  <c r="E37" i="68"/>
  <c r="F36" i="68"/>
  <c r="F35" i="68"/>
  <c r="F21" i="68"/>
  <c r="C21" i="68" s="1"/>
  <c r="F20" i="68"/>
  <c r="E10" i="68"/>
  <c r="E9" i="68"/>
  <c r="W21" i="21"/>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c r="L21" i="4"/>
  <c r="F19" i="4"/>
  <c r="F2" i="52"/>
  <c r="B50" i="72"/>
  <c r="D2" i="52"/>
  <c r="B46" i="72"/>
  <c r="B8" i="53"/>
  <c r="B23" i="72"/>
  <c r="L4" i="9"/>
  <c r="B17" i="72"/>
  <c r="B15" i="72"/>
  <c r="A3" i="51"/>
  <c r="C8" i="11"/>
  <c r="B2" i="49"/>
  <c r="E17" i="49" s="1"/>
  <c r="B40" i="48"/>
  <c r="B3" i="72"/>
  <c r="I2" i="43"/>
  <c r="N1" i="43"/>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F5" i="3" s="1"/>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s="1"/>
  <c r="K55" i="9"/>
  <c r="F59" i="9"/>
  <c r="O55" i="9" s="1"/>
  <c r="N54" i="9"/>
  <c r="N53" i="9"/>
  <c r="E48" i="9"/>
  <c r="N52" i="9"/>
  <c r="F56" i="9"/>
  <c r="O54" i="9" s="1"/>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F81" i="39" s="1"/>
  <c r="G81" i="39" s="1"/>
  <c r="H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s="1"/>
  <c r="Q38" i="39"/>
  <c r="Z38" i="39"/>
  <c r="Q36" i="39"/>
  <c r="Z36" i="39"/>
  <c r="Q37" i="39"/>
  <c r="Z37" i="39"/>
  <c r="B131" i="39"/>
  <c r="H45" i="39" s="1"/>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S40" i="39" s="1"/>
  <c r="Q35" i="39"/>
  <c r="Z35" i="39" s="1"/>
  <c r="Q34" i="39"/>
  <c r="Z34" i="39" s="1"/>
  <c r="Q32" i="39"/>
  <c r="Z32" i="39" s="1"/>
  <c r="Q31" i="39"/>
  <c r="Z31" i="39" s="1"/>
  <c r="Q27" i="39"/>
  <c r="Z27" i="39"/>
  <c r="Q25" i="39"/>
  <c r="Z25" i="39"/>
  <c r="Q23" i="39"/>
  <c r="Z23" i="39"/>
  <c r="Q21" i="39"/>
  <c r="Z21" i="39"/>
  <c r="Q19" i="39"/>
  <c r="Z19" i="39" s="1"/>
  <c r="Q17" i="39"/>
  <c r="Z17" i="39" s="1"/>
  <c r="Q15" i="39"/>
  <c r="Z15" i="39" s="1"/>
  <c r="Q14" i="39"/>
  <c r="Z14" i="39" s="1"/>
  <c r="Q13" i="39"/>
  <c r="Z13" i="39"/>
  <c r="Q12" i="39"/>
  <c r="Z12" i="39"/>
  <c r="Q11" i="39"/>
  <c r="Z11" i="39" s="1"/>
  <c r="Q10" i="39"/>
  <c r="Z10" i="39"/>
  <c r="Q9" i="39"/>
  <c r="Z9" i="39"/>
  <c r="J9" i="39"/>
  <c r="AC9" i="39" s="1"/>
  <c r="H9" i="39"/>
  <c r="AB9" i="39" s="1"/>
  <c r="F9" i="39"/>
  <c r="S9" i="39" s="1"/>
  <c r="J8" i="39"/>
  <c r="AC8" i="39" s="1"/>
  <c r="H8" i="39"/>
  <c r="AB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C19" i="39" s="1"/>
  <c r="B59" i="43"/>
  <c r="C16" i="20"/>
  <c r="C17" i="39"/>
  <c r="C15" i="20"/>
  <c r="B70" i="43" s="1"/>
  <c r="E54" i="21"/>
  <c r="F54" i="21" s="1"/>
  <c r="I54" i="21"/>
  <c r="J54" i="21" s="1"/>
  <c r="G54" i="21"/>
  <c r="H54" i="21" s="1"/>
  <c r="D125" i="21"/>
  <c r="E125" i="21"/>
  <c r="F125" i="21" s="1"/>
  <c r="G125" i="21" s="1"/>
  <c r="D123" i="21"/>
  <c r="E123" i="21" s="1"/>
  <c r="F123"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H19" i="21" s="1"/>
  <c r="F81" i="21"/>
  <c r="G81" i="21" s="1"/>
  <c r="D77" i="21"/>
  <c r="E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s="1"/>
  <c r="Q44" i="21"/>
  <c r="Z44" i="21" s="1"/>
  <c r="Q45" i="21"/>
  <c r="Z45" i="21"/>
  <c r="Q46" i="21"/>
  <c r="Z46" i="2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J44" i="39"/>
  <c r="AC44" i="39" s="1"/>
  <c r="F36" i="39"/>
  <c r="S36" i="39" s="1"/>
  <c r="H36" i="39"/>
  <c r="AB36" i="39" s="1"/>
  <c r="J35" i="39"/>
  <c r="W35" i="39" s="1"/>
  <c r="F35" i="39"/>
  <c r="AA35" i="39" s="1"/>
  <c r="J36" i="39"/>
  <c r="AC36" i="39" s="1"/>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AB39" i="39" s="1"/>
  <c r="S34" i="39"/>
  <c r="H34" i="39"/>
  <c r="AB34" i="39" s="1"/>
  <c r="E109" i="39"/>
  <c r="H31" i="39"/>
  <c r="U31" i="39" s="1"/>
  <c r="F31" i="39"/>
  <c r="AA31" i="39" s="1"/>
  <c r="E101" i="39"/>
  <c r="F101" i="39" s="1"/>
  <c r="G101" i="39" s="1"/>
  <c r="J23" i="40"/>
  <c r="AC23" i="40"/>
  <c r="F21" i="40"/>
  <c r="AA21" i="40"/>
  <c r="J21" i="40"/>
  <c r="W21" i="40"/>
  <c r="H42" i="39"/>
  <c r="AB42" i="39" s="1"/>
  <c r="J34" i="39"/>
  <c r="AC34" i="39" s="1"/>
  <c r="F109" i="39"/>
  <c r="G109" i="39"/>
  <c r="H109" i="39" s="1"/>
  <c r="I109" i="39" s="1"/>
  <c r="J109" i="39" s="1"/>
  <c r="K109" i="39" s="1"/>
  <c r="L109" i="39" s="1"/>
  <c r="M109" i="39" s="1"/>
  <c r="J31" i="39"/>
  <c r="AC31" i="39" s="1"/>
  <c r="H27" i="39"/>
  <c r="U27" i="39" s="1"/>
  <c r="J27" i="39"/>
  <c r="W27" i="39" s="1"/>
  <c r="F27" i="39"/>
  <c r="AA27" i="39" s="1"/>
  <c r="F11" i="21"/>
  <c r="S11" i="21" s="1"/>
  <c r="S40" i="21"/>
  <c r="C25" i="39"/>
  <c r="C21" i="39"/>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s="1"/>
  <c r="F14" i="21"/>
  <c r="S14" i="21" s="1"/>
  <c r="H14" i="21"/>
  <c r="U14" i="21" s="1"/>
  <c r="H28" i="21"/>
  <c r="AB28" i="21"/>
  <c r="F28" i="21"/>
  <c r="AA28" i="21"/>
  <c r="J28" i="21"/>
  <c r="W28" i="21"/>
  <c r="H30" i="21"/>
  <c r="U30" i="21"/>
  <c r="F30" i="21"/>
  <c r="S30" i="21"/>
  <c r="J30" i="21"/>
  <c r="AC30" i="2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S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B11" i="21"/>
  <c r="J41" i="39"/>
  <c r="W41" i="39" s="1"/>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AB38"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AB44" i="39"/>
  <c r="U44" i="39"/>
  <c r="H37" i="39"/>
  <c r="AB37" i="39" s="1"/>
  <c r="AC37" i="39"/>
  <c r="W37" i="39"/>
  <c r="H25" i="39"/>
  <c r="U25" i="39" s="1"/>
  <c r="J25" i="39"/>
  <c r="AC25" i="39" s="1"/>
  <c r="F25" i="39"/>
  <c r="S25" i="39" s="1"/>
  <c r="F15" i="39"/>
  <c r="AA15" i="39" s="1"/>
  <c r="H15" i="39"/>
  <c r="U15" i="39" s="1"/>
  <c r="J15" i="39"/>
  <c r="AC15" i="39" s="1"/>
  <c r="H41" i="39"/>
  <c r="AB41" i="39" s="1"/>
  <c r="W14" i="39"/>
  <c r="W9" i="39"/>
  <c r="W8" i="39"/>
  <c r="J19" i="40"/>
  <c r="AC19" i="40"/>
  <c r="J50" i="40"/>
  <c r="H103" i="9"/>
  <c r="D8" i="53"/>
  <c r="B16" i="53"/>
  <c r="B33" i="72" s="1"/>
  <c r="C7" i="37"/>
  <c r="C7" i="34"/>
  <c r="C7" i="36"/>
  <c r="W35" i="40"/>
  <c r="A118" i="9"/>
  <c r="A4" i="52"/>
  <c r="B41" i="72" s="1"/>
  <c r="A12" i="52"/>
  <c r="B56" i="72" s="1"/>
  <c r="G4" i="4"/>
  <c r="I4" i="4"/>
  <c r="K5" i="4"/>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F29" i="6" s="1"/>
  <c r="E29" i="6" s="1"/>
  <c r="K15" i="1" s="1"/>
  <c r="BM5" i="3"/>
  <c r="BJ5" i="3"/>
  <c r="BH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AZ15" i="3"/>
  <c r="BB5" i="3"/>
  <c r="E13" i="6" s="1"/>
  <c r="BR5" i="3"/>
  <c r="G28" i="6" s="1"/>
  <c r="G30" i="6" s="1"/>
  <c r="G31"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W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F30" i="6" s="1"/>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R10" i="1" s="1"/>
  <c r="R10" i="1"/>
  <c r="B10" i="1"/>
  <c r="E10" i="1"/>
  <c r="D1" i="66"/>
  <c r="E10" i="66"/>
  <c r="AZ80" i="3"/>
  <c r="AZ84" i="3"/>
  <c r="AZ88" i="3"/>
  <c r="AZ107" i="3"/>
  <c r="AZ111" i="3"/>
  <c r="K12" i="1"/>
  <c r="M12" i="1" s="1"/>
  <c r="S13" i="1"/>
  <c r="AR13" i="1" s="1"/>
  <c r="R13" i="1"/>
  <c r="S11" i="1"/>
  <c r="AQ11" i="1" s="1"/>
  <c r="R11" i="1"/>
  <c r="S9" i="1"/>
  <c r="AR9" i="1" s="1"/>
  <c r="R9" i="1"/>
  <c r="J51" i="67"/>
  <c r="C42" i="1"/>
  <c r="C77" i="9" s="1"/>
  <c r="H100" i="43"/>
  <c r="C30" i="66"/>
  <c r="E26" i="66"/>
  <c r="AC34" i="33"/>
  <c r="AA34" i="33"/>
  <c r="B41" i="1"/>
  <c r="F28" i="67"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S32" i="39" s="1"/>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F23" i="21"/>
  <c r="S23" i="21" s="1"/>
  <c r="E85" i="21"/>
  <c r="F85" i="21" s="1"/>
  <c r="G85" i="21" s="1"/>
  <c r="AA14" i="21"/>
  <c r="AB8" i="21"/>
  <c r="S8" i="21"/>
  <c r="M3" i="43"/>
  <c r="M1" i="43"/>
  <c r="N8" i="43"/>
  <c r="D120" i="9"/>
  <c r="F34" i="67"/>
  <c r="F62" i="67" s="1"/>
  <c r="M20" i="67"/>
  <c r="F34" i="15"/>
  <c r="F62" i="15" s="1"/>
  <c r="G13" i="3"/>
  <c r="G5" i="3" s="1"/>
  <c r="B3" i="3" s="1"/>
  <c r="BA13" i="3"/>
  <c r="BA5" i="3" s="1"/>
  <c r="BL17" i="3"/>
  <c r="AZ17" i="3"/>
  <c r="BL13" i="3"/>
  <c r="BL5" i="3" s="1"/>
  <c r="J56" i="9"/>
  <c r="J57" i="9"/>
  <c r="J59" i="9" s="1"/>
  <c r="J61" i="9" s="1"/>
  <c r="A24" i="51"/>
  <c r="B18" i="72"/>
  <c r="U29" i="34"/>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c r="C7" i="39"/>
  <c r="C68" i="39" s="1"/>
  <c r="C7" i="35"/>
  <c r="C7" i="33"/>
  <c r="C58" i="33" s="1"/>
  <c r="C7" i="21"/>
  <c r="C58" i="21" s="1"/>
  <c r="D58" i="21" s="1"/>
  <c r="E58" i="21" s="1"/>
  <c r="F58" i="21" s="1"/>
  <c r="G58" i="21" s="1"/>
  <c r="H58" i="21" s="1"/>
  <c r="I58" i="21" s="1"/>
  <c r="J58" i="21" s="1"/>
  <c r="K58" i="21" s="1"/>
  <c r="L58" i="21" s="1"/>
  <c r="M58" i="21" s="1"/>
  <c r="N58" i="21" s="1"/>
  <c r="O58" i="21" s="1"/>
  <c r="C7" i="40"/>
  <c r="C63" i="40" s="1"/>
  <c r="M47" i="9"/>
  <c r="G19" i="43"/>
  <c r="P24" i="43" s="1"/>
  <c r="B66" i="40" s="1"/>
  <c r="C46" i="36"/>
  <c r="D46" i="36" s="1"/>
  <c r="C59" i="34"/>
  <c r="D59" i="34" s="1"/>
  <c r="C52" i="37"/>
  <c r="D52" i="37" s="1"/>
  <c r="A4" i="51"/>
  <c r="B6" i="72" s="1"/>
  <c r="C48" i="35"/>
  <c r="H66" i="43"/>
  <c r="H65" i="43"/>
  <c r="H64" i="43"/>
  <c r="H63" i="43"/>
  <c r="H55" i="43"/>
  <c r="H56" i="43"/>
  <c r="H72" i="43"/>
  <c r="L20" i="6"/>
  <c r="B6" i="1"/>
  <c r="E6" i="1" s="1"/>
  <c r="S8" i="1"/>
  <c r="AR8" i="1" s="1"/>
  <c r="K11" i="1"/>
  <c r="M11" i="1" s="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13" i="39"/>
  <c r="AB13" i="39"/>
  <c r="AA13" i="39"/>
  <c r="S13" i="39"/>
  <c r="U43" i="39"/>
  <c r="AB43"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J33" i="21"/>
  <c r="W33" i="21" s="1"/>
  <c r="H33" i="21"/>
  <c r="AB33" i="21"/>
  <c r="AA26" i="21"/>
  <c r="AB14" i="21"/>
  <c r="AB46" i="21"/>
  <c r="U40" i="21"/>
  <c r="AB31" i="21"/>
  <c r="U31" i="21"/>
  <c r="U13" i="21"/>
  <c r="AB13" i="21"/>
  <c r="W8" i="21"/>
  <c r="S35" i="21"/>
  <c r="AC19" i="21"/>
  <c r="AC14" i="21"/>
  <c r="W30" i="21"/>
  <c r="S46" i="21"/>
  <c r="H45" i="21"/>
  <c r="U45" i="21"/>
  <c r="F29" i="21"/>
  <c r="S29" i="21" s="1"/>
  <c r="F13" i="21"/>
  <c r="AA13" i="21" s="1"/>
  <c r="AC38" i="21"/>
  <c r="H32" i="21"/>
  <c r="AB32" i="21" s="1"/>
  <c r="H9" i="21"/>
  <c r="J9" i="21"/>
  <c r="W9" i="21" s="1"/>
  <c r="J32" i="21"/>
  <c r="W32" i="21" s="1"/>
  <c r="F32" i="21"/>
  <c r="AA32" i="21" s="1"/>
  <c r="AA31" i="21"/>
  <c r="S19" i="21"/>
  <c r="S9" i="21"/>
  <c r="AA9" i="21"/>
  <c r="K141" i="21"/>
  <c r="K144" i="21"/>
  <c r="K143" i="21"/>
  <c r="U27" i="21"/>
  <c r="AB25" i="21"/>
  <c r="AB44" i="21"/>
  <c r="AA30" i="21"/>
  <c r="W13" i="21"/>
  <c r="AC45" i="21"/>
  <c r="F10" i="21"/>
  <c r="K145" i="21"/>
  <c r="W25" i="21"/>
  <c r="AA29" i="21"/>
  <c r="W31" i="21"/>
  <c r="S27" i="21"/>
  <c r="AC26" i="21"/>
  <c r="AB29" i="21"/>
  <c r="S28" i="21"/>
  <c r="AC34" i="21"/>
  <c r="W12" i="21"/>
  <c r="AB36" i="21"/>
  <c r="W30" i="40"/>
  <c r="C15" i="40"/>
  <c r="C17" i="40"/>
  <c r="C23" i="40"/>
  <c r="C21" i="40"/>
  <c r="U30" i="40"/>
  <c r="B65" i="43"/>
  <c r="B49" i="43"/>
  <c r="B52" i="43"/>
  <c r="B56" i="43"/>
  <c r="B60" i="43"/>
  <c r="B63" i="43"/>
  <c r="B67" i="43"/>
  <c r="D23" i="15"/>
  <c r="D22" i="15"/>
  <c r="E7" i="70"/>
  <c r="AA39" i="40"/>
  <c r="S39" i="40"/>
  <c r="S12" i="33"/>
  <c r="AA12" i="33"/>
  <c r="J32" i="39"/>
  <c r="AC32" i="39" s="1"/>
  <c r="H32" i="39"/>
  <c r="AB32" i="39" s="1"/>
  <c r="AA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J23" i="21"/>
  <c r="AC23" i="21" s="1"/>
  <c r="D6" i="52"/>
  <c r="D121" i="9"/>
  <c r="D7" i="52"/>
  <c r="K120" i="9"/>
  <c r="R22" i="31"/>
  <c r="B21" i="31"/>
  <c r="AP7" i="1"/>
  <c r="AB45" i="21"/>
  <c r="S33" i="21"/>
  <c r="AA33" i="21"/>
  <c r="AB9" i="21"/>
  <c r="U9" i="21"/>
  <c r="AA10" i="21"/>
  <c r="S10" i="21"/>
  <c r="A18" i="62"/>
  <c r="B64" i="72" s="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11" i="37"/>
  <c r="W11" i="37"/>
  <c r="W11" i="34"/>
  <c r="AC11" i="34"/>
  <c r="R8" i="1"/>
  <c r="AE8" i="1"/>
  <c r="AG6" i="1"/>
  <c r="H109" i="9"/>
  <c r="D16" i="53" s="1"/>
  <c r="H110" i="9"/>
  <c r="D18" i="53" s="1"/>
  <c r="B35" i="72" s="1"/>
  <c r="D124" i="9"/>
  <c r="D10" i="52"/>
  <c r="H14" i="74"/>
  <c r="B7" i="74" s="1"/>
  <c r="D125" i="9"/>
  <c r="D11" i="52" s="1"/>
  <c r="H112" i="9"/>
  <c r="D21" i="53" s="1"/>
  <c r="B39" i="72" s="1"/>
  <c r="H111" i="9"/>
  <c r="D126" i="9" s="1"/>
  <c r="D59" i="9"/>
  <c r="M55"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10" i="71"/>
  <c r="D10" i="71"/>
  <c r="D11" i="71"/>
  <c r="D12" i="71"/>
  <c r="U12" i="71"/>
  <c r="S12" i="71"/>
  <c r="T12" i="71"/>
  <c r="AB10" i="71"/>
  <c r="X8" i="71"/>
  <c r="X7" i="71"/>
  <c r="AA8" i="71"/>
  <c r="AA7" i="71"/>
  <c r="X11" i="71"/>
  <c r="Y7" i="71"/>
  <c r="Z7" i="71" s="1"/>
  <c r="AB8" i="71"/>
  <c r="AB7" i="71"/>
  <c r="B7" i="71"/>
  <c r="S8" i="71"/>
  <c r="F9" i="71"/>
  <c r="F8" i="71"/>
  <c r="F7" i="71"/>
  <c r="Y8" i="71"/>
  <c r="Z8" i="71" s="1"/>
  <c r="AB3" i="71"/>
  <c r="X3" i="71"/>
  <c r="C9" i="71"/>
  <c r="E9" i="71"/>
  <c r="E8" i="71"/>
  <c r="AF3" i="71"/>
  <c r="P22" i="43"/>
  <c r="G20" i="43"/>
  <c r="E7" i="71"/>
  <c r="V8" i="71"/>
  <c r="P23" i="43"/>
  <c r="B71" i="39" s="1"/>
  <c r="C8" i="71"/>
  <c r="D9" i="71"/>
  <c r="E41" i="43"/>
  <c r="C41" i="43"/>
  <c r="C7" i="71"/>
  <c r="D6" i="71"/>
  <c r="T8" i="71"/>
  <c r="D7" i="71"/>
  <c r="D8" i="71"/>
  <c r="U8" i="71"/>
  <c r="F31" i="15"/>
  <c r="F31" i="67"/>
  <c r="AO8" i="1"/>
  <c r="AO9" i="1"/>
  <c r="M28" i="15"/>
  <c r="F4" i="73"/>
  <c r="D2" i="21"/>
  <c r="F40" i="67"/>
  <c r="AO12" i="1"/>
  <c r="AO13" i="1"/>
  <c r="D2" i="37"/>
  <c r="B11" i="76"/>
  <c r="F37" i="67"/>
  <c r="E10" i="76"/>
  <c r="F37" i="15"/>
  <c r="F6" i="15"/>
  <c r="F20" i="31"/>
  <c r="D2" i="34"/>
  <c r="M23" i="15"/>
  <c r="F7" i="67"/>
  <c r="F26" i="67"/>
  <c r="J15" i="15"/>
  <c r="J15" i="67"/>
  <c r="F26" i="15"/>
  <c r="M29" i="67"/>
  <c r="D2" i="36"/>
  <c r="M23" i="67"/>
  <c r="F7" i="73"/>
  <c r="E7" i="76"/>
  <c r="M26" i="67"/>
  <c r="F6" i="67"/>
  <c r="F3" i="73"/>
  <c r="F42" i="15"/>
  <c r="F40" i="15"/>
  <c r="AO10" i="1"/>
  <c r="B8" i="76"/>
  <c r="L48" i="15"/>
  <c r="F36" i="15"/>
  <c r="D4" i="73"/>
  <c r="F38" i="67"/>
  <c r="M24" i="15"/>
  <c r="M8" i="15"/>
  <c r="E8" i="76"/>
  <c r="E13" i="76"/>
  <c r="F43" i="67"/>
  <c r="M24" i="67"/>
  <c r="F16" i="67"/>
  <c r="F13" i="15"/>
  <c r="D7" i="73"/>
  <c r="M9" i="67"/>
  <c r="M9" i="15"/>
  <c r="F6" i="73"/>
  <c r="E12" i="76"/>
  <c r="M27" i="15"/>
  <c r="B7" i="76"/>
  <c r="M6" i="67"/>
  <c r="L47" i="15"/>
  <c r="D3" i="73"/>
  <c r="F8" i="67"/>
  <c r="F16" i="15"/>
  <c r="M26" i="15"/>
  <c r="D2" i="35"/>
  <c r="M22" i="15"/>
  <c r="D5" i="73"/>
  <c r="B13" i="76"/>
  <c r="F38" i="15"/>
  <c r="M27" i="67"/>
  <c r="B10" i="76"/>
  <c r="D6" i="73"/>
  <c r="D2" i="33"/>
  <c r="C76" i="15"/>
  <c r="E2" i="68"/>
  <c r="F5" i="73"/>
  <c r="F35" i="67"/>
  <c r="M21" i="67"/>
  <c r="AO11" i="1"/>
  <c r="B9" i="76"/>
  <c r="E9" i="76"/>
  <c r="L47" i="67"/>
  <c r="C76" i="67"/>
  <c r="F13" i="67"/>
  <c r="M8" i="67"/>
  <c r="F8" i="15"/>
  <c r="B12" i="76"/>
  <c r="E11" i="76"/>
  <c r="E2" i="69"/>
  <c r="F42" i="67"/>
  <c r="F9" i="67"/>
  <c r="F9" i="15"/>
  <c r="F41" i="67"/>
  <c r="M28" i="67"/>
  <c r="F36" i="67"/>
  <c r="M6" i="15"/>
  <c r="M22" i="67"/>
  <c r="L48" i="67"/>
  <c r="AC33" i="21" l="1"/>
  <c r="G123" i="21"/>
  <c r="H123" i="21" s="1"/>
  <c r="I123" i="21" s="1"/>
  <c r="J123" i="21" s="1"/>
  <c r="K123" i="21" s="1"/>
  <c r="L123" i="21" s="1"/>
  <c r="M123" i="21" s="1"/>
  <c r="H42" i="21"/>
  <c r="F42" i="21"/>
  <c r="J42" i="21"/>
  <c r="AC42" i="21" s="1"/>
  <c r="H113" i="21"/>
  <c r="F37" i="21"/>
  <c r="H37" i="21"/>
  <c r="J37" i="21"/>
  <c r="W37" i="21" s="1"/>
  <c r="U32" i="21"/>
  <c r="W42" i="21"/>
  <c r="S34" i="21"/>
  <c r="AC32" i="21"/>
  <c r="W39" i="21"/>
  <c r="S32" i="21"/>
  <c r="U34" i="21"/>
  <c r="S13" i="21"/>
  <c r="H23" i="21"/>
  <c r="U23" i="21" s="1"/>
  <c r="AA23" i="21"/>
  <c r="AB19" i="21"/>
  <c r="U19" i="21"/>
  <c r="F79" i="21"/>
  <c r="G79" i="21" s="1"/>
  <c r="F17" i="21"/>
  <c r="J17" i="21"/>
  <c r="H17" i="21"/>
  <c r="F77" i="21"/>
  <c r="G77" i="21" s="1"/>
  <c r="H15" i="21"/>
  <c r="U15" i="21" s="1"/>
  <c r="F15" i="21"/>
  <c r="S15" i="21" s="1"/>
  <c r="J15" i="21"/>
  <c r="AC15" i="21" s="1"/>
  <c r="AB23" i="21"/>
  <c r="W27" i="21"/>
  <c r="AC27" i="21"/>
  <c r="AC29" i="21"/>
  <c r="W29" i="21"/>
  <c r="W23" i="21"/>
  <c r="S21" i="21"/>
  <c r="AB15" i="21"/>
  <c r="AA15" i="21"/>
  <c r="W15" i="21"/>
  <c r="AA11" i="21"/>
  <c r="AC11" i="21"/>
  <c r="W10" i="21"/>
  <c r="AC9" i="21"/>
  <c r="G13" i="1"/>
  <c r="E5" i="6"/>
  <c r="D9" i="11" s="1"/>
  <c r="C9" i="11" s="1"/>
  <c r="M20" i="43"/>
  <c r="P25" i="43"/>
  <c r="P21" i="43"/>
  <c r="F17" i="39"/>
  <c r="S17" i="39" s="1"/>
  <c r="H17" i="39"/>
  <c r="AB17" i="39" s="1"/>
  <c r="J17" i="39"/>
  <c r="AC17" i="39" s="1"/>
  <c r="AA14" i="39"/>
  <c r="U14" i="39"/>
  <c r="AA12" i="39"/>
  <c r="G7" i="1"/>
  <c r="I4" i="6"/>
  <c r="G3" i="43" s="1"/>
  <c r="H22" i="43" s="1"/>
  <c r="F19" i="6"/>
  <c r="E19" i="6" s="1"/>
  <c r="O19" i="43"/>
  <c r="C19" i="43" s="1"/>
  <c r="T10" i="43" s="1"/>
  <c r="V10" i="43" s="1"/>
  <c r="J51" i="15"/>
  <c r="G6" i="1"/>
  <c r="C10" i="39"/>
  <c r="C18" i="9"/>
  <c r="D18" i="9" s="1"/>
  <c r="S27" i="39"/>
  <c r="J21" i="39"/>
  <c r="W21" i="39" s="1"/>
  <c r="H21" i="39"/>
  <c r="U21" i="39" s="1"/>
  <c r="F21" i="39"/>
  <c r="AA21" i="39" s="1"/>
  <c r="F95" i="39"/>
  <c r="G95" i="39" s="1"/>
  <c r="F93" i="39"/>
  <c r="G93" i="39" s="1"/>
  <c r="H19" i="39"/>
  <c r="F19" i="39"/>
  <c r="AA19" i="39" s="1"/>
  <c r="J19" i="39"/>
  <c r="W19" i="39" s="1"/>
  <c r="I81" i="39"/>
  <c r="J81" i="39" s="1"/>
  <c r="K81" i="39" s="1"/>
  <c r="L81" i="39" s="1"/>
  <c r="M81" i="39" s="1"/>
  <c r="S42" i="39"/>
  <c r="W42" i="39"/>
  <c r="U29" i="39"/>
  <c r="W29" i="39"/>
  <c r="AA29" i="39"/>
  <c r="AC27" i="39"/>
  <c r="AB27" i="39"/>
  <c r="AA25" i="39"/>
  <c r="AB25" i="39"/>
  <c r="W25" i="39"/>
  <c r="S23" i="39"/>
  <c r="AB23" i="39"/>
  <c r="AA17" i="39"/>
  <c r="U41" i="39"/>
  <c r="AA41" i="39"/>
  <c r="AC41" i="39"/>
  <c r="U40" i="39"/>
  <c r="AA40" i="39"/>
  <c r="AA39" i="39"/>
  <c r="AC39" i="39"/>
  <c r="U39" i="39"/>
  <c r="U9" i="39"/>
  <c r="AA9" i="39"/>
  <c r="U8" i="39"/>
  <c r="G17" i="43"/>
  <c r="C16" i="43" s="1"/>
  <c r="E15" i="49"/>
  <c r="B9" i="49"/>
  <c r="C4" i="4" s="1"/>
  <c r="B4" i="62" s="1"/>
  <c r="B71" i="72" s="1"/>
  <c r="P61" i="15"/>
  <c r="AB45" i="39"/>
  <c r="U45" i="39"/>
  <c r="J45" i="39"/>
  <c r="F45" i="39"/>
  <c r="W32" i="39"/>
  <c r="AB31" i="39"/>
  <c r="AC35" i="39"/>
  <c r="S31" i="39"/>
  <c r="U32" i="39"/>
  <c r="S35" i="39"/>
  <c r="U34" i="39"/>
  <c r="W31" i="39"/>
  <c r="W15" i="39"/>
  <c r="AB15" i="39"/>
  <c r="S15" i="39"/>
  <c r="B8" i="49"/>
  <c r="B54" i="43"/>
  <c r="C92" i="9"/>
  <c r="C94" i="9"/>
  <c r="F30" i="69"/>
  <c r="F30" i="11"/>
  <c r="C30" i="11" s="1"/>
  <c r="F32" i="15"/>
  <c r="F60" i="15" s="1"/>
  <c r="F53" i="9"/>
  <c r="F30" i="68"/>
  <c r="C48" i="68" s="1"/>
  <c r="F32" i="67"/>
  <c r="F60" i="67" s="1"/>
  <c r="M18" i="67"/>
  <c r="D68" i="9"/>
  <c r="M18" i="15"/>
  <c r="F31" i="12"/>
  <c r="F54" i="9"/>
  <c r="F28" i="15"/>
  <c r="C28" i="15" s="1"/>
  <c r="F52" i="9"/>
  <c r="C40" i="68"/>
  <c r="D23" i="67"/>
  <c r="E304" i="3"/>
  <c r="E322" i="3"/>
  <c r="E399" i="3"/>
  <c r="E128" i="3"/>
  <c r="E511" i="3"/>
  <c r="AB6" i="3"/>
  <c r="E231" i="3"/>
  <c r="E236" i="3"/>
  <c r="E149" i="3"/>
  <c r="E164" i="3"/>
  <c r="E585" i="3"/>
  <c r="E405" i="3"/>
  <c r="E527" i="3"/>
  <c r="E477" i="3"/>
  <c r="E497" i="3"/>
  <c r="E450" i="3"/>
  <c r="E447" i="3"/>
  <c r="E41" i="3"/>
  <c r="E150" i="3"/>
  <c r="E210" i="3"/>
  <c r="E391" i="3"/>
  <c r="E31" i="3"/>
  <c r="E441" i="3"/>
  <c r="E78" i="3"/>
  <c r="E219" i="3"/>
  <c r="E23" i="3"/>
  <c r="E232" i="3"/>
  <c r="E63" i="3"/>
  <c r="E222" i="3"/>
  <c r="E101" i="3"/>
  <c r="E530" i="3"/>
  <c r="E17" i="3"/>
  <c r="E329" i="3"/>
  <c r="E359" i="3"/>
  <c r="AR6" i="3"/>
  <c r="E434" i="3"/>
  <c r="E215" i="3"/>
  <c r="E135" i="3"/>
  <c r="E85" i="3"/>
  <c r="E141" i="3"/>
  <c r="E532" i="3"/>
  <c r="E411" i="3"/>
  <c r="E512" i="3"/>
  <c r="E288" i="3"/>
  <c r="E547" i="3"/>
  <c r="E452" i="3"/>
  <c r="E475" i="3"/>
  <c r="E92" i="3"/>
  <c r="E139" i="3"/>
  <c r="E257" i="3"/>
  <c r="E317" i="3"/>
  <c r="E42" i="3"/>
  <c r="E473" i="3"/>
  <c r="E103" i="3"/>
  <c r="E235" i="3"/>
  <c r="E52" i="3"/>
  <c r="E233" i="3"/>
  <c r="E19" i="3"/>
  <c r="E283" i="3"/>
  <c r="E83" i="3"/>
  <c r="E252" i="3"/>
  <c r="E534" i="3"/>
  <c r="E414" i="3"/>
  <c r="E571" i="3"/>
  <c r="E26" i="3"/>
  <c r="E111" i="3"/>
  <c r="E243" i="3"/>
  <c r="E44" i="3"/>
  <c r="E482" i="3"/>
  <c r="E300" i="3"/>
  <c r="E340" i="3"/>
  <c r="E323" i="3"/>
  <c r="E144" i="3"/>
  <c r="E513" i="3"/>
  <c r="E97" i="3"/>
  <c r="E116" i="3"/>
  <c r="E525" i="3"/>
  <c r="E529" i="3"/>
  <c r="E451" i="3"/>
  <c r="W6" i="3"/>
  <c r="E403" i="3"/>
  <c r="E420" i="3"/>
  <c r="E54" i="3"/>
  <c r="E126" i="3"/>
  <c r="E281" i="3"/>
  <c r="E357" i="3"/>
  <c r="AM6" i="3"/>
  <c r="E488" i="3"/>
  <c r="E38" i="3"/>
  <c r="E267" i="3"/>
  <c r="E147" i="3"/>
  <c r="E102" i="3"/>
  <c r="E287" i="3"/>
  <c r="E82" i="3"/>
  <c r="E526" i="3"/>
  <c r="E508" i="3"/>
  <c r="E347" i="3"/>
  <c r="E352" i="3"/>
  <c r="E570" i="3"/>
  <c r="E439" i="3"/>
  <c r="E262" i="3"/>
  <c r="E91" i="3"/>
  <c r="E105" i="3"/>
  <c r="E458" i="3"/>
  <c r="E360" i="3"/>
  <c r="E476" i="3"/>
  <c r="E186" i="3"/>
  <c r="E318" i="3"/>
  <c r="E170" i="3"/>
  <c r="E86" i="3"/>
  <c r="E62" i="3"/>
  <c r="E548" i="3"/>
  <c r="E565" i="3"/>
  <c r="AJ6" i="3"/>
  <c r="O6" i="3"/>
  <c r="E280" i="3"/>
  <c r="E270" i="3"/>
  <c r="E16" i="3"/>
  <c r="E387" i="3"/>
  <c r="E216" i="3"/>
  <c r="E269" i="3"/>
  <c r="E212" i="3"/>
  <c r="E313" i="3"/>
  <c r="U6" i="3"/>
  <c r="E456" i="3"/>
  <c r="E438" i="3"/>
  <c r="E367" i="3"/>
  <c r="E471" i="3"/>
  <c r="E71" i="3"/>
  <c r="E115" i="3"/>
  <c r="E208" i="3"/>
  <c r="E291" i="3"/>
  <c r="E356" i="3"/>
  <c r="E93" i="3"/>
  <c r="E425" i="3"/>
  <c r="E190" i="3"/>
  <c r="E339" i="3"/>
  <c r="E67" i="3"/>
  <c r="E370" i="3"/>
  <c r="E113" i="3"/>
  <c r="E365" i="3"/>
  <c r="E217" i="3"/>
  <c r="E510" i="3"/>
  <c r="E514" i="3"/>
  <c r="E538" i="3"/>
  <c r="E296" i="3"/>
  <c r="E134" i="3"/>
  <c r="E343" i="3"/>
  <c r="E302" i="3"/>
  <c r="E545" i="3"/>
  <c r="E285" i="3"/>
  <c r="E311" i="3"/>
  <c r="E561" i="3"/>
  <c r="E306" i="3"/>
  <c r="E189" i="3"/>
  <c r="E161" i="3"/>
  <c r="E238" i="3"/>
  <c r="E369" i="3"/>
  <c r="E573" i="3"/>
  <c r="E478" i="3"/>
  <c r="E408" i="3"/>
  <c r="E562" i="3"/>
  <c r="AS6" i="3"/>
  <c r="E470" i="3"/>
  <c r="E72" i="3"/>
  <c r="E162" i="3"/>
  <c r="E225" i="3"/>
  <c r="E351" i="3"/>
  <c r="E384" i="3"/>
  <c r="E94" i="3"/>
  <c r="E455" i="3"/>
  <c r="E142" i="3"/>
  <c r="E383" i="3"/>
  <c r="E112" i="3"/>
  <c r="E381" i="3"/>
  <c r="E118" i="3"/>
  <c r="E326" i="3"/>
  <c r="E237" i="3"/>
  <c r="E268" i="3"/>
  <c r="AA6" i="3"/>
  <c r="E205" i="3"/>
  <c r="E314" i="3"/>
  <c r="M6" i="3"/>
  <c r="E380" i="3"/>
  <c r="E136" i="3"/>
  <c r="E180" i="3"/>
  <c r="E204" i="3"/>
  <c r="E379" i="3"/>
  <c r="T6" i="3"/>
  <c r="E474" i="3"/>
  <c r="E432" i="3"/>
  <c r="E556" i="3"/>
  <c r="E537" i="3"/>
  <c r="E546" i="3"/>
  <c r="E104" i="3"/>
  <c r="E168" i="3"/>
  <c r="E272" i="3"/>
  <c r="E332" i="3"/>
  <c r="E14" i="3"/>
  <c r="E29" i="3"/>
  <c r="E18" i="3"/>
  <c r="E194" i="3"/>
  <c r="E310" i="3"/>
  <c r="E49" i="3"/>
  <c r="Y6" i="3"/>
  <c r="E179" i="3"/>
  <c r="E373" i="3"/>
  <c r="E522" i="3"/>
  <c r="E175" i="3"/>
  <c r="E213" i="3"/>
  <c r="E574" i="3"/>
  <c r="E124" i="3"/>
  <c r="E533" i="3"/>
  <c r="AK6" i="3"/>
  <c r="E335" i="3"/>
  <c r="E185" i="3"/>
  <c r="E89" i="3"/>
  <c r="E167" i="3"/>
  <c r="E519" i="3"/>
  <c r="E515" i="3"/>
  <c r="E469" i="3"/>
  <c r="E457" i="3"/>
  <c r="E505" i="3"/>
  <c r="E494" i="3"/>
  <c r="E433" i="3"/>
  <c r="E27" i="3"/>
  <c r="E198" i="3"/>
  <c r="E279" i="3"/>
  <c r="E331" i="3"/>
  <c r="AL6" i="3"/>
  <c r="E75" i="3"/>
  <c r="E64" i="3"/>
  <c r="E220" i="3"/>
  <c r="E392" i="3"/>
  <c r="E50" i="3"/>
  <c r="E218" i="3"/>
  <c r="E305" i="3"/>
  <c r="T11" i="1"/>
  <c r="AQ13" i="1"/>
  <c r="T12" i="1"/>
  <c r="E13" i="3"/>
  <c r="E8" i="6"/>
  <c r="E51" i="40" s="1"/>
  <c r="D9" i="68"/>
  <c r="C9" i="68" s="1"/>
  <c r="T13" i="1"/>
  <c r="AQ12" i="1"/>
  <c r="T9" i="1"/>
  <c r="AR11" i="1"/>
  <c r="AQ9" i="1"/>
  <c r="AQ10" i="1"/>
  <c r="D5" i="43"/>
  <c r="C5" i="43"/>
  <c r="C33" i="43"/>
  <c r="G33" i="43" s="1"/>
  <c r="I33" i="43" s="1"/>
  <c r="O12" i="1"/>
  <c r="P12" i="1" s="1"/>
  <c r="O9" i="1"/>
  <c r="P9" i="1" s="1"/>
  <c r="O11" i="1"/>
  <c r="P11" i="1" s="1"/>
  <c r="O8" i="1"/>
  <c r="P8" i="1" s="1"/>
  <c r="E10" i="6"/>
  <c r="E14" i="6"/>
  <c r="E11" i="6"/>
  <c r="E12" i="6"/>
  <c r="E15" i="6"/>
  <c r="O7" i="1"/>
  <c r="P7" i="1" s="1"/>
  <c r="E58" i="40"/>
  <c r="E63" i="39"/>
  <c r="E28" i="6"/>
  <c r="T8" i="1"/>
  <c r="T10" i="1"/>
  <c r="AQ8" i="1"/>
  <c r="AZ13" i="3"/>
  <c r="AZ5" i="3" s="1"/>
  <c r="E3" i="6" s="1"/>
  <c r="E261" i="3"/>
  <c r="E528" i="3"/>
  <c r="E183" i="3"/>
  <c r="E361" i="3"/>
  <c r="E503" i="3"/>
  <c r="E388" i="3"/>
  <c r="E555" i="3"/>
  <c r="E410" i="3"/>
  <c r="E337" i="3"/>
  <c r="E143" i="3"/>
  <c r="E397" i="3"/>
  <c r="E568" i="3"/>
  <c r="I6" i="3"/>
  <c r="E536" i="3"/>
  <c r="E549" i="3"/>
  <c r="E453" i="3"/>
  <c r="E368" i="3"/>
  <c r="E244" i="3"/>
  <c r="E196" i="3"/>
  <c r="E156" i="3"/>
  <c r="E148" i="3"/>
  <c r="E122" i="3"/>
  <c r="E140" i="3"/>
  <c r="E223" i="3"/>
  <c r="E197" i="3"/>
  <c r="E173"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33" i="3"/>
  <c r="E184" i="3"/>
  <c r="E355" i="3"/>
  <c r="E68" i="3"/>
  <c r="E81" i="3"/>
  <c r="E264" i="3"/>
  <c r="E309" i="3"/>
  <c r="E21" i="3"/>
  <c r="E69" i="3"/>
  <c r="E278" i="3"/>
  <c r="E563" i="3"/>
  <c r="E172" i="3"/>
  <c r="E445" i="3"/>
  <c r="E535" i="3"/>
  <c r="E509" i="3"/>
  <c r="E579" i="3"/>
  <c r="E431" i="3"/>
  <c r="E247" i="3"/>
  <c r="E201" i="3"/>
  <c r="E353" i="3"/>
  <c r="E495" i="3"/>
  <c r="AN6" i="3"/>
  <c r="E586" i="3"/>
  <c r="E402" i="3"/>
  <c r="E350" i="3"/>
  <c r="E303" i="3"/>
  <c r="E301" i="3"/>
  <c r="E159" i="3"/>
  <c r="E99" i="3"/>
  <c r="E228" i="3"/>
  <c r="E157" i="3"/>
  <c r="E120" i="3"/>
  <c r="E277" i="3"/>
  <c r="E177" i="3"/>
  <c r="E133"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7" i="3"/>
  <c r="E65" i="3"/>
  <c r="E195" i="3"/>
  <c r="E248" i="3"/>
  <c r="E266" i="3"/>
  <c r="E386" i="3"/>
  <c r="E584" i="3"/>
  <c r="E24" i="3"/>
  <c r="E87" i="3"/>
  <c r="E250" i="3"/>
  <c r="E341" i="3"/>
  <c r="E51" i="3"/>
  <c r="E154" i="3"/>
  <c r="E53" i="3"/>
  <c r="E319" i="3"/>
  <c r="E501" i="3"/>
  <c r="E153" i="3"/>
  <c r="E426" i="3"/>
  <c r="E328" i="3"/>
  <c r="E539" i="3"/>
  <c r="E567" i="3"/>
  <c r="E461" i="3"/>
  <c r="E227" i="3"/>
  <c r="E165" i="3"/>
  <c r="E390" i="3"/>
  <c r="S6" i="3"/>
  <c r="E523" i="3"/>
  <c r="E506" i="3"/>
  <c r="E418" i="3"/>
  <c r="E338" i="3"/>
  <c r="E321" i="3"/>
  <c r="E298" i="3"/>
  <c r="E169" i="3"/>
  <c r="E61" i="3"/>
  <c r="E290" i="3"/>
  <c r="E117" i="3"/>
  <c r="E207" i="3"/>
  <c r="E271" i="3"/>
  <c r="E145" i="3"/>
  <c r="E107"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409" i="3"/>
  <c r="E15" i="3"/>
  <c r="E79" i="3"/>
  <c r="E100" i="3"/>
  <c r="E137" i="3"/>
  <c r="E234" i="3"/>
  <c r="E299" i="3"/>
  <c r="E325" i="3"/>
  <c r="AQ6" i="3"/>
  <c r="E36" i="3"/>
  <c r="E123" i="3"/>
  <c r="E289" i="3"/>
  <c r="E364" i="3"/>
  <c r="E20" i="3"/>
  <c r="E176" i="3"/>
  <c r="E265" i="3"/>
  <c r="E524" i="3"/>
  <c r="E125" i="3"/>
  <c r="E366" i="3"/>
  <c r="E553" i="3"/>
  <c r="E282" i="3"/>
  <c r="N6" i="3"/>
  <c r="AY6" i="3"/>
  <c r="AY382" i="3" s="1"/>
  <c r="E583" i="3"/>
  <c r="X6" i="3"/>
  <c r="E336" i="3"/>
  <c r="E246" i="3"/>
  <c r="E293" i="3"/>
  <c r="E358" i="3"/>
  <c r="E559" i="3"/>
  <c r="E551" i="3"/>
  <c r="V6" i="3"/>
  <c r="E407" i="3"/>
  <c r="E320" i="3"/>
  <c r="E294" i="3"/>
  <c r="E230" i="3"/>
  <c r="E130" i="3"/>
  <c r="E254" i="3"/>
  <c r="E221" i="3"/>
  <c r="E77" i="3"/>
  <c r="E253" i="3"/>
  <c r="E199"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428" i="3"/>
  <c r="E412" i="3"/>
  <c r="E96" i="3"/>
  <c r="E129" i="3"/>
  <c r="E174" i="3"/>
  <c r="E275" i="3"/>
  <c r="E324" i="3"/>
  <c r="E342" i="3"/>
  <c r="E35" i="3"/>
  <c r="E34" i="3"/>
  <c r="E206" i="3"/>
  <c r="E251" i="3"/>
  <c r="AF6" i="3"/>
  <c r="E80" i="3"/>
  <c r="E158" i="3"/>
  <c r="E308" i="3"/>
  <c r="E22" i="3"/>
  <c r="AT6" i="3"/>
  <c r="E114" i="3"/>
  <c r="E415" i="3"/>
  <c r="E395" i="3"/>
  <c r="E260" i="3"/>
  <c r="E550" i="3"/>
  <c r="E239" i="3"/>
  <c r="E516" i="3"/>
  <c r="E569" i="3"/>
  <c r="E396" i="3"/>
  <c r="E229" i="3"/>
  <c r="E151" i="3"/>
  <c r="E385" i="3"/>
  <c r="E518" i="3"/>
  <c r="AI6" i="3"/>
  <c r="E578" i="3"/>
  <c r="E423" i="3"/>
  <c r="E382" i="3"/>
  <c r="E263" i="3"/>
  <c r="E245" i="3"/>
  <c r="E191" i="3"/>
  <c r="E188" i="3"/>
  <c r="E181" i="3"/>
  <c r="E45" i="3"/>
  <c r="E224" i="3"/>
  <c r="E193"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K101" i="43"/>
  <c r="C101" i="43"/>
  <c r="AD11" i="43"/>
  <c r="AD13" i="43" s="1"/>
  <c r="AA11" i="43"/>
  <c r="AA13" i="43" s="1"/>
  <c r="H101" i="43"/>
  <c r="J101" i="43"/>
  <c r="AJ11" i="43"/>
  <c r="AJ13" i="43" s="1"/>
  <c r="AG11" i="43"/>
  <c r="AG13" i="43" s="1"/>
  <c r="F22" i="43"/>
  <c r="B113" i="43"/>
  <c r="M101" i="43"/>
  <c r="Z11" i="43"/>
  <c r="Z13" i="43" s="1"/>
  <c r="AY87" i="3"/>
  <c r="AY202" i="3"/>
  <c r="AY139" i="3"/>
  <c r="AY368" i="3"/>
  <c r="T35" i="4"/>
  <c r="A19" i="51" s="1"/>
  <c r="B14" i="72" s="1"/>
  <c r="A15" i="62"/>
  <c r="B61" i="72" s="1"/>
  <c r="G11" i="1"/>
  <c r="D19" i="53"/>
  <c r="B38" i="72" s="1"/>
  <c r="I14" i="74"/>
  <c r="B8" i="74" s="1"/>
  <c r="D127" i="9"/>
  <c r="D13" i="52" s="1"/>
  <c r="D12" i="52"/>
  <c r="B34" i="72"/>
  <c r="D17" i="53"/>
  <c r="B36" i="72" s="1"/>
  <c r="B16" i="49"/>
  <c r="E8" i="49"/>
  <c r="B13" i="49"/>
  <c r="B6" i="49"/>
  <c r="E7" i="49"/>
  <c r="E13" i="49"/>
  <c r="E14" i="49"/>
  <c r="C38" i="43"/>
  <c r="B14" i="49"/>
  <c r="E6" i="49"/>
  <c r="E10" i="49"/>
  <c r="B7" i="49"/>
  <c r="E5" i="49"/>
  <c r="B4" i="49"/>
  <c r="B15" i="49"/>
  <c r="C30" i="68"/>
  <c r="B11" i="49"/>
  <c r="E4" i="4" s="1"/>
  <c r="B5" i="62" s="1"/>
  <c r="B73" i="72" s="1"/>
  <c r="B10" i="49"/>
  <c r="E4" i="49"/>
  <c r="E11" i="49"/>
  <c r="C74" i="9"/>
  <c r="B22" i="49"/>
  <c r="E21" i="49"/>
  <c r="E16" i="49"/>
  <c r="E9" i="49"/>
  <c r="B5" i="49"/>
  <c r="E22" i="49"/>
  <c r="C70" i="39"/>
  <c r="D68" i="39"/>
  <c r="J7" i="21"/>
  <c r="E52" i="37"/>
  <c r="F52" i="37" s="1"/>
  <c r="G52" i="37" s="1"/>
  <c r="H52" i="37" s="1"/>
  <c r="I52" i="37" s="1"/>
  <c r="J52" i="37" s="1"/>
  <c r="K52" i="37" s="1"/>
  <c r="L52" i="37" s="1"/>
  <c r="M52" i="37" s="1"/>
  <c r="N52" i="37" s="1"/>
  <c r="O52" i="37" s="1"/>
  <c r="F7" i="37"/>
  <c r="E59" i="34"/>
  <c r="F59" i="34" s="1"/>
  <c r="G59" i="34" s="1"/>
  <c r="H59" i="34" s="1"/>
  <c r="I59" i="34" s="1"/>
  <c r="J59" i="34" s="1"/>
  <c r="K59" i="34" s="1"/>
  <c r="L59" i="34" s="1"/>
  <c r="M59" i="34" s="1"/>
  <c r="N59" i="34" s="1"/>
  <c r="O59" i="34" s="1"/>
  <c r="H7" i="34"/>
  <c r="C65" i="40"/>
  <c r="D63" i="40"/>
  <c r="C37" i="43"/>
  <c r="T9" i="43"/>
  <c r="V9" i="43" s="1"/>
  <c r="T11" i="43"/>
  <c r="V11" i="43" s="1"/>
  <c r="T14" i="43"/>
  <c r="V14" i="43" s="1"/>
  <c r="E46" i="36"/>
  <c r="F46" i="36" s="1"/>
  <c r="G46" i="36" s="1"/>
  <c r="H46" i="36" s="1"/>
  <c r="I46" i="36" s="1"/>
  <c r="J46" i="36" s="1"/>
  <c r="K46" i="36" s="1"/>
  <c r="L46" i="36" s="1"/>
  <c r="M46" i="36" s="1"/>
  <c r="N46" i="36" s="1"/>
  <c r="O46" i="36" s="1"/>
  <c r="F7" i="21"/>
  <c r="H7" i="21"/>
  <c r="D58" i="33"/>
  <c r="E58" i="33" s="1"/>
  <c r="F58" i="33" s="1"/>
  <c r="G58" i="33" s="1"/>
  <c r="H58" i="33" s="1"/>
  <c r="I58" i="33" s="1"/>
  <c r="J58" i="33" s="1"/>
  <c r="K58" i="33" s="1"/>
  <c r="L58" i="33" s="1"/>
  <c r="M58" i="33" s="1"/>
  <c r="N58" i="33" s="1"/>
  <c r="O58" i="33" s="1"/>
  <c r="T13" i="43"/>
  <c r="V13" i="43" s="1"/>
  <c r="C30" i="69"/>
  <c r="D48" i="35"/>
  <c r="T12" i="43"/>
  <c r="V12" i="43" s="1"/>
  <c r="T15" i="43"/>
  <c r="V15" i="43" s="1"/>
  <c r="C35" i="43"/>
  <c r="C48" i="69"/>
  <c r="C34" i="43"/>
  <c r="T16" i="43"/>
  <c r="V16" i="43" s="1"/>
  <c r="T8" i="43"/>
  <c r="V8" i="43" s="1"/>
  <c r="C28" i="67"/>
  <c r="Q71" i="67"/>
  <c r="F69" i="67"/>
  <c r="K1" i="73"/>
  <c r="F66" i="15"/>
  <c r="B11" i="70"/>
  <c r="F64" i="15"/>
  <c r="C27" i="67"/>
  <c r="F71" i="67"/>
  <c r="C27" i="15"/>
  <c r="F70" i="67"/>
  <c r="I1" i="73"/>
  <c r="B39" i="1" s="1"/>
  <c r="Q71" i="15"/>
  <c r="C6" i="67"/>
  <c r="B20" i="31"/>
  <c r="J53" i="15"/>
  <c r="L56" i="15" s="1"/>
  <c r="J57" i="15"/>
  <c r="J55" i="15" s="1"/>
  <c r="J58" i="15" s="1"/>
  <c r="Q50" i="15" s="1"/>
  <c r="I54" i="15"/>
  <c r="B8" i="70"/>
  <c r="J20" i="67"/>
  <c r="F51" i="15"/>
  <c r="B12" i="70"/>
  <c r="M59" i="15"/>
  <c r="N59" i="15"/>
  <c r="L58" i="15"/>
  <c r="E20" i="43"/>
  <c r="F66" i="67"/>
  <c r="B10" i="70"/>
  <c r="F51" i="67"/>
  <c r="L56" i="67"/>
  <c r="I54" i="67"/>
  <c r="J53" i="67"/>
  <c r="J57" i="67"/>
  <c r="J55" i="67" s="1"/>
  <c r="J58" i="67" s="1"/>
  <c r="Q50" i="67" s="1"/>
  <c r="F65" i="15"/>
  <c r="F65" i="67"/>
  <c r="L58" i="67"/>
  <c r="M59" i="67"/>
  <c r="L59" i="67"/>
  <c r="N59" i="67"/>
  <c r="B9" i="70"/>
  <c r="B13" i="70"/>
  <c r="M7" i="67"/>
  <c r="F50" i="67"/>
  <c r="C34" i="67"/>
  <c r="F63" i="67"/>
  <c r="C62" i="67" s="1"/>
  <c r="F68" i="67"/>
  <c r="F64" i="67"/>
  <c r="F68" i="15"/>
  <c r="F59" i="67"/>
  <c r="F59" i="15"/>
  <c r="M17" i="15"/>
  <c r="M17" i="67"/>
  <c r="G1" i="73"/>
  <c r="C16" i="67"/>
  <c r="C17" i="67"/>
  <c r="C14" i="67"/>
  <c r="U42" i="21" l="1"/>
  <c r="AB42" i="21"/>
  <c r="AA42" i="21"/>
  <c r="S42" i="21"/>
  <c r="AA37" i="21"/>
  <c r="S37" i="21"/>
  <c r="AC37" i="21"/>
  <c r="U37" i="21"/>
  <c r="AB37" i="21"/>
  <c r="AC17" i="21"/>
  <c r="W17" i="21"/>
  <c r="AB17" i="21"/>
  <c r="U17" i="21"/>
  <c r="AA17" i="21"/>
  <c r="S17" i="21"/>
  <c r="AC21" i="39"/>
  <c r="L59" i="15"/>
  <c r="Q61" i="15" s="1"/>
  <c r="AY557" i="3"/>
  <c r="AY494" i="3"/>
  <c r="BE6" i="3"/>
  <c r="D9" i="69"/>
  <c r="C9" i="69" s="1"/>
  <c r="D19" i="12"/>
  <c r="C19" i="12" s="1"/>
  <c r="AY258" i="3"/>
  <c r="AY52" i="3"/>
  <c r="AY363" i="3"/>
  <c r="AY471" i="3"/>
  <c r="AY411" i="3"/>
  <c r="AY262" i="3"/>
  <c r="AY327" i="3"/>
  <c r="E32" i="6"/>
  <c r="L19" i="6" s="1"/>
  <c r="L27" i="6" s="1"/>
  <c r="AE11" i="43"/>
  <c r="AE13" i="43" s="1"/>
  <c r="AH11" i="43"/>
  <c r="AH13" i="43" s="1"/>
  <c r="N104" i="46"/>
  <c r="N101" i="43"/>
  <c r="N104" i="43" s="1"/>
  <c r="Y11" i="43"/>
  <c r="Y13" i="43" s="1"/>
  <c r="AB11" i="43"/>
  <c r="AB13" i="43" s="1"/>
  <c r="D101" i="43"/>
  <c r="D104" i="43" s="1"/>
  <c r="G22" i="43"/>
  <c r="F101" i="43"/>
  <c r="F107" i="43" s="1"/>
  <c r="AI11" i="43"/>
  <c r="AI13" i="43" s="1"/>
  <c r="E101" i="43"/>
  <c r="E102" i="43" s="1"/>
  <c r="L101" i="43"/>
  <c r="L107" i="43" s="1"/>
  <c r="G101" i="43"/>
  <c r="G105" i="43" s="1"/>
  <c r="AC11" i="43"/>
  <c r="AC13" i="43" s="1"/>
  <c r="AC19" i="39"/>
  <c r="U17" i="39"/>
  <c r="W17" i="39"/>
  <c r="E22" i="43"/>
  <c r="I101" i="43"/>
  <c r="Z7" i="43"/>
  <c r="AF11" i="43"/>
  <c r="AF13" i="43" s="1"/>
  <c r="C7" i="12"/>
  <c r="K6" i="1"/>
  <c r="AP6" i="1" s="1"/>
  <c r="C36" i="69" s="1"/>
  <c r="AC6" i="3"/>
  <c r="C39" i="43"/>
  <c r="E39" i="43" s="1"/>
  <c r="H7" i="36"/>
  <c r="C36" i="43"/>
  <c r="D20" i="53"/>
  <c r="B40" i="72" s="1"/>
  <c r="S21" i="39"/>
  <c r="AB21" i="39"/>
  <c r="S19" i="39"/>
  <c r="AB19" i="39"/>
  <c r="U19" i="39"/>
  <c r="AA45" i="39"/>
  <c r="S45" i="39"/>
  <c r="AC45" i="39"/>
  <c r="W45" i="39"/>
  <c r="E33" i="43"/>
  <c r="C48" i="11"/>
  <c r="H6" i="3"/>
  <c r="AY578" i="3"/>
  <c r="AY111" i="3"/>
  <c r="F27" i="6"/>
  <c r="E56" i="39"/>
  <c r="AY384" i="3"/>
  <c r="AY379" i="3"/>
  <c r="AY67" i="3"/>
  <c r="AY344" i="3"/>
  <c r="AY430" i="3"/>
  <c r="AY278" i="3"/>
  <c r="AY529" i="3"/>
  <c r="E56" i="40"/>
  <c r="E61" i="39"/>
  <c r="AY255" i="3"/>
  <c r="AY229" i="3"/>
  <c r="AY378" i="3"/>
  <c r="AY364" i="3"/>
  <c r="AY333" i="3"/>
  <c r="AY165" i="3"/>
  <c r="AY460" i="3"/>
  <c r="E64" i="39"/>
  <c r="E59" i="40"/>
  <c r="AY291" i="3"/>
  <c r="AY43" i="3"/>
  <c r="AY192" i="3"/>
  <c r="AY287" i="3"/>
  <c r="AY388" i="3"/>
  <c r="AY185" i="3"/>
  <c r="AY303" i="3"/>
  <c r="E16" i="6"/>
  <c r="E62" i="39"/>
  <c r="E57" i="40"/>
  <c r="AY370" i="3"/>
  <c r="AY198" i="3"/>
  <c r="AY489" i="3"/>
  <c r="AY63" i="3"/>
  <c r="AY158" i="3"/>
  <c r="AY259" i="3"/>
  <c r="AY92" i="3"/>
  <c r="AY253" i="3"/>
  <c r="AY121" i="3"/>
  <c r="AY69" i="3"/>
  <c r="AY123" i="3"/>
  <c r="AY524" i="3"/>
  <c r="BG6" i="3"/>
  <c r="AY73" i="3"/>
  <c r="AY544" i="3"/>
  <c r="AY144" i="3"/>
  <c r="BB6" i="3"/>
  <c r="AY540" i="3"/>
  <c r="AY74" i="3"/>
  <c r="AY506" i="3"/>
  <c r="AY571" i="3"/>
  <c r="AY219" i="3"/>
  <c r="AY463" i="3"/>
  <c r="AY34" i="3"/>
  <c r="D3" i="34"/>
  <c r="M18" i="9"/>
  <c r="B118" i="9" s="1"/>
  <c r="B14" i="74" s="1"/>
  <c r="B1" i="74" s="1"/>
  <c r="C7" i="74" s="1"/>
  <c r="D3" i="21"/>
  <c r="C17" i="4"/>
  <c r="B4" i="52" s="1"/>
  <c r="B43" i="72" s="1"/>
  <c r="D3" i="33"/>
  <c r="D37" i="11"/>
  <c r="L18" i="9"/>
  <c r="E6" i="6"/>
  <c r="D14" i="12"/>
  <c r="D19" i="11"/>
  <c r="C19" i="11" s="1"/>
  <c r="D3" i="37"/>
  <c r="E30" i="6"/>
  <c r="K14" i="1"/>
  <c r="E60" i="40"/>
  <c r="E65" i="39"/>
  <c r="AY72" i="3"/>
  <c r="AY162" i="3"/>
  <c r="AY326" i="3"/>
  <c r="AY204" i="3"/>
  <c r="AY135" i="3"/>
  <c r="AY458" i="3"/>
  <c r="AY101" i="3"/>
  <c r="AY316" i="3"/>
  <c r="AY374" i="3"/>
  <c r="AY76" i="3"/>
  <c r="AY300" i="3"/>
  <c r="AY95" i="3"/>
  <c r="AY238" i="3"/>
  <c r="AY105" i="3"/>
  <c r="AY412" i="3"/>
  <c r="AY196" i="3"/>
  <c r="AY542" i="3"/>
  <c r="AY234" i="3"/>
  <c r="AY585" i="3"/>
  <c r="AY145" i="3"/>
  <c r="AY125" i="3"/>
  <c r="AY401" i="3"/>
  <c r="D22" i="43"/>
  <c r="AY66" i="3"/>
  <c r="AY171" i="3"/>
  <c r="AY42" i="3"/>
  <c r="AY276" i="3"/>
  <c r="AY103" i="3"/>
  <c r="AY23" i="3"/>
  <c r="AY132" i="3"/>
  <c r="AY183" i="3"/>
  <c r="AY58" i="3"/>
  <c r="AY220" i="3"/>
  <c r="AY319" i="3"/>
  <c r="AY428" i="3"/>
  <c r="AY18" i="3"/>
  <c r="AY292" i="3"/>
  <c r="AY335" i="3"/>
  <c r="AY180" i="3"/>
  <c r="AY310" i="3"/>
  <c r="AY97" i="3"/>
  <c r="AY154" i="3"/>
  <c r="AY230" i="3"/>
  <c r="AY56" i="3"/>
  <c r="AY353" i="3"/>
  <c r="AY438" i="3"/>
  <c r="AY520" i="3"/>
  <c r="AY207" i="3"/>
  <c r="AY90" i="3"/>
  <c r="AY261" i="3"/>
  <c r="AY236" i="3"/>
  <c r="AY334" i="3"/>
  <c r="AY425" i="3"/>
  <c r="AY116" i="3"/>
  <c r="AY395" i="3"/>
  <c r="AY481" i="3"/>
  <c r="AY417" i="3"/>
  <c r="AY569" i="3"/>
  <c r="AY89" i="3"/>
  <c r="AY84" i="3"/>
  <c r="AY206" i="3"/>
  <c r="AY146" i="3"/>
  <c r="AY134" i="3"/>
  <c r="AY263" i="3"/>
  <c r="AY222" i="3"/>
  <c r="AY373" i="3"/>
  <c r="BJ6" i="3"/>
  <c r="AY40" i="3"/>
  <c r="AY161" i="3"/>
  <c r="AY274" i="3"/>
  <c r="AY356" i="3"/>
  <c r="AY332" i="3"/>
  <c r="AY480" i="3"/>
  <c r="AY422" i="3"/>
  <c r="AY581" i="3"/>
  <c r="AY572" i="3"/>
  <c r="AY495" i="3"/>
  <c r="AY508" i="3"/>
  <c r="AY519" i="3"/>
  <c r="AY64" i="3"/>
  <c r="AY142" i="3"/>
  <c r="AY282" i="3"/>
  <c r="AY396" i="3"/>
  <c r="AY329" i="3"/>
  <c r="AY304" i="3"/>
  <c r="AY453" i="3"/>
  <c r="AY402" i="3"/>
  <c r="AY17" i="3"/>
  <c r="AY502" i="3"/>
  <c r="AY545" i="3"/>
  <c r="AY99" i="3"/>
  <c r="AY30" i="3"/>
  <c r="AY167" i="3"/>
  <c r="AY265" i="3"/>
  <c r="AY383" i="3"/>
  <c r="AY330" i="3"/>
  <c r="AY440" i="3"/>
  <c r="AY13" i="3"/>
  <c r="AY576" i="3"/>
  <c r="AY39" i="3"/>
  <c r="AY195" i="3"/>
  <c r="AY136" i="3"/>
  <c r="AY272" i="3"/>
  <c r="AY375" i="3"/>
  <c r="AY322" i="3"/>
  <c r="AY432" i="3"/>
  <c r="AY15" i="3"/>
  <c r="AY567" i="3"/>
  <c r="AY191" i="3"/>
  <c r="AY59" i="3"/>
  <c r="AY75" i="3"/>
  <c r="AY225" i="3"/>
  <c r="AY318" i="3"/>
  <c r="AY409" i="3"/>
  <c r="AY269" i="3"/>
  <c r="AY372" i="3"/>
  <c r="AY465" i="3"/>
  <c r="AY535" i="3"/>
  <c r="AY533" i="3"/>
  <c r="AY108" i="3"/>
  <c r="AY68" i="3"/>
  <c r="AY190" i="3"/>
  <c r="AY138" i="3"/>
  <c r="AY117" i="3"/>
  <c r="AY247" i="3"/>
  <c r="AY214" i="3"/>
  <c r="AY365" i="3"/>
  <c r="AY109" i="3"/>
  <c r="AY24" i="3"/>
  <c r="AY130" i="3"/>
  <c r="AY242" i="3"/>
  <c r="AY349" i="3"/>
  <c r="AY324" i="3"/>
  <c r="AY464" i="3"/>
  <c r="AY414" i="3"/>
  <c r="AY503" i="3"/>
  <c r="AY534" i="3"/>
  <c r="AY518" i="3"/>
  <c r="AY584" i="3"/>
  <c r="AY523" i="3"/>
  <c r="AY32" i="3"/>
  <c r="AY169" i="3"/>
  <c r="AY267" i="3"/>
  <c r="AY380" i="3"/>
  <c r="AY321" i="3"/>
  <c r="AY487" i="3"/>
  <c r="AY445" i="3"/>
  <c r="AY431" i="3"/>
  <c r="AY499" i="3"/>
  <c r="AY515" i="3"/>
  <c r="AY570" i="3"/>
  <c r="AY110" i="3"/>
  <c r="AY35" i="3"/>
  <c r="AY151" i="3"/>
  <c r="AY233" i="3"/>
  <c r="AY376" i="3"/>
  <c r="AY314" i="3"/>
  <c r="AY424" i="3"/>
  <c r="AY517" i="3"/>
  <c r="AY587" i="3"/>
  <c r="AY70" i="3"/>
  <c r="AY179" i="3"/>
  <c r="AY119" i="3"/>
  <c r="AY256" i="3"/>
  <c r="AY367" i="3"/>
  <c r="AY306" i="3"/>
  <c r="AY416" i="3"/>
  <c r="BC6" i="3"/>
  <c r="AY498" i="3"/>
  <c r="AY83" i="3"/>
  <c r="AY160" i="3"/>
  <c r="AY188" i="3"/>
  <c r="AY147" i="3"/>
  <c r="AY387" i="3"/>
  <c r="AY486" i="3"/>
  <c r="AY526" i="3"/>
  <c r="AY260" i="3"/>
  <c r="AY358" i="3"/>
  <c r="AY447" i="3"/>
  <c r="AY549" i="3"/>
  <c r="AY541" i="3"/>
  <c r="AY85" i="3"/>
  <c r="AY44" i="3"/>
  <c r="AY201" i="3"/>
  <c r="AY157" i="3"/>
  <c r="AY283" i="3"/>
  <c r="AY231" i="3"/>
  <c r="AY211" i="3"/>
  <c r="AY360" i="3"/>
  <c r="AY104" i="3"/>
  <c r="AY186" i="3"/>
  <c r="AY295" i="3"/>
  <c r="AY210" i="3"/>
  <c r="AY325" i="3"/>
  <c r="AY491" i="3"/>
  <c r="AY449" i="3"/>
  <c r="AY398" i="3"/>
  <c r="AY525" i="3"/>
  <c r="BF6" i="3"/>
  <c r="AY552" i="3"/>
  <c r="AY556" i="3"/>
  <c r="AY96" i="3"/>
  <c r="AY21" i="3"/>
  <c r="AY137" i="3"/>
  <c r="AY235" i="3"/>
  <c r="AY369" i="3"/>
  <c r="AY305" i="3"/>
  <c r="AY492" i="3"/>
  <c r="AY442" i="3"/>
  <c r="AY415" i="3"/>
  <c r="AY14" i="3"/>
  <c r="AY537" i="3"/>
  <c r="AY531" i="3"/>
  <c r="AY79" i="3"/>
  <c r="AY203" i="3"/>
  <c r="AY127" i="3"/>
  <c r="AY248" i="3"/>
  <c r="AY362" i="3"/>
  <c r="AY469" i="3"/>
  <c r="AY437" i="3"/>
  <c r="AY560" i="3"/>
  <c r="AY91" i="3"/>
  <c r="AY38" i="3"/>
  <c r="AY148" i="3"/>
  <c r="AY277" i="3"/>
  <c r="AY224" i="3"/>
  <c r="AY354" i="3"/>
  <c r="AY490" i="3"/>
  <c r="AY429" i="3"/>
  <c r="AY511" i="3"/>
  <c r="AY51" i="3"/>
  <c r="AY155" i="3"/>
  <c r="AY163" i="3"/>
  <c r="AY297" i="3"/>
  <c r="AY371" i="3"/>
  <c r="AY470" i="3"/>
  <c r="AY106" i="3"/>
  <c r="AY244" i="3"/>
  <c r="AY343" i="3"/>
  <c r="AY452" i="3"/>
  <c r="AY562" i="3"/>
  <c r="AY539" i="3"/>
  <c r="AY77" i="3"/>
  <c r="AY36" i="3"/>
  <c r="AY193" i="3"/>
  <c r="AY149" i="3"/>
  <c r="AY302" i="3"/>
  <c r="AY270" i="3"/>
  <c r="AY392" i="3"/>
  <c r="BS6" i="3"/>
  <c r="AY88" i="3"/>
  <c r="AY197" i="3"/>
  <c r="AY279" i="3"/>
  <c r="AY215" i="3"/>
  <c r="AY317" i="3"/>
  <c r="AY483" i="3"/>
  <c r="AY462" i="3"/>
  <c r="AY435" i="3"/>
  <c r="BM6" i="3"/>
  <c r="AY536" i="3"/>
  <c r="AY559" i="3"/>
  <c r="AY514" i="3"/>
  <c r="AY81" i="3"/>
  <c r="AY194" i="3"/>
  <c r="AY122" i="3"/>
  <c r="AY266" i="3"/>
  <c r="AY361" i="3"/>
  <c r="AY336" i="3"/>
  <c r="AY484" i="3"/>
  <c r="AY434" i="3"/>
  <c r="AY407" i="3"/>
  <c r="AY564" i="3"/>
  <c r="AY509" i="3"/>
  <c r="BP6" i="3"/>
  <c r="AY47" i="3"/>
  <c r="AY187" i="3"/>
  <c r="AY301" i="3"/>
  <c r="AY232" i="3"/>
  <c r="AY347" i="3"/>
  <c r="AY482" i="3"/>
  <c r="AY421" i="3"/>
  <c r="AY528" i="3"/>
  <c r="AY102" i="3"/>
  <c r="AY22" i="3"/>
  <c r="AY175" i="3"/>
  <c r="AY288" i="3"/>
  <c r="AY208" i="3"/>
  <c r="AY339" i="3"/>
  <c r="AY474" i="3"/>
  <c r="AY413" i="3"/>
  <c r="AY583" i="3"/>
  <c r="AY50" i="3"/>
  <c r="AY115" i="3"/>
  <c r="AY281" i="3"/>
  <c r="AY237" i="3"/>
  <c r="AY350" i="3"/>
  <c r="AY444" i="3"/>
  <c r="AY199" i="3"/>
  <c r="AY212" i="3"/>
  <c r="AY342" i="3"/>
  <c r="AY404" i="3"/>
  <c r="AY573" i="3"/>
  <c r="AY553" i="3"/>
  <c r="AY53" i="3"/>
  <c r="AY20" i="3"/>
  <c r="AY170" i="3"/>
  <c r="AY126" i="3"/>
  <c r="AY286" i="3"/>
  <c r="AY246" i="3"/>
  <c r="AY389" i="3"/>
  <c r="AY507" i="3"/>
  <c r="AY41" i="3"/>
  <c r="AY150" i="3"/>
  <c r="AY275" i="3"/>
  <c r="AY377" i="3"/>
  <c r="AY348" i="3"/>
  <c r="AY467" i="3"/>
  <c r="AY446" i="3"/>
  <c r="AY419" i="3"/>
  <c r="AY516" i="3"/>
  <c r="AY546" i="3"/>
  <c r="AY543" i="3"/>
  <c r="AY582" i="3"/>
  <c r="AY49" i="3"/>
  <c r="AY189" i="3"/>
  <c r="AY113" i="3"/>
  <c r="AY218" i="3"/>
  <c r="AY345" i="3"/>
  <c r="AY320" i="3"/>
  <c r="AY468" i="3"/>
  <c r="AY418" i="3"/>
  <c r="AY579" i="3"/>
  <c r="AY522" i="3"/>
  <c r="AY530" i="3"/>
  <c r="BA6" i="3"/>
  <c r="AY62" i="3"/>
  <c r="AY156" i="3"/>
  <c r="AY296" i="3"/>
  <c r="AY221" i="3"/>
  <c r="AY315" i="3"/>
  <c r="AY451" i="3"/>
  <c r="AY500" i="3"/>
  <c r="AY568" i="3"/>
  <c r="AY71" i="3"/>
  <c r="AY200" i="3"/>
  <c r="AY143" i="3"/>
  <c r="AY257" i="3"/>
  <c r="AY386" i="3"/>
  <c r="AY307" i="3"/>
  <c r="AY443" i="3"/>
  <c r="AY521" i="3"/>
  <c r="BT6" i="3"/>
  <c r="AY289" i="3"/>
  <c r="AY268" i="3"/>
  <c r="AY441" i="3"/>
  <c r="AY390" i="3"/>
  <c r="AY433" i="3"/>
  <c r="AY574" i="3"/>
  <c r="AY45" i="3"/>
  <c r="AY25" i="3"/>
  <c r="AY118" i="3"/>
  <c r="AY271" i="3"/>
  <c r="AY381" i="3"/>
  <c r="BI6" i="3"/>
  <c r="AY177" i="3"/>
  <c r="AY243" i="3"/>
  <c r="AY340" i="3"/>
  <c r="AY488" i="3"/>
  <c r="AY403" i="3"/>
  <c r="AY561" i="3"/>
  <c r="AY501" i="3"/>
  <c r="AY131" i="3"/>
  <c r="AY26" i="3"/>
  <c r="BK6" i="3"/>
  <c r="AY178" i="3"/>
  <c r="AY397" i="3"/>
  <c r="AY290" i="3"/>
  <c r="AY454" i="3"/>
  <c r="AY16" i="3"/>
  <c r="AY205" i="3"/>
  <c r="AY461" i="3"/>
  <c r="D3" i="6"/>
  <c r="C38" i="39" s="1"/>
  <c r="AY466" i="3"/>
  <c r="AY323" i="3"/>
  <c r="AY532" i="3"/>
  <c r="AY456" i="3"/>
  <c r="AY80" i="3"/>
  <c r="AY168" i="3"/>
  <c r="AY245" i="3"/>
  <c r="BO6" i="3"/>
  <c r="AY173" i="3"/>
  <c r="AY357" i="3"/>
  <c r="AY406" i="3"/>
  <c r="AY174" i="3"/>
  <c r="AY450" i="3"/>
  <c r="AY78" i="3"/>
  <c r="AY338" i="3"/>
  <c r="AY477" i="3"/>
  <c r="AY284" i="3"/>
  <c r="AY228" i="3"/>
  <c r="AY555" i="3"/>
  <c r="AY133" i="3"/>
  <c r="AY554" i="3"/>
  <c r="AY393" i="3"/>
  <c r="AY427" i="3"/>
  <c r="AY496" i="3"/>
  <c r="AY153" i="3"/>
  <c r="AY337" i="3"/>
  <c r="AY426" i="3"/>
  <c r="AY565" i="3"/>
  <c r="AY216" i="3"/>
  <c r="AY408" i="3"/>
  <c r="AY55" i="3"/>
  <c r="AY586" i="3"/>
  <c r="AY527" i="3"/>
  <c r="AY98" i="3"/>
  <c r="AY209" i="3"/>
  <c r="AY355" i="3"/>
  <c r="AY100" i="3"/>
  <c r="AY299" i="3"/>
  <c r="AY93" i="3"/>
  <c r="AY341" i="3"/>
  <c r="BQ6" i="3"/>
  <c r="AY577" i="3"/>
  <c r="AY129" i="3"/>
  <c r="AY313" i="3"/>
  <c r="AY410" i="3"/>
  <c r="AY551" i="3"/>
  <c r="AY19" i="3"/>
  <c r="AY394" i="3"/>
  <c r="AY405" i="3"/>
  <c r="AY54" i="3"/>
  <c r="AY241" i="3"/>
  <c r="AY459" i="3"/>
  <c r="AY82" i="3"/>
  <c r="AY366" i="3"/>
  <c r="AY311" i="3"/>
  <c r="AY61" i="3"/>
  <c r="AY294" i="3"/>
  <c r="AY57" i="3"/>
  <c r="AY309" i="3"/>
  <c r="AY580" i="3"/>
  <c r="AY112" i="3"/>
  <c r="AY298" i="3"/>
  <c r="AY328" i="3"/>
  <c r="AY423" i="3"/>
  <c r="BR6" i="3"/>
  <c r="AY172" i="3"/>
  <c r="AY359" i="3"/>
  <c r="AY558" i="3"/>
  <c r="AY27" i="3"/>
  <c r="AY240" i="3"/>
  <c r="AY448" i="3"/>
  <c r="AY29" i="3"/>
  <c r="AY140" i="3"/>
  <c r="AY547" i="3"/>
  <c r="AY213" i="3"/>
  <c r="AY400" i="3"/>
  <c r="AY124" i="3"/>
  <c r="AY28" i="3"/>
  <c r="AY166" i="3"/>
  <c r="AY250" i="3"/>
  <c r="AY505" i="3"/>
  <c r="AY120" i="3"/>
  <c r="AY512" i="3"/>
  <c r="AY391" i="3"/>
  <c r="AY176" i="3"/>
  <c r="AY473" i="3"/>
  <c r="AY478" i="3"/>
  <c r="AY60" i="3"/>
  <c r="AY239" i="3"/>
  <c r="AY308" i="3"/>
  <c r="BN6" i="3"/>
  <c r="AY65" i="3"/>
  <c r="AY251" i="3"/>
  <c r="AY312" i="3"/>
  <c r="AY399" i="3"/>
  <c r="AY548" i="3"/>
  <c r="AY331" i="3"/>
  <c r="AY184" i="3"/>
  <c r="AY31" i="3"/>
  <c r="AY497" i="3"/>
  <c r="AY513" i="3"/>
  <c r="AY182" i="3"/>
  <c r="AY227" i="3"/>
  <c r="AY114" i="3"/>
  <c r="AY457" i="3"/>
  <c r="AY510" i="3"/>
  <c r="AY37" i="3"/>
  <c r="AY223" i="3"/>
  <c r="AY476" i="3"/>
  <c r="AY538" i="3"/>
  <c r="AY493" i="3"/>
  <c r="AY285" i="3"/>
  <c r="AY485" i="3"/>
  <c r="BL6" i="3"/>
  <c r="AY159" i="3"/>
  <c r="AY351" i="3"/>
  <c r="BD6" i="3"/>
  <c r="AY385" i="3"/>
  <c r="AY94" i="3"/>
  <c r="AY280" i="3"/>
  <c r="AY107" i="3"/>
  <c r="AY128" i="3"/>
  <c r="AY566" i="3"/>
  <c r="AY226" i="3"/>
  <c r="AY352" i="3"/>
  <c r="AY575" i="3"/>
  <c r="AY264" i="3"/>
  <c r="AY86" i="3"/>
  <c r="AY293" i="3"/>
  <c r="AY504" i="3"/>
  <c r="AY46" i="3"/>
  <c r="AY273" i="3"/>
  <c r="AY455" i="3"/>
  <c r="AY420" i="3"/>
  <c r="AY254" i="3"/>
  <c r="AY475" i="3"/>
  <c r="AY479" i="3"/>
  <c r="AY563" i="3"/>
  <c r="AY346" i="3"/>
  <c r="AY164" i="3"/>
  <c r="AY550" i="3"/>
  <c r="AY181" i="3"/>
  <c r="AY141" i="3"/>
  <c r="AY436" i="3"/>
  <c r="AY252" i="3"/>
  <c r="AY249" i="3"/>
  <c r="AY439" i="3"/>
  <c r="AY48" i="3"/>
  <c r="AY472" i="3"/>
  <c r="BH6" i="3"/>
  <c r="AY33" i="3"/>
  <c r="AY217" i="3"/>
  <c r="AY152" i="3"/>
  <c r="F105" i="43"/>
  <c r="F104" i="43"/>
  <c r="C106" i="43"/>
  <c r="C104" i="43"/>
  <c r="C105" i="43"/>
  <c r="C102" i="43"/>
  <c r="C107" i="43"/>
  <c r="C103" i="43"/>
  <c r="C109" i="43"/>
  <c r="H103" i="43"/>
  <c r="H109" i="43"/>
  <c r="H106" i="43"/>
  <c r="H105" i="43"/>
  <c r="H102" i="43"/>
  <c r="H107" i="43"/>
  <c r="H104" i="43"/>
  <c r="L109" i="43"/>
  <c r="L102" i="43"/>
  <c r="L106" i="43"/>
  <c r="M102" i="43"/>
  <c r="M104" i="43"/>
  <c r="M106" i="43"/>
  <c r="M107" i="43"/>
  <c r="M105" i="43"/>
  <c r="M103" i="43"/>
  <c r="M109" i="43"/>
  <c r="K102" i="43"/>
  <c r="K103" i="43"/>
  <c r="K104" i="43"/>
  <c r="K109" i="43"/>
  <c r="K106" i="43"/>
  <c r="K107" i="43"/>
  <c r="K105" i="43"/>
  <c r="D107" i="43"/>
  <c r="D102" i="43"/>
  <c r="G106" i="43"/>
  <c r="I115" i="43"/>
  <c r="J115" i="43" s="1"/>
  <c r="K115" i="43" s="1"/>
  <c r="L115" i="43" s="1"/>
  <c r="M115" i="43" s="1"/>
  <c r="I117" i="43"/>
  <c r="J117" i="43" s="1"/>
  <c r="K117" i="43" s="1"/>
  <c r="L117" i="43" s="1"/>
  <c r="M117" i="43" s="1"/>
  <c r="I116" i="43"/>
  <c r="J116" i="43" s="1"/>
  <c r="K116" i="43" s="1"/>
  <c r="L116" i="43" s="1"/>
  <c r="M116" i="43" s="1"/>
  <c r="D117" i="43"/>
  <c r="E117" i="43" s="1"/>
  <c r="F117" i="43" s="1"/>
  <c r="G117" i="43" s="1"/>
  <c r="H117" i="43" s="1"/>
  <c r="D116" i="43"/>
  <c r="E116" i="43" s="1"/>
  <c r="F116" i="43" s="1"/>
  <c r="G116" i="43" s="1"/>
  <c r="H116" i="43" s="1"/>
  <c r="G118" i="43"/>
  <c r="H118" i="43" s="1"/>
  <c r="I118" i="43"/>
  <c r="J118" i="43" s="1"/>
  <c r="K118" i="43" s="1"/>
  <c r="L118" i="43" s="1"/>
  <c r="M118" i="43" s="1"/>
  <c r="D115" i="43"/>
  <c r="E115" i="43" s="1"/>
  <c r="F115" i="43" s="1"/>
  <c r="G115" i="43" s="1"/>
  <c r="H115" i="43" s="1"/>
  <c r="B117" i="43"/>
  <c r="C117" i="43" s="1"/>
  <c r="B115" i="43"/>
  <c r="D118" i="43"/>
  <c r="E118" i="43" s="1"/>
  <c r="F118" i="43" s="1"/>
  <c r="B116" i="43"/>
  <c r="C116" i="43" s="1"/>
  <c r="B118" i="43"/>
  <c r="C118" i="43" s="1"/>
  <c r="J102" i="43"/>
  <c r="J109" i="43"/>
  <c r="J106" i="43"/>
  <c r="J104" i="43"/>
  <c r="J107" i="43"/>
  <c r="J105" i="43"/>
  <c r="J103" i="43"/>
  <c r="N109" i="43"/>
  <c r="N107" i="43"/>
  <c r="N106" i="43"/>
  <c r="E105" i="43"/>
  <c r="K4" i="4"/>
  <c r="B46" i="48" s="1"/>
  <c r="B4" i="72" s="1"/>
  <c r="F7" i="36"/>
  <c r="S7" i="36" s="1"/>
  <c r="J7" i="37"/>
  <c r="W7" i="37" s="1"/>
  <c r="F7" i="34"/>
  <c r="S7" i="34" s="1"/>
  <c r="J7" i="34"/>
  <c r="AC7" i="34" s="1"/>
  <c r="V49" i="34" s="1"/>
  <c r="I49" i="34" s="1"/>
  <c r="E38" i="43"/>
  <c r="G38" i="43"/>
  <c r="I38" i="43" s="1"/>
  <c r="H7" i="37"/>
  <c r="U7" i="37" s="1"/>
  <c r="E48" i="35"/>
  <c r="F48" i="35" s="1"/>
  <c r="G48" i="35" s="1"/>
  <c r="H48" i="35" s="1"/>
  <c r="I48" i="35" s="1"/>
  <c r="J48" i="35" s="1"/>
  <c r="K48" i="35" s="1"/>
  <c r="L48" i="35" s="1"/>
  <c r="M48" i="35" s="1"/>
  <c r="N48" i="35" s="1"/>
  <c r="O48" i="35" s="1"/>
  <c r="H7" i="35" s="1"/>
  <c r="U7" i="21"/>
  <c r="AB7" i="21"/>
  <c r="S7" i="21"/>
  <c r="AA7" i="21"/>
  <c r="E37" i="43"/>
  <c r="G37" i="43"/>
  <c r="I37" i="43" s="1"/>
  <c r="F7" i="33"/>
  <c r="G36" i="43"/>
  <c r="I36" i="43" s="1"/>
  <c r="E36" i="43"/>
  <c r="E68" i="39"/>
  <c r="D70" i="39"/>
  <c r="J7" i="33"/>
  <c r="J7" i="36"/>
  <c r="AB7" i="37"/>
  <c r="T42" i="37" s="1"/>
  <c r="G42" i="37" s="1"/>
  <c r="U7" i="36"/>
  <c r="AB7" i="36"/>
  <c r="T36" i="36" s="1"/>
  <c r="G36" i="36" s="1"/>
  <c r="AA7" i="37"/>
  <c r="R42" i="37" s="1"/>
  <c r="S7" i="37"/>
  <c r="H7" i="33"/>
  <c r="E63" i="40"/>
  <c r="D65" i="40"/>
  <c r="G34" i="43"/>
  <c r="I34" i="43" s="1"/>
  <c r="E34" i="43"/>
  <c r="G35" i="43"/>
  <c r="I35" i="43" s="1"/>
  <c r="E35" i="43"/>
  <c r="U7" i="34"/>
  <c r="AB7" i="34"/>
  <c r="T49" i="34" s="1"/>
  <c r="G49" i="34" s="1"/>
  <c r="W7" i="21"/>
  <c r="AC7" i="21"/>
  <c r="V48" i="21" s="1"/>
  <c r="I48" i="21" s="1"/>
  <c r="C18" i="67"/>
  <c r="C15" i="67"/>
  <c r="B40" i="1"/>
  <c r="C32" i="67"/>
  <c r="P28" i="43"/>
  <c r="N28" i="43"/>
  <c r="M28" i="43"/>
  <c r="O28" i="43"/>
  <c r="F1" i="67"/>
  <c r="Q52" i="67"/>
  <c r="M11" i="67"/>
  <c r="J10" i="67" s="1"/>
  <c r="M11" i="15"/>
  <c r="F11" i="67"/>
  <c r="F11" i="15"/>
  <c r="Q73" i="15"/>
  <c r="Q60" i="15"/>
  <c r="Q74" i="67"/>
  <c r="Q61" i="67"/>
  <c r="C49" i="67"/>
  <c r="F1" i="15"/>
  <c r="Q52" i="15"/>
  <c r="Q73" i="67"/>
  <c r="Q60" i="67"/>
  <c r="J6" i="67"/>
  <c r="AE6" i="1"/>
  <c r="AE7" i="1"/>
  <c r="M29" i="15"/>
  <c r="F43" i="15"/>
  <c r="F7" i="15"/>
  <c r="R48" i="21" l="1"/>
  <c r="T48" i="21"/>
  <c r="G48" i="21" s="1"/>
  <c r="G52" i="21" s="1"/>
  <c r="H52" i="21" s="1"/>
  <c r="Q74" i="15"/>
  <c r="E103" i="43"/>
  <c r="E104" i="43"/>
  <c r="G102" i="43"/>
  <c r="G109" i="43"/>
  <c r="D106" i="43"/>
  <c r="D105" i="43"/>
  <c r="F103" i="43"/>
  <c r="F102" i="43"/>
  <c r="C8" i="74"/>
  <c r="N105" i="43"/>
  <c r="N102" i="43"/>
  <c r="N103" i="43"/>
  <c r="L103" i="43"/>
  <c r="L105" i="43"/>
  <c r="L104" i="43"/>
  <c r="E106" i="43"/>
  <c r="E109" i="43"/>
  <c r="E107" i="43"/>
  <c r="G104" i="43"/>
  <c r="G103" i="43"/>
  <c r="G107" i="43"/>
  <c r="D109" i="43"/>
  <c r="D103" i="43"/>
  <c r="F106" i="43"/>
  <c r="F109" i="43"/>
  <c r="G39" i="43"/>
  <c r="I39" i="43" s="1"/>
  <c r="C6" i="15"/>
  <c r="C32" i="15" s="1"/>
  <c r="F50" i="15"/>
  <c r="C49" i="15" s="1"/>
  <c r="M7" i="15"/>
  <c r="J6" i="15" s="1"/>
  <c r="J18" i="15" s="1"/>
  <c r="F71" i="15"/>
  <c r="E6" i="3"/>
  <c r="M6" i="1"/>
  <c r="Q16" i="1"/>
  <c r="G16" i="1"/>
  <c r="H16" i="1"/>
  <c r="I104" i="43"/>
  <c r="I105" i="43"/>
  <c r="I109" i="43"/>
  <c r="I102" i="43"/>
  <c r="I106" i="43"/>
  <c r="I103" i="43"/>
  <c r="I107" i="43"/>
  <c r="J38" i="39"/>
  <c r="H38" i="39"/>
  <c r="F38" i="39"/>
  <c r="J7" i="35"/>
  <c r="W7" i="35" s="1"/>
  <c r="AC7" i="37"/>
  <c r="V42" i="37" s="1"/>
  <c r="I42" i="37" s="1"/>
  <c r="W7" i="34"/>
  <c r="AA7" i="36"/>
  <c r="R36" i="36" s="1"/>
  <c r="E27" i="6"/>
  <c r="E31" i="6" s="1"/>
  <c r="F31" i="6"/>
  <c r="C20" i="11"/>
  <c r="D17" i="12"/>
  <c r="C17" i="12" s="1"/>
  <c r="D10" i="68"/>
  <c r="D10" i="11"/>
  <c r="C10" i="11" s="1"/>
  <c r="D10" i="69"/>
  <c r="D20" i="12"/>
  <c r="C20" i="12" s="1"/>
  <c r="C18" i="12" s="1"/>
  <c r="E66" i="39"/>
  <c r="M14" i="1"/>
  <c r="C34" i="69"/>
  <c r="K16" i="1"/>
  <c r="D19" i="6"/>
  <c r="D23" i="6"/>
  <c r="D9" i="6"/>
  <c r="D25" i="6"/>
  <c r="D24" i="6"/>
  <c r="D11" i="6"/>
  <c r="D15" i="6"/>
  <c r="D20" i="6"/>
  <c r="D13" i="6"/>
  <c r="L19" i="9"/>
  <c r="C18" i="4"/>
  <c r="M19" i="9"/>
  <c r="C118" i="9" s="1"/>
  <c r="C14" i="74" s="1"/>
  <c r="B2" i="74" s="1"/>
  <c r="D8" i="6"/>
  <c r="D6" i="6"/>
  <c r="D29" i="6"/>
  <c r="D14" i="6"/>
  <c r="D12" i="6"/>
  <c r="D28" i="6"/>
  <c r="D10" i="6"/>
  <c r="D22" i="6"/>
  <c r="E61" i="40"/>
  <c r="D21" i="6"/>
  <c r="D5" i="6"/>
  <c r="D26" i="6"/>
  <c r="S2" i="43"/>
  <c r="T2" i="43" s="1"/>
  <c r="V2" i="43" s="1"/>
  <c r="S6" i="43"/>
  <c r="T6" i="43" s="1"/>
  <c r="V6" i="43" s="1"/>
  <c r="S4" i="43"/>
  <c r="T4" i="43" s="1"/>
  <c r="V4" i="43" s="1"/>
  <c r="S7" i="43"/>
  <c r="T7" i="43" s="1"/>
  <c r="V7" i="43" s="1"/>
  <c r="C23" i="43"/>
  <c r="C21" i="43" s="1"/>
  <c r="S5" i="43"/>
  <c r="T5" i="43" s="1"/>
  <c r="V5" i="43" s="1"/>
  <c r="S3" i="43"/>
  <c r="T3" i="43" s="1"/>
  <c r="V3" i="43" s="1"/>
  <c r="C115" i="43"/>
  <c r="D113" i="43" s="1"/>
  <c r="J22" i="43" s="1"/>
  <c r="F7" i="35"/>
  <c r="S7" i="35" s="1"/>
  <c r="AA7" i="34"/>
  <c r="R49" i="34" s="1"/>
  <c r="R50" i="34" s="1"/>
  <c r="C19" i="67"/>
  <c r="C20" i="67" s="1"/>
  <c r="G40" i="36"/>
  <c r="H40" i="36" s="1"/>
  <c r="AA7" i="33"/>
  <c r="R48" i="33" s="1"/>
  <c r="S7" i="33"/>
  <c r="U7" i="35"/>
  <c r="AB7" i="35"/>
  <c r="T38" i="35" s="1"/>
  <c r="G38" i="35" s="1"/>
  <c r="AC7" i="33"/>
  <c r="V48" i="33" s="1"/>
  <c r="I48" i="33" s="1"/>
  <c r="W7" i="33"/>
  <c r="E49" i="34"/>
  <c r="I54" i="34" s="1"/>
  <c r="J54" i="34" s="1"/>
  <c r="I46" i="37"/>
  <c r="J46" i="37" s="1"/>
  <c r="G53" i="21"/>
  <c r="H53" i="21" s="1"/>
  <c r="E65" i="40"/>
  <c r="F63" i="40"/>
  <c r="F68" i="39"/>
  <c r="E70" i="39"/>
  <c r="AC7" i="36"/>
  <c r="V36" i="36" s="1"/>
  <c r="I36" i="36" s="1"/>
  <c r="G41" i="36" s="1"/>
  <c r="H41" i="36" s="1"/>
  <c r="W7" i="36"/>
  <c r="I53" i="34"/>
  <c r="J53" i="34" s="1"/>
  <c r="G54" i="34"/>
  <c r="H54" i="34" s="1"/>
  <c r="G53" i="34"/>
  <c r="H53" i="34" s="1"/>
  <c r="AB7" i="33"/>
  <c r="T48" i="33" s="1"/>
  <c r="G48" i="33" s="1"/>
  <c r="U7" i="33"/>
  <c r="E36" i="36"/>
  <c r="R37" i="36"/>
  <c r="G47" i="37"/>
  <c r="H47" i="37" s="1"/>
  <c r="G46" i="37"/>
  <c r="H46" i="37" s="1"/>
  <c r="E48" i="21"/>
  <c r="I52" i="21"/>
  <c r="J52" i="21" s="1"/>
  <c r="E42" i="37"/>
  <c r="R43" i="37"/>
  <c r="C53" i="15"/>
  <c r="J18" i="67"/>
  <c r="J5" i="67"/>
  <c r="C53" i="67"/>
  <c r="C48" i="67" s="1"/>
  <c r="C10" i="67"/>
  <c r="C5" i="67" s="1"/>
  <c r="F25" i="12"/>
  <c r="F22" i="69"/>
  <c r="F24" i="67"/>
  <c r="C24" i="67" s="1"/>
  <c r="F22" i="68"/>
  <c r="F22" i="11"/>
  <c r="F24" i="15"/>
  <c r="C24" i="15" s="1"/>
  <c r="F41" i="15"/>
  <c r="C16" i="15"/>
  <c r="R49" i="21" l="1"/>
  <c r="C48" i="21" s="1"/>
  <c r="J10" i="15"/>
  <c r="J5" i="15" s="1"/>
  <c r="J26" i="15" s="1"/>
  <c r="J29" i="15" s="1"/>
  <c r="C10" i="15"/>
  <c r="C5" i="15" s="1"/>
  <c r="C38" i="15" s="1"/>
  <c r="C48" i="15"/>
  <c r="C66" i="15" s="1"/>
  <c r="F27" i="68"/>
  <c r="F28" i="12"/>
  <c r="C29" i="12" s="1"/>
  <c r="D28" i="12" s="1"/>
  <c r="F27" i="11"/>
  <c r="F27" i="69"/>
  <c r="O6" i="1"/>
  <c r="P6" i="1" s="1"/>
  <c r="C13" i="12" s="1"/>
  <c r="F10" i="39"/>
  <c r="H10" i="40"/>
  <c r="J10" i="39"/>
  <c r="F10" i="40"/>
  <c r="H10" i="39"/>
  <c r="J10" i="40"/>
  <c r="AA38" i="39"/>
  <c r="S38" i="39"/>
  <c r="AB38" i="39"/>
  <c r="U38" i="39"/>
  <c r="W38" i="39"/>
  <c r="AC38" i="39"/>
  <c r="AC7" i="35"/>
  <c r="V38" i="35" s="1"/>
  <c r="I38" i="35" s="1"/>
  <c r="I42" i="35" s="1"/>
  <c r="J42" i="35" s="1"/>
  <c r="F69" i="15"/>
  <c r="D16" i="6"/>
  <c r="D30" i="6"/>
  <c r="K21" i="6"/>
  <c r="M21" i="6" s="1"/>
  <c r="I21" i="6" s="1"/>
  <c r="K25" i="6"/>
  <c r="M25" i="6" s="1"/>
  <c r="I25" i="6" s="1"/>
  <c r="K20" i="6"/>
  <c r="K26" i="6"/>
  <c r="M26" i="6" s="1"/>
  <c r="I26" i="6" s="1"/>
  <c r="K23" i="6"/>
  <c r="M23" i="6" s="1"/>
  <c r="I23" i="6" s="1"/>
  <c r="K24" i="6"/>
  <c r="M24" i="6" s="1"/>
  <c r="I24" i="6" s="1"/>
  <c r="K22" i="6"/>
  <c r="M22" i="6" s="1"/>
  <c r="I22" i="6" s="1"/>
  <c r="K19" i="6"/>
  <c r="S6" i="1" s="1"/>
  <c r="C38" i="69"/>
  <c r="C35" i="69"/>
  <c r="C10" i="69"/>
  <c r="C8" i="69" s="1"/>
  <c r="C5" i="69" s="1"/>
  <c r="C23" i="69" s="1"/>
  <c r="D19" i="69"/>
  <c r="O14" i="1"/>
  <c r="M16" i="1"/>
  <c r="C10" i="68"/>
  <c r="D19" i="68"/>
  <c r="D7" i="74"/>
  <c r="D8" i="74"/>
  <c r="D27" i="6"/>
  <c r="A7" i="51"/>
  <c r="B7" i="72" s="1"/>
  <c r="C4" i="52"/>
  <c r="B45" i="72" s="1"/>
  <c r="A10" i="51"/>
  <c r="B9" i="72" s="1"/>
  <c r="C29" i="43"/>
  <c r="C23" i="67"/>
  <c r="C26" i="67"/>
  <c r="AA7" i="35"/>
  <c r="R38" i="35" s="1"/>
  <c r="E38" i="35" s="1"/>
  <c r="C49" i="21"/>
  <c r="B2" i="21" s="1"/>
  <c r="B3" i="21" s="1"/>
  <c r="C6" i="12" s="1"/>
  <c r="C8" i="12" s="1"/>
  <c r="C50" i="34"/>
  <c r="B2" i="34" s="1"/>
  <c r="B3" i="34" s="1"/>
  <c r="C49" i="34"/>
  <c r="F65" i="40"/>
  <c r="G63" i="40"/>
  <c r="E52" i="21"/>
  <c r="F52" i="21" s="1"/>
  <c r="E53" i="21"/>
  <c r="F53" i="21" s="1"/>
  <c r="E54" i="34"/>
  <c r="F54" i="34" s="1"/>
  <c r="E53" i="34"/>
  <c r="F53" i="34" s="1"/>
  <c r="I52" i="33"/>
  <c r="J52" i="33" s="1"/>
  <c r="F70" i="39"/>
  <c r="G68" i="39"/>
  <c r="C42" i="37"/>
  <c r="C43" i="37"/>
  <c r="B2" i="37" s="1"/>
  <c r="B3" i="37" s="1"/>
  <c r="C37" i="36"/>
  <c r="B2" i="36" s="1"/>
  <c r="B3" i="36" s="1"/>
  <c r="C36" i="36"/>
  <c r="G43" i="35"/>
  <c r="H43" i="35" s="1"/>
  <c r="G42" i="35"/>
  <c r="H42" i="35" s="1"/>
  <c r="E40" i="36"/>
  <c r="F40" i="36" s="1"/>
  <c r="E41" i="36"/>
  <c r="F41" i="36" s="1"/>
  <c r="E47" i="37"/>
  <c r="F47" i="37" s="1"/>
  <c r="E46" i="37"/>
  <c r="F46" i="37" s="1"/>
  <c r="I47" i="37"/>
  <c r="J47" i="37" s="1"/>
  <c r="I53" i="21"/>
  <c r="J53" i="21" s="1"/>
  <c r="G52" i="33"/>
  <c r="H52" i="33" s="1"/>
  <c r="G53" i="33"/>
  <c r="H53" i="33" s="1"/>
  <c r="I40" i="36"/>
  <c r="J40" i="36" s="1"/>
  <c r="I41" i="36"/>
  <c r="J41" i="36" s="1"/>
  <c r="E48" i="33"/>
  <c r="I53" i="33" s="1"/>
  <c r="J53" i="33" s="1"/>
  <c r="R49" i="33"/>
  <c r="C44" i="11"/>
  <c r="D41" i="11" s="1"/>
  <c r="C26" i="11"/>
  <c r="D22" i="11" s="1"/>
  <c r="C23" i="11"/>
  <c r="C24" i="11"/>
  <c r="C25" i="11"/>
  <c r="C44" i="68"/>
  <c r="D41" i="68" s="1"/>
  <c r="C26" i="68"/>
  <c r="D22" i="68" s="1"/>
  <c r="C44" i="69"/>
  <c r="D41" i="69" s="1"/>
  <c r="C26" i="69"/>
  <c r="D22" i="69" s="1"/>
  <c r="C26" i="12"/>
  <c r="D25" i="12" s="1"/>
  <c r="C66" i="67"/>
  <c r="C60" i="67"/>
  <c r="C38" i="67"/>
  <c r="J26" i="67"/>
  <c r="J29" i="67" s="1"/>
  <c r="J24" i="67"/>
  <c r="C17" i="15"/>
  <c r="R39" i="35" l="1"/>
  <c r="M20" i="6"/>
  <c r="I20" i="6" s="1"/>
  <c r="S7" i="1"/>
  <c r="J24" i="15"/>
  <c r="O16" i="1"/>
  <c r="C60" i="15"/>
  <c r="U10" i="40"/>
  <c r="AB10" i="40"/>
  <c r="S10" i="39"/>
  <c r="AA10" i="39"/>
  <c r="E6" i="70"/>
  <c r="E2" i="70" s="1"/>
  <c r="AC10" i="40"/>
  <c r="W10" i="40"/>
  <c r="C47" i="69"/>
  <c r="D45" i="69" s="1"/>
  <c r="C29" i="69"/>
  <c r="D27" i="69" s="1"/>
  <c r="U10" i="39"/>
  <c r="AB10" i="39"/>
  <c r="C28" i="11"/>
  <c r="C27" i="11" s="1"/>
  <c r="C47" i="11"/>
  <c r="D45" i="11" s="1"/>
  <c r="C29" i="11"/>
  <c r="D27" i="11" s="1"/>
  <c r="AA10" i="40"/>
  <c r="S10" i="40"/>
  <c r="AC10" i="39"/>
  <c r="W10" i="39"/>
  <c r="C29" i="68"/>
  <c r="D27" i="68" s="1"/>
  <c r="C47" i="68"/>
  <c r="D45" i="68" s="1"/>
  <c r="I43" i="35"/>
  <c r="J43" i="35" s="1"/>
  <c r="C22" i="11"/>
  <c r="AR6" i="1"/>
  <c r="AQ6" i="1"/>
  <c r="T6" i="1"/>
  <c r="S20" i="6"/>
  <c r="H20" i="6"/>
  <c r="R20" i="6" s="1"/>
  <c r="R7" i="1" s="1"/>
  <c r="S25" i="6"/>
  <c r="H25" i="6"/>
  <c r="R25" i="6" s="1"/>
  <c r="S22" i="6"/>
  <c r="H22" i="6"/>
  <c r="R22" i="6" s="1"/>
  <c r="M19" i="6"/>
  <c r="K27" i="6"/>
  <c r="S24" i="6"/>
  <c r="H24" i="6"/>
  <c r="R24" i="6" s="1"/>
  <c r="S21" i="6"/>
  <c r="H21" i="6"/>
  <c r="R21" i="6" s="1"/>
  <c r="D31" i="6"/>
  <c r="I5" i="6" s="1"/>
  <c r="S23" i="6"/>
  <c r="H23" i="6"/>
  <c r="R23" i="6" s="1"/>
  <c r="S26" i="6"/>
  <c r="H26" i="6"/>
  <c r="R26" i="6" s="1"/>
  <c r="D37" i="68"/>
  <c r="C19" i="68"/>
  <c r="N16" i="1"/>
  <c r="L16" i="1"/>
  <c r="P14" i="1"/>
  <c r="P16" i="1" s="1"/>
  <c r="C11" i="12" s="1"/>
  <c r="C19" i="69"/>
  <c r="C24" i="69" s="1"/>
  <c r="D37" i="69"/>
  <c r="C37" i="69" s="1"/>
  <c r="C33" i="69" s="1"/>
  <c r="C29" i="67"/>
  <c r="J19" i="67" s="1"/>
  <c r="J17" i="67" s="1"/>
  <c r="C30" i="43"/>
  <c r="E30" i="43" s="1"/>
  <c r="C27" i="43" s="1"/>
  <c r="E29" i="43"/>
  <c r="C26" i="43" s="1"/>
  <c r="H68" i="39"/>
  <c r="G70" i="39"/>
  <c r="G65" i="40"/>
  <c r="H63" i="40"/>
  <c r="C49" i="33"/>
  <c r="B2" i="33" s="1"/>
  <c r="B3" i="33" s="1"/>
  <c r="C48" i="33"/>
  <c r="E53" i="33"/>
  <c r="F53" i="33" s="1"/>
  <c r="E52" i="33"/>
  <c r="F52" i="33" s="1"/>
  <c r="C38" i="35"/>
  <c r="C39" i="35"/>
  <c r="B2" i="35" s="1"/>
  <c r="B3" i="35" s="1"/>
  <c r="E42" i="35"/>
  <c r="F42" i="35" s="1"/>
  <c r="E43" i="35"/>
  <c r="F43" i="35" s="1"/>
  <c r="C33" i="15"/>
  <c r="J59" i="15"/>
  <c r="J60" i="15" s="1"/>
  <c r="E6" i="76"/>
  <c r="C14" i="15"/>
  <c r="T7" i="1" l="1"/>
  <c r="AQ7" i="1"/>
  <c r="AR7" i="1"/>
  <c r="S16" i="1"/>
  <c r="C31" i="11"/>
  <c r="C15" i="15"/>
  <c r="C18" i="15"/>
  <c r="T16" i="1"/>
  <c r="F34" i="11"/>
  <c r="F34" i="68"/>
  <c r="C37" i="68" s="1"/>
  <c r="F11" i="12"/>
  <c r="C14" i="12" s="1"/>
  <c r="I6" i="6"/>
  <c r="C11" i="39" s="1"/>
  <c r="I19" i="6"/>
  <c r="M27" i="6"/>
  <c r="C20" i="69"/>
  <c r="C28" i="69" s="1"/>
  <c r="C27" i="69" s="1"/>
  <c r="C33" i="67"/>
  <c r="C31" i="67" s="1"/>
  <c r="C36" i="67"/>
  <c r="C12" i="12"/>
  <c r="C15" i="12"/>
  <c r="J14" i="67"/>
  <c r="J22" i="67" s="1"/>
  <c r="C39" i="69"/>
  <c r="C42" i="69"/>
  <c r="F50" i="68"/>
  <c r="F50" i="11"/>
  <c r="F50" i="69"/>
  <c r="J59" i="67"/>
  <c r="J60" i="67" s="1"/>
  <c r="Q48" i="67" s="1"/>
  <c r="C24" i="68"/>
  <c r="C13" i="67"/>
  <c r="C75" i="67" s="1"/>
  <c r="Q49" i="67"/>
  <c r="C57" i="67"/>
  <c r="C61" i="67" s="1"/>
  <c r="C59" i="67" s="1"/>
  <c r="E2" i="76"/>
  <c r="B2" i="43"/>
  <c r="H70" i="39"/>
  <c r="I68" i="39"/>
  <c r="H65" i="40"/>
  <c r="I63" i="40"/>
  <c r="Q48" i="15"/>
  <c r="B6" i="76"/>
  <c r="C19" i="15" l="1"/>
  <c r="C20" i="15" s="1"/>
  <c r="C26" i="15" s="1"/>
  <c r="J11" i="39"/>
  <c r="F11" i="39"/>
  <c r="H11" i="39"/>
  <c r="C36" i="68"/>
  <c r="C34" i="68"/>
  <c r="C36" i="11"/>
  <c r="C37" i="11"/>
  <c r="C34" i="11"/>
  <c r="S19" i="6"/>
  <c r="S27" i="6" s="1"/>
  <c r="I27" i="6"/>
  <c r="H19" i="6"/>
  <c r="C16" i="12"/>
  <c r="C21" i="12" s="1"/>
  <c r="C22" i="12" s="1"/>
  <c r="C64" i="67"/>
  <c r="L46" i="67"/>
  <c r="C25" i="69"/>
  <c r="C22" i="69" s="1"/>
  <c r="C31" i="69" s="1"/>
  <c r="J13" i="67"/>
  <c r="J23" i="67" s="1"/>
  <c r="J16" i="67" s="1"/>
  <c r="J25" i="67" s="1"/>
  <c r="Q70" i="67"/>
  <c r="C56" i="67"/>
  <c r="C65" i="67" s="1"/>
  <c r="C37" i="67"/>
  <c r="C30" i="67" s="1"/>
  <c r="C39" i="67" s="1"/>
  <c r="C80" i="67" s="1"/>
  <c r="C79" i="67" s="1"/>
  <c r="C46" i="69"/>
  <c r="C45" i="69" s="1"/>
  <c r="C43" i="69"/>
  <c r="C41" i="69" s="1"/>
  <c r="B2" i="76"/>
  <c r="B3" i="76" s="1"/>
  <c r="B3" i="43"/>
  <c r="I70" i="39"/>
  <c r="J68" i="39"/>
  <c r="I65" i="40"/>
  <c r="J63" i="40"/>
  <c r="C23" i="15" l="1"/>
  <c r="C29" i="15" s="1"/>
  <c r="C13" i="15" s="1"/>
  <c r="S11" i="39"/>
  <c r="AA11" i="39"/>
  <c r="W11" i="39"/>
  <c r="AC11" i="39"/>
  <c r="AB11" i="39"/>
  <c r="U11" i="39"/>
  <c r="C38" i="68"/>
  <c r="C35" i="68"/>
  <c r="C35" i="11"/>
  <c r="C38" i="11"/>
  <c r="C49" i="69"/>
  <c r="C51" i="69" s="1"/>
  <c r="C52" i="69" s="1"/>
  <c r="B2" i="69" s="1"/>
  <c r="B3" i="69" s="1"/>
  <c r="Q69" i="67"/>
  <c r="Q68" i="67" s="1"/>
  <c r="C40" i="67"/>
  <c r="C83" i="67" s="1"/>
  <c r="C82" i="67" s="1"/>
  <c r="H27" i="6"/>
  <c r="R19" i="6"/>
  <c r="C58" i="67"/>
  <c r="C67" i="67" s="1"/>
  <c r="C68" i="67" s="1"/>
  <c r="C71" i="67" s="1"/>
  <c r="K63" i="40"/>
  <c r="J65" i="40"/>
  <c r="K68" i="39"/>
  <c r="J70" i="39"/>
  <c r="L51" i="67"/>
  <c r="L57" i="67" l="1"/>
  <c r="L60" i="67" s="1"/>
  <c r="Q66" i="67" s="1"/>
  <c r="Q67" i="67"/>
  <c r="C33" i="11"/>
  <c r="C39" i="11" s="1"/>
  <c r="C43" i="11" s="1"/>
  <c r="J19" i="15"/>
  <c r="C36" i="15"/>
  <c r="J14" i="15"/>
  <c r="J22" i="15" s="1"/>
  <c r="C57" i="15"/>
  <c r="C64" i="15" s="1"/>
  <c r="Q49" i="15"/>
  <c r="C56" i="15"/>
  <c r="C65" i="15" s="1"/>
  <c r="Q70" i="15"/>
  <c r="C37" i="15"/>
  <c r="C75" i="15"/>
  <c r="C33" i="68"/>
  <c r="C39" i="68" s="1"/>
  <c r="C43" i="68" s="1"/>
  <c r="C57" i="69"/>
  <c r="C56" i="69" s="1"/>
  <c r="C43" i="67"/>
  <c r="Q65" i="67"/>
  <c r="Q47" i="67"/>
  <c r="Q53" i="67" s="1"/>
  <c r="Q56" i="67"/>
  <c r="D2" i="67"/>
  <c r="B2" i="67" s="1"/>
  <c r="R27" i="6"/>
  <c r="R6" i="1"/>
  <c r="C45" i="67"/>
  <c r="C46" i="67" s="1"/>
  <c r="K65" i="40"/>
  <c r="L63" i="40"/>
  <c r="L68" i="39"/>
  <c r="K70" i="39"/>
  <c r="M21" i="15"/>
  <c r="F35" i="15"/>
  <c r="C42" i="11" l="1"/>
  <c r="Q57" i="67"/>
  <c r="Q62" i="67" s="1"/>
  <c r="C61" i="15"/>
  <c r="J13" i="15"/>
  <c r="J23" i="15" s="1"/>
  <c r="C42" i="68"/>
  <c r="C41" i="68" s="1"/>
  <c r="C46" i="68"/>
  <c r="C45" i="68" s="1"/>
  <c r="C41" i="11"/>
  <c r="C46" i="11"/>
  <c r="C45" i="11" s="1"/>
  <c r="J20" i="15"/>
  <c r="J17" i="15" s="1"/>
  <c r="C34" i="15"/>
  <c r="C31" i="15" s="1"/>
  <c r="C30" i="15" s="1"/>
  <c r="C39" i="15" s="1"/>
  <c r="F63" i="15"/>
  <c r="C62" i="15" s="1"/>
  <c r="R16" i="1"/>
  <c r="B3" i="67"/>
  <c r="Q75" i="67"/>
  <c r="M68" i="39"/>
  <c r="L70" i="39"/>
  <c r="M63" i="40"/>
  <c r="L65" i="40"/>
  <c r="L51" i="15"/>
  <c r="C59" i="15" l="1"/>
  <c r="C58" i="15" s="1"/>
  <c r="C67" i="15" s="1"/>
  <c r="C68" i="15" s="1"/>
  <c r="C71" i="15" s="1"/>
  <c r="J16" i="15"/>
  <c r="J25" i="15" s="1"/>
  <c r="C49" i="68"/>
  <c r="C51" i="68" s="1"/>
  <c r="C49" i="11"/>
  <c r="C51" i="11" s="1"/>
  <c r="C52" i="11" s="1"/>
  <c r="B2" i="11" s="1"/>
  <c r="B3" i="11" s="1"/>
  <c r="Q67" i="15"/>
  <c r="L57" i="15"/>
  <c r="L60" i="15" s="1"/>
  <c r="Q69" i="15"/>
  <c r="Q68" i="15" s="1"/>
  <c r="C40" i="15"/>
  <c r="C80" i="15"/>
  <c r="C79" i="15" s="1"/>
  <c r="M65" i="40"/>
  <c r="N63" i="40"/>
  <c r="M70" i="39"/>
  <c r="N68" i="39"/>
  <c r="C56" i="11" l="1"/>
  <c r="C57" i="11" s="1"/>
  <c r="C43" i="15"/>
  <c r="Q65" i="15"/>
  <c r="Q56" i="15"/>
  <c r="Q47" i="15"/>
  <c r="Q53" i="15" s="1"/>
  <c r="C83" i="15"/>
  <c r="C82" i="15" s="1"/>
  <c r="C46" i="15"/>
  <c r="L46" i="15"/>
  <c r="B2" i="15" s="1"/>
  <c r="Q57" i="15"/>
  <c r="Q66" i="15"/>
  <c r="N70" i="39"/>
  <c r="O68" i="39"/>
  <c r="O70" i="39" s="1"/>
  <c r="N65" i="40"/>
  <c r="O63" i="40"/>
  <c r="O65" i="40" s="1"/>
  <c r="AO6" i="1"/>
  <c r="AO7" i="1"/>
  <c r="B7" i="70" l="1"/>
  <c r="Q75" i="15"/>
  <c r="B6" i="70"/>
  <c r="B3" i="15"/>
  <c r="D6" i="12" s="1"/>
  <c r="Q62" i="15"/>
  <c r="H7" i="40"/>
  <c r="J7" i="40"/>
  <c r="F7" i="40"/>
  <c r="F7" i="39"/>
  <c r="J7" i="39"/>
  <c r="H7" i="39"/>
  <c r="D8" i="12" l="1"/>
  <c r="C4" i="12" s="1"/>
  <c r="B2" i="70"/>
  <c r="B3" i="70" s="1"/>
  <c r="S7" i="40"/>
  <c r="AA7" i="40"/>
  <c r="R42" i="40" s="1"/>
  <c r="U7" i="39"/>
  <c r="AB7" i="39"/>
  <c r="T47" i="39" s="1"/>
  <c r="G47" i="39" s="1"/>
  <c r="AC7" i="39"/>
  <c r="V47" i="39" s="1"/>
  <c r="I47" i="39" s="1"/>
  <c r="W7" i="39"/>
  <c r="AA7" i="39"/>
  <c r="R47" i="39" s="1"/>
  <c r="S7" i="39"/>
  <c r="W7" i="40"/>
  <c r="AC7" i="40"/>
  <c r="V42" i="40" s="1"/>
  <c r="I42" i="40" s="1"/>
  <c r="U7" i="40"/>
  <c r="AB7" i="40"/>
  <c r="T42" i="40" s="1"/>
  <c r="G42" i="40" s="1"/>
  <c r="C23" i="12" l="1"/>
  <c r="C31" i="12"/>
  <c r="I51" i="39"/>
  <c r="J51" i="39" s="1"/>
  <c r="G47" i="40"/>
  <c r="H47" i="40" s="1"/>
  <c r="G46" i="40"/>
  <c r="H46" i="40" s="1"/>
  <c r="G51" i="39"/>
  <c r="H51" i="39" s="1"/>
  <c r="G52" i="39"/>
  <c r="H52" i="39" s="1"/>
  <c r="R48" i="39"/>
  <c r="E47" i="39"/>
  <c r="I52" i="39" s="1"/>
  <c r="J52" i="39" s="1"/>
  <c r="I46" i="40"/>
  <c r="J46" i="40" s="1"/>
  <c r="R43" i="40"/>
  <c r="E42" i="40"/>
  <c r="C27" i="12" l="1"/>
  <c r="C25" i="12" s="1"/>
  <c r="C30" i="12"/>
  <c r="C28" i="12" s="1"/>
  <c r="E46" i="40"/>
  <c r="F46" i="40" s="1"/>
  <c r="E47" i="40"/>
  <c r="F47" i="40" s="1"/>
  <c r="I47" i="40"/>
  <c r="J47" i="40" s="1"/>
  <c r="E52" i="39"/>
  <c r="F52" i="39" s="1"/>
  <c r="E51" i="39"/>
  <c r="F51" i="39" s="1"/>
  <c r="C48" i="39"/>
  <c r="C47" i="39"/>
  <c r="C42" i="40"/>
  <c r="C43" i="40"/>
  <c r="C32" i="12" l="1"/>
  <c r="B2" i="12" s="1"/>
  <c r="B59" i="39"/>
  <c r="F59" i="39" s="1"/>
  <c r="B58" i="39"/>
  <c r="F58" i="39" s="1"/>
  <c r="B61" i="39"/>
  <c r="F61" i="39" s="1"/>
  <c r="B65" i="39"/>
  <c r="F65" i="39" s="1"/>
  <c r="B64" i="39"/>
  <c r="F64" i="39" s="1"/>
  <c r="B60" i="39"/>
  <c r="F60" i="39" s="1"/>
  <c r="B62" i="39"/>
  <c r="F62" i="39" s="1"/>
  <c r="B63" i="39"/>
  <c r="F63" i="39" s="1"/>
  <c r="B56" i="39"/>
  <c r="F56" i="39" s="1"/>
  <c r="B57" i="39"/>
  <c r="F57" i="39" s="1"/>
  <c r="B56" i="40"/>
  <c r="F56" i="40" s="1"/>
  <c r="B60" i="40"/>
  <c r="F60" i="40" s="1"/>
  <c r="B52" i="40"/>
  <c r="F52" i="40" s="1"/>
  <c r="B53" i="40"/>
  <c r="F53" i="40" s="1"/>
  <c r="B59" i="40"/>
  <c r="F59" i="40" s="1"/>
  <c r="B57" i="40"/>
  <c r="F57" i="40" s="1"/>
  <c r="B51" i="40"/>
  <c r="F51" i="40" s="1"/>
  <c r="F61" i="40"/>
  <c r="B2" i="40" s="1"/>
  <c r="B3" i="40" s="1"/>
  <c r="B58" i="40"/>
  <c r="F58" i="40" s="1"/>
  <c r="B55" i="40"/>
  <c r="F55" i="40" s="1"/>
  <c r="B54" i="40"/>
  <c r="F54" i="40" s="1"/>
  <c r="D19" i="9"/>
  <c r="D102" i="9" l="1"/>
  <c r="D21" i="9"/>
  <c r="B3" i="12"/>
  <c r="F66" i="39"/>
  <c r="B2" i="39" s="1"/>
  <c r="D20" i="9"/>
  <c r="D103" i="9" l="1"/>
  <c r="B3" i="39"/>
  <c r="C6" i="68"/>
  <c r="C7" i="68" s="1"/>
  <c r="C5" i="68" s="1"/>
  <c r="C23" i="68" l="1"/>
  <c r="C20" i="68"/>
  <c r="C28" i="68" l="1"/>
  <c r="C27" i="68" s="1"/>
  <c r="C25" i="68"/>
  <c r="C22" i="68" s="1"/>
  <c r="C31" i="68" l="1"/>
  <c r="C52" i="68" s="1"/>
  <c r="B2" i="68" s="1"/>
  <c r="C19" i="9"/>
  <c r="C57" i="68" l="1"/>
  <c r="C56" i="68" s="1"/>
  <c r="C21" i="9"/>
  <c r="C102" i="9"/>
  <c r="D22" i="9"/>
  <c r="G19" i="9"/>
  <c r="B3" i="68"/>
  <c r="D35" i="9"/>
  <c r="D34" i="9"/>
  <c r="C20" i="9"/>
  <c r="C103" i="9" l="1"/>
  <c r="G20" i="9"/>
  <c r="C32" i="9"/>
  <c r="G21" i="9"/>
  <c r="C35" i="9" l="1"/>
  <c r="F118" i="9" s="1"/>
  <c r="H118" i="9"/>
  <c r="C34" i="9" l="1"/>
  <c r="D118" i="9" s="1"/>
  <c r="D4" i="52" s="1"/>
  <c r="B47" i="72" s="1"/>
  <c r="C104" i="9"/>
  <c r="H4" i="52"/>
  <c r="I118" i="9"/>
  <c r="H119" i="9"/>
  <c r="H5" i="52" s="1"/>
  <c r="H101" i="9"/>
  <c r="D14" i="74"/>
  <c r="F119" i="9"/>
  <c r="F5" i="52" s="1"/>
  <c r="B53" i="72" s="1"/>
  <c r="F4" i="52"/>
  <c r="B51" i="72" s="1"/>
  <c r="G118" i="9"/>
  <c r="G4" i="52" s="1"/>
  <c r="B52" i="72" s="1"/>
  <c r="D119" i="9" l="1"/>
  <c r="D5" i="52" s="1"/>
  <c r="B49" i="72" s="1"/>
  <c r="E14" i="74"/>
  <c r="F14" i="74"/>
  <c r="D45" i="9"/>
  <c r="M48" i="9"/>
  <c r="H107" i="9"/>
  <c r="D5" i="53"/>
  <c r="H102" i="9"/>
  <c r="D7" i="53" s="1"/>
  <c r="B21" i="72" s="1"/>
  <c r="C105" i="9"/>
  <c r="E118" i="9"/>
  <c r="E4" i="52" s="1"/>
  <c r="B48" i="72" s="1"/>
  <c r="I4" i="52"/>
  <c r="B20" i="72" l="1"/>
  <c r="D6" i="53"/>
  <c r="B22" i="72" s="1"/>
  <c r="M49" i="9"/>
  <c r="H108" i="9"/>
  <c r="D15" i="53" s="1"/>
  <c r="B31" i="72" s="1"/>
  <c r="D122" i="9"/>
  <c r="D13" i="53"/>
  <c r="D53" i="9"/>
  <c r="D55" i="9"/>
  <c r="M53" i="9" s="1"/>
  <c r="C72" i="9"/>
  <c r="C64" i="9"/>
  <c r="C63" i="9" s="1"/>
  <c r="C67" i="9" s="1"/>
  <c r="C68" i="9" s="1"/>
  <c r="D54" i="9" s="1"/>
  <c r="C93" i="9"/>
  <c r="C86" i="9" s="1"/>
  <c r="D52" i="9"/>
  <c r="C85" i="9"/>
  <c r="C78" i="9"/>
  <c r="C73" i="9" s="1"/>
  <c r="D14" i="53" l="1"/>
  <c r="B32" i="72" s="1"/>
  <c r="B30" i="72"/>
  <c r="C95" i="9"/>
  <c r="D123" i="9"/>
  <c r="D9" i="52" s="1"/>
  <c r="D8" i="52"/>
  <c r="G14" i="74"/>
  <c r="L64" i="9"/>
  <c r="M64" i="9" s="1"/>
  <c r="L67" i="9"/>
  <c r="M67" i="9" s="1"/>
  <c r="L63" i="9"/>
  <c r="M63" i="9" s="1"/>
  <c r="L65" i="9"/>
  <c r="M65" i="9" s="1"/>
  <c r="L68" i="9"/>
  <c r="M68" i="9" s="1"/>
  <c r="L66" i="9"/>
  <c r="M66" i="9" s="1"/>
  <c r="C79" i="9"/>
  <c r="M69" i="9" l="1"/>
  <c r="N69" i="9" s="1"/>
  <c r="C80" i="9"/>
  <c r="E80" i="9" s="1"/>
  <c r="E81" i="9" s="1"/>
  <c r="C96" i="9"/>
  <c r="E96" i="9" s="1"/>
  <c r="E97" i="9" s="1"/>
  <c r="C97" i="9" l="1"/>
  <c r="D58" i="9" s="1"/>
  <c r="D56" i="9" s="1"/>
  <c r="M54" i="9" s="1"/>
  <c r="N57" i="9" s="1"/>
  <c r="N59" i="9" s="1"/>
  <c r="C81" i="9"/>
  <c r="P57" i="9" l="1"/>
  <c r="N58" i="9"/>
  <c r="N60" i="9"/>
  <c r="N61" i="9"/>
  <c r="G15" i="74" l="1"/>
  <c r="B6" i="74" s="1"/>
  <c r="C6" i="74" l="1"/>
  <c r="D6" i="74"/>
  <c r="F15" i="74"/>
  <c r="E15" i="74"/>
  <c r="B5"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<sst xmlns="http://schemas.openxmlformats.org/spreadsheetml/2006/main" count="10056" uniqueCount="3710">
  <si>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</si>
  <si>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</si>
  <si>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</si>
  <si>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</si>
  <si>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</si>
  <si>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</si>
  <si>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</si>
  <si>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</si>
  <si>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</si>
  <si>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</si>
  <si>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</si>
  <si>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</si>
  <si>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</si>
  <si>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</si>
  <si>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</si>
  <si>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</si>
  <si>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</si>
  <si>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</si>
  <si>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</si>
  <si>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</si>
  <si>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</si>
  <si>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</si>
  <si>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</si>
  <si>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</si>
  <si>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</si>
  <si>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</si>
  <si>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</si>
  <si>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</si>
  <si>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</si>
  <si>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</si>
  <si>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</si>
  <si>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</si>
  <si>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</si>
  <si>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</si>
  <si>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</si>
  <si>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</si>
  <si>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</si>
  <si>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</si>
  <si>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</si>
  <si>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</si>
  <si>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</si>
  <si>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</si>
  <si>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</si>
  <si>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</si>
  <si>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</si>
  <si>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</si>
  <si>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</si>
  <si>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</si>
  <si>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</si>
  <si>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</si>
  <si>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</si>
  <si>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</si>
  <si>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</si>
  <si>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</si>
  <si>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</si>
  <si>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</si>
  <si>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</si>
  <si>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</si>
  <si>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</si>
  <si>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</si>
  <si>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</si>
  <si>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</si>
  <si>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</si>
  <si>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</si>
  <si>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</si>
  <si>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</si>
  <si>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</si>
  <si>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</si>
  <si>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</si>
  <si>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</si>
  <si>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</si>
  <si>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</si>
  <si>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</si>
  <si>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</si>
  <si>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</si>
  <si>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</si>
  <si>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</si>
  <si>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</si>
  <si>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</si>
  <si>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</si>
  <si>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</si>
  <si>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</si>
  <si>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</si>
  <si>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</si>
  <si>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</si>
  <si>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</si>
  <si>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</si>
  <si>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</si>
  <si>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</si>
  <si>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</si>
  <si>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</si>
  <si>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</si>
  <si>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</si>
  <si>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</si>
  <si>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</si>
  <si>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</si>
  <si>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</si>
  <si>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</si>
  <si>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</si>
  <si>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</si>
  <si>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</si>
  <si>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</si>
  <si>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</si>
  <si>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</si>
  <si>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</si>
  <si>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</si>
  <si>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</si>
  <si>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</si>
  <si>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</si>
  <si>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</si>
  <si>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</si>
  <si>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</si>
  <si>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</si>
  <si>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</si>
  <si>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</si>
  <si>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</si>
  <si>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</si>
  <si>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</si>
  <si>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</si>
  <si>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</si>
  <si>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</si>
  <si>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</si>
  <si>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</si>
  <si>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</si>
  <si>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</si>
  <si>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</si>
  <si>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</si>
  <si>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</si>
  <si>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</si>
  <si>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</si>
  <si>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</si>
  <si>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</si>
  <si>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</si>
  <si>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</si>
  <si>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</si>
  <si>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</si>
  <si>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</si>
  <si>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</si>
  <si>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</si>
  <si>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</si>
  <si>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</si>
  <si>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</si>
  <si>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</si>
  <si>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</si>
  <si>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</si>
  <si>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</si>
  <si>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</si>
  <si>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</si>
  <si>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</si>
  <si>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</si>
  <si>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</si>
  <si>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</si>
  <si>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</si>
  <si>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</si>
  <si>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</si>
  <si>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</si>
  <si>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</si>
  <si>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</si>
  <si>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</si>
  <si>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</si>
  <si>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</si>
  <si>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</si>
  <si>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</si>
  <si>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</si>
  <si>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</si>
  <si>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</si>
  <si>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</si>
  <si>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</si>
  <si>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</si>
  <si>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</si>
  <si>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</si>
  <si>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</si>
  <si>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</si>
  <si>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</si>
  <si>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</si>
  <si>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</si>
  <si>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</si>
  <si>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</si>
  <si>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</si>
  <si>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</si>
  <si>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</si>
  <si>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</si>
  <si>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</si>
  <si>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</si>
  <si>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</si>
  <si>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</si>
  <si>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</si>
  <si>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</si>
  <si>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</si>
  <si>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</si>
  <si>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</si>
  <si>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</si>
  <si>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</si>
  <si>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</si>
  <si>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</si>
  <si>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</si>
  <si>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</si>
  <si>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</si>
  <si>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</si>
  <si>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</si>
  <si>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</si>
  <si>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</si>
  <si>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</si>
  <si>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</si>
  <si>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</si>
  <si>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</si>
  <si>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</si>
  <si>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</si>
  <si>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</si>
  <si>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</si>
  <si>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</si>
  <si>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</si>
  <si>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</si>
  <si>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</si>
  <si>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</si>
  <si>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</si>
  <si>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</si>
  <si>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</si>
  <si>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</si>
  <si>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</si>
  <si>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</si>
  <si>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</si>
  <si>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</si>
  <si>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</si>
  <si>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</si>
  <si>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</si>
  <si>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</si>
  <si>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</si>
  <si>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</si>
  <si>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</si>
  <si>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</si>
  <si>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</si>
  <si>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</si>
  <si>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</si>
  <si>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</si>
  <si>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</si>
  <si>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</si>
  <si>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</si>
  <si>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</si>
  <si>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</si>
  <si>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</si>
  <si>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</si>
  <si>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</si>
  <si>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</si>
  <si>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</si>
  <si>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</si>
  <si>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</si>
  <si>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</si>
  <si>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</si>
  <si>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</si>
  <si>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</si>
  <si>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</si>
  <si>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</si>
  <si>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</si>
  <si>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</si>
  <si>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</si>
  <si>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</si>
  <si>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</si>
  <si>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</si>
  <si>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</si>
  <si>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</si>
  <si>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</si>
  <si>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</si>
  <si>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</si>
  <si>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</si>
  <si>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</si>
  <si>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</si>
  <si>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</si>
  <si>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</si>
  <si>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</si>
  <si>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</si>
  <si>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</si>
  <si>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</si>
  <si>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</si>
  <si>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</si>
  <si>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</si>
  <si>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</si>
  <si>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</si>
  <si>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</si>
  <si>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</si>
  <si>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</si>
  <si>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</si>
  <si>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</si>
  <si>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</si>
  <si>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</si>
  <si>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</si>
  <si>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</si>
  <si>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</si>
  <si>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</si>
  <si>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</si>
  <si>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</si>
  <si>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</si>
  <si>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</si>
  <si>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</si>
  <si>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</si>
  <si>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</si>
  <si>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</si>
  <si>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</si>
  <si>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</si>
  <si>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</si>
  <si>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</si>
  <si>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</si>
  <si>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</si>
  <si>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</si>
  <si>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</si>
  <si>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</si>
  <si>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</si>
  <si>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</si>
  <si>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</si>
  <si>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</si>
  <si>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</si>
  <si>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</si>
  <si>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</si>
  <si>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</si>
  <si>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</si>
  <si>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</si>
  <si>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</si>
  <si>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</si>
  <si>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</si>
  <si>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</si>
  <si>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</si>
  <si>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</si>
  <si>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</si>
  <si>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</si>
  <si>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</si>
  <si>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</si>
  <si>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</si>
  <si>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</si>
  <si>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</si>
  <si>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</si>
  <si>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</si>
  <si>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</si>
  <si>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</si>
  <si>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</si>
  <si>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</si>
  <si>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</si>
  <si>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</si>
  <si>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</si>
  <si>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</si>
  <si>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</si>
  <si>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</si>
  <si>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</si>
  <si>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</si>
  <si>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</si>
  <si>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</si>
  <si>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</si>
  <si>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</si>
  <si>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</si>
  <si>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</si>
  <si>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</si>
  <si>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</si>
  <si>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</si>
  <si>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</si>
  <si>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</si>
  <si>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</si>
  <si>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</si>
  <si>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</si>
  <si>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</si>
  <si>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</si>
  <si>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</si>
  <si>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</si>
  <si>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</si>
  <si>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</si>
  <si>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</si>
  <si>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</si>
  <si>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</si>
  <si>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</si>
  <si>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</si>
  <si>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</si>
  <si>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</si>
  <si>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</si>
  <si>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</si>
  <si>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</si>
  <si>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</si>
  <si>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</si>
  <si>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</si>
  <si>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</si>
  <si>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</si>
  <si>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</si>
  <si>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</si>
  <si>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</si>
  <si>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</si>
  <si>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</si>
  <si>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</si>
  <si>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</si>
  <si>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</si>
  <si>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</si>
  <si>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</si>
  <si>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</si>
  <si>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</si>
  <si>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</si>
  <si>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</si>
  <si>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</si>
  <si>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</si>
  <si>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</si>
  <si>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</si>
  <si>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</si>
  <si>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</si>
  <si>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</si>
  <si>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</si>
  <si>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</si>
  <si>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</si>
  <si>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</si>
  <si>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</si>
  <si>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</si>
  <si>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</si>
  <si>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</si>
  <si>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</si>
  <si>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</si>
  <si>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</si>
  <si>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</si>
  <si>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</si>
  <si>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</si>
  <si>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</si>
  <si>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</si>
  <si>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</si>
  <si>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</si>
  <si>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</si>
  <si>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</si>
  <si>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</si>
  <si>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</si>
  <si>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</si>
  <si>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</si>
  <si>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</si>
  <si>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</si>
  <si>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</si>
  <si>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</si>
  <si>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</si>
  <si>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</si>
  <si>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</si>
  <si>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</si>
  <si>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</si>
  <si>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</si>
  <si>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</si>
  <si>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</si>
  <si>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</si>
  <si>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</si>
  <si>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</si>
  <si>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</si>
  <si>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</si>
  <si>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</si>
  <si>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</si>
  <si>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</si>
  <si>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</si>
  <si>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</si>
  <si>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</si>
  <si>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</si>
  <si>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</si>
  <si>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</si>
  <si>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</si>
  <si>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</si>
  <si>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</si>
  <si>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</si>
  <si>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</si>
  <si>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</si>
  <si>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</si>
  <si>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</si>
  <si>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</si>
  <si>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</si>
  <si>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</si>
  <si>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</si>
  <si>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</si>
  <si>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</si>
  <si>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</si>
  <si>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</si>
  <si>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</si>
  <si>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</si>
  <si>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</si>
  <si>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</si>
  <si>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</si>
  <si>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</si>
  <si>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</si>
  <si>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</si>
  <si>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</si>
  <si>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</si>
  <si>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</si>
  <si>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</si>
  <si>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</si>
  <si>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</si>
  <si>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</si>
  <si>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</si>
  <si>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</si>
  <si>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</si>
  <si>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</si>
  <si>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</si>
  <si>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</si>
  <si>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</si>
  <si>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</si>
  <si>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</si>
  <si>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</si>
  <si>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</si>
  <si>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</si>
  <si>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</si>
  <si>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</si>
  <si>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</si>
  <si>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</si>
  <si>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</si>
  <si>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</si>
  <si>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</si>
  <si>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</si>
  <si>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</si>
  <si>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</si>
  <si>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</si>
  <si>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</si>
  <si>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</si>
  <si>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</si>
  <si>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</si>
  <si>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</si>
  <si>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</si>
  <si>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</si>
  <si>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</si>
  <si>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</si>
  <si>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</si>
  <si>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</si>
  <si>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</si>
  <si>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</si>
  <si>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</si>
  <si>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</si>
  <si>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</si>
  <si>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</si>
  <si>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</si>
  <si>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</si>
  <si>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</si>
  <si>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</si>
  <si>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</si>
  <si>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</si>
  <si>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</si>
  <si>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</si>
  <si>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</si>
  <si>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</si>
  <si>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</si>
  <si>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</si>
  <si>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</si>
  <si>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</si>
  <si>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</si>
  <si>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</si>
  <si>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</si>
  <si>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</si>
  <si>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</si>
  <si>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</si>
  <si>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</si>
  <si>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</si>
  <si>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</si>
  <si>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</si>
  <si>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</si>
  <si>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</si>
  <si>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</si>
  <si>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</si>
  <si>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</si>
  <si>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</si>
  <si>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</si>
  <si>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</si>
  <si>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</si>
  <si>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</si>
  <si>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</si>
  <si>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</si>
  <si>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</si>
  <si>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</si>
  <si>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</si>
  <si>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</si>
  <si>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</si>
  <si>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</si>
  <si>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</si>
  <si>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</si>
  <si>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</si>
  <si>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</si>
  <si>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</si>
  <si>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</si>
  <si>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</si>
  <si>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</si>
  <si>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</si>
  <si>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</si>
  <si>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</si>
  <si>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</si>
  <si>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</si>
  <si>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</si>
  <si>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</si>
  <si>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</si>
  <si>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</si>
  <si>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</si>
  <si>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</si>
  <si>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</si>
  <si>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</si>
  <si>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</si>
  <si>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</si>
  <si>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</si>
  <si>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</si>
  <si>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</si>
  <si>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</si>
  <si>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</si>
  <si>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</si>
  <si>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</si>
  <si>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</si>
  <si>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</si>
  <si>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</si>
  <si>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</si>
  <si>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</si>
  <si>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</si>
  <si>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</si>
  <si>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</si>
  <si>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</si>
  <si>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</si>
  <si>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</si>
  <si>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</si>
  <si>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</si>
  <si>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</si>
  <si>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</si>
  <si>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</si>
  <si>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</si>
  <si>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</si>
  <si>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</si>
  <si>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</si>
  <si>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</si>
  <si>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</si>
  <si>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</si>
  <si>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</si>
  <si>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</si>
  <si>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</si>
  <si>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</si>
  <si>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</si>
  <si>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</si>
  <si>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</si>
  <si>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</si>
  <si>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</si>
  <si>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</si>
  <si>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</si>
  <si>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</si>
  <si>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</si>
  <si>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</si>
  <si>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</si>
  <si>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</si>
  <si>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</si>
  <si>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</si>
  <si>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</si>
  <si>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</si>
  <si>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</si>
  <si>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</si>
  <si>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</si>
  <si>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</si>
  <si>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</si>
  <si>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</si>
  <si>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</si>
  <si>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</si>
  <si>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</si>
  <si>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</si>
  <si>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</si>
  <si>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</si>
  <si>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</si>
  <si>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</si>
  <si>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</si>
  <si>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</si>
  <si>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</si>
  <si>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</si>
  <si>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</si>
  <si>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</si>
  <si>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</si>
  <si>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</si>
  <si>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</si>
  <si>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</si>
  <si>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</si>
  <si>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</si>
  <si>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</si>
  <si>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</si>
  <si>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</si>
  <si>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</si>
  <si>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</si>
  <si>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</si>
  <si>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</si>
  <si>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</si>
  <si>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</si>
  <si>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</si>
  <si>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</si>
  <si>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</si>
  <si>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</si>
  <si>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</si>
  <si>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</si>
  <si>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</si>
  <si>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</si>
  <si>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</si>
  <si>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</si>
  <si>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</si>
  <si>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</si>
  <si>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</si>
  <si>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</si>
  <si>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</si>
  <si>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</si>
  <si>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</si>
  <si>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</si>
  <si>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</si>
  <si>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</si>
  <si>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</si>
  <si>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</si>
  <si>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</si>
  <si>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</si>
  <si>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</si>
  <si>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</si>
  <si>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</si>
  <si>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</si>
  <si>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</si>
  <si>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</si>
  <si>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</si>
  <si>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</si>
  <si>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</si>
  <si>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</si>
  <si>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</si>
  <si>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</si>
  <si>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</si>
  <si>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</si>
  <si>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</si>
  <si>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</si>
  <si>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</si>
  <si>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</si>
  <si>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</si>
  <si>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</si>
  <si>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</si>
  <si>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</si>
  <si>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</si>
  <si>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</si>
  <si>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</si>
  <si>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</si>
  <si>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</si>
  <si>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</si>
  <si>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</si>
  <si>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</si>
  <si>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</si>
  <si>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</si>
  <si>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</si>
  <si>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</si>
  <si>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</si>
  <si>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</si>
  <si>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</si>
  <si>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</si>
  <si>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</si>
  <si>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</si>
  <si>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</si>
  <si>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</si>
  <si>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</si>
  <si>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</si>
  <si>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</si>
  <si>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</si>
  <si>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</si>
  <si>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</si>
  <si>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</si>
  <si>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</si>
  <si>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</si>
  <si>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</si>
  <si>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</si>
  <si>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</si>
  <si>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</si>
  <si>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</si>
  <si>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</si>
  <si>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</si>
  <si>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</si>
  <si>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</si>
  <si>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</si>
  <si>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</si>
  <si>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</si>
  <si>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</si>
  <si>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</si>
  <si>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</si>
  <si>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</si>
  <si>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</si>
  <si>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</si>
  <si>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</si>
  <si>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</si>
  <si>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</si>
  <si>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</si>
  <si>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</si>
  <si>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</si>
  <si>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</si>
  <si>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</si>
  <si>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</si>
  <si>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</si>
  <si>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</si>
  <si>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</si>
  <si>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</si>
  <si>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</si>
  <si>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</si>
  <si>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</si>
  <si>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</si>
  <si>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</si>
  <si>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</si>
  <si>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</si>
  <si>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</si>
  <si>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</si>
  <si>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</si>
  <si>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</si>
  <si>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</si>
  <si>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</si>
  <si>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</si>
  <si>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</si>
  <si>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</si>
  <si>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</si>
  <si>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</si>
  <si>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</si>
  <si>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</si>
  <si>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</si>
  <si>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</si>
  <si>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</si>
  <si>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</si>
  <si>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</si>
  <si>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</si>
  <si>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</si>
  <si>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</si>
  <si>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</si>
  <si>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</si>
  <si>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</si>
  <si>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</si>
  <si>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</si>
  <si>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</si>
  <si>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</si>
  <si>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</si>
  <si>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</si>
  <si>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</si>
  <si>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</si>
  <si>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</si>
  <si>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</si>
  <si>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</si>
  <si>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</si>
  <si>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</si>
  <si>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</si>
  <si>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</si>
  <si>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</si>
  <si>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</si>
  <si>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</si>
  <si>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</si>
  <si>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</si>
  <si>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</si>
  <si>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</si>
  <si>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</si>
  <si>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</si>
  <si>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</si>
  <si>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</si>
  <si>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</si>
  <si>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</si>
  <si>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</si>
  <si>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</si>
  <si>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</si>
  <si>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</si>
  <si>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</si>
  <si>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</si>
  <si>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</si>
  <si>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</si>
  <si>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</si>
  <si>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</si>
  <si>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</si>
  <si>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</si>
  <si>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</si>
  <si>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</si>
  <si>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</si>
  <si>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</si>
  <si>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</si>
  <si>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</si>
  <si>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</si>
  <si>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</si>
  <si>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</si>
  <si>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</si>
  <si>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</si>
  <si>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</si>
  <si>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</si>
  <si>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</si>
  <si>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</si>
  <si>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</si>
  <si>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</si>
  <si>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</si>
  <si>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</si>
  <si>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</si>
  <si>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</si>
  <si>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</si>
  <si>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</si>
  <si>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</si>
  <si>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</si>
  <si>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</si>
  <si>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</si>
  <si>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</si>
  <si>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</si>
  <si>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</si>
  <si>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</si>
  <si>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</si>
  <si>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</si>
  <si>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</si>
  <si>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</si>
  <si>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</si>
  <si>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</si>
  <si>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</si>
  <si>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</si>
  <si>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</si>
  <si>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</si>
  <si>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</si>
  <si>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</si>
  <si>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</si>
  <si>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</si>
  <si>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</si>
  <si>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</si>
  <si>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</si>
  <si>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</si>
  <si>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</si>
  <si>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</si>
  <si>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</si>
  <si>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</si>
  <si>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</si>
  <si>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</si>
  <si>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</si>
  <si>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</si>
  <si>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</si>
  <si>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</si>
  <si>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</si>
  <si>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</si>
  <si>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</si>
  <si>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</si>
  <si>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</si>
  <si>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</si>
  <si>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</si>
  <si>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</si>
  <si>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</si>
  <si>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</si>
  <si>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</si>
  <si>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</si>
  <si>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</si>
  <si>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</si>
  <si>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</si>
  <si>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</si>
  <si>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</si>
  <si>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</si>
  <si>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</si>
  <si>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</si>
  <si>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</si>
  <si>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</si>
  <si>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</si>
  <si>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</si>
  <si>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</si>
  <si>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</si>
  <si>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</si>
  <si>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</si>
  <si>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</si>
  <si>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</si>
  <si>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</si>
  <si>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</si>
  <si>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</si>
  <si>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</si>
  <si>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</si>
  <si>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</si>
  <si>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</si>
  <si>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</si>
  <si>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</si>
  <si>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</si>
  <si>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</si>
  <si>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</si>
  <si>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</si>
  <si>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</si>
  <si>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</si>
  <si>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</si>
  <si>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</si>
  <si>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</si>
  <si>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</si>
  <si>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</si>
  <si>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</si>
  <si>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</si>
  <si>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</si>
  <si>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</si>
  <si>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</si>
  <si>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</si>
  <si>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</si>
  <si>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</si>
  <si>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</si>
  <si>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</si>
  <si>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</si>
  <si>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</si>
  <si>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</si>
  <si>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</si>
  <si>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</si>
  <si>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</si>
  <si>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</si>
  <si>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</si>
  <si>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</si>
  <si>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</si>
  <si>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</si>
  <si>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</si>
  <si>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</si>
  <si>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</si>
  <si>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</si>
  <si>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</si>
  <si>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</si>
  <si>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</si>
  <si>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</si>
  <si>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</si>
  <si>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</si>
  <si>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</si>
  <si>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</si>
  <si>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</si>
  <si>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</si>
  <si>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</si>
  <si>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</si>
  <si>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</si>
  <si>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</si>
  <si>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</si>
  <si>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</si>
  <si>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</si>
  <si>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</si>
  <si>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</si>
  <si>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</si>
  <si>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</si>
  <si>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</si>
  <si>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</si>
  <si>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</si>
  <si>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</si>
  <si>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</si>
  <si>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</si>
  <si>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</si>
  <si>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</si>
  <si>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</si>
  <si>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</si>
  <si>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</si>
  <si>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</si>
  <si>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</si>
  <si>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</si>
  <si>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</si>
  <si>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</si>
  <si>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</si>
  <si>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</si>
  <si>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</si>
  <si>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</si>
  <si>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</si>
  <si>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</si>
  <si>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</si>
  <si>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</si>
  <si>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</si>
  <si>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</si>
  <si>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</si>
  <si>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</si>
  <si>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</si>
  <si>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</si>
  <si>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</si>
  <si>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</si>
  <si>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</si>
  <si>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</si>
  <si>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</si>
  <si>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</si>
  <si>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</si>
  <si>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</si>
  <si>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</si>
  <si>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</si>
  <si>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</si>
  <si>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</si>
  <si>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</si>
  <si>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</si>
  <si>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</si>
  <si>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</si>
  <si>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</si>
  <si>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</si>
  <si>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</si>
  <si>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</si>
  <si>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</si>
  <si>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</si>
  <si>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</si>
  <si>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</si>
  <si>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</si>
  <si>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</si>
  <si>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</si>
  <si>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</si>
  <si>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</si>
  <si>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</si>
  <si>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</si>
  <si>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</si>
  <si>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</si>
  <si>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</si>
  <si>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</si>
  <si>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</si>
  <si>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</si>
  <si>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</si>
  <si>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</si>
  <si>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</si>
  <si>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</si>
  <si>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</si>
  <si>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</si>
  <si>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</si>
  <si>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</si>
  <si>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</si>
  <si>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</si>
  <si>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</si>
  <si>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</si>
  <si>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</si>
  <si>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</si>
  <si>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</si>
  <si>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</si>
  <si>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</si>
  <si>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</si>
  <si>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</si>
  <si>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</si>
  <si>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</si>
  <si>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</si>
  <si>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</si>
  <si>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</si>
  <si>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</si>
  <si>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</si>
  <si>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</si>
  <si>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</si>
  <si>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</si>
  <si>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</si>
  <si>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</si>
  <si>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</si>
  <si>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</si>
  <si>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</si>
  <si>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</si>
  <si>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</si>
  <si>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</si>
  <si>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</si>
  <si>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</si>
  <si>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</si>
  <si>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</si>
  <si>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</si>
  <si>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</si>
  <si>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</si>
  <si>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</si>
  <si>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</si>
  <si>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</si>
  <si>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</si>
  <si>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</si>
  <si>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</si>
  <si>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</si>
  <si>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</si>
  <si>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</si>
  <si>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</si>
  <si>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</si>
  <si>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</si>
  <si>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</si>
  <si>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</si>
  <si>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</si>
  <si>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</si>
  <si>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</si>
  <si>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</si>
  <si>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</si>
  <si>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</si>
  <si>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</si>
  <si>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</si>
  <si>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</si>
  <si>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</si>
  <si>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</si>
  <si>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</si>
  <si>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</si>
  <si>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</si>
  <si>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</si>
  <si>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</si>
  <si>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</si>
  <si>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</si>
  <si>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</si>
  <si>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</si>
  <si>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</si>
  <si>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</si>
  <si>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</si>
  <si>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</si>
  <si>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</si>
  <si>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</si>
  <si>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</si>
  <si>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</si>
  <si>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</si>
  <si>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</si>
  <si>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</si>
  <si>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</si>
  <si>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</si>
  <si>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</si>
  <si>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</si>
  <si>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</si>
  <si>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</si>
  <si>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</si>
  <si>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</si>
  <si>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</si>
  <si>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</si>
  <si>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</si>
  <si>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</si>
  <si>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</si>
  <si>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</si>
  <si>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</si>
  <si>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</si>
  <si>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</si>
  <si>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</si>
  <si>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</si>
  <si>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</si>
  <si>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</si>
  <si>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</si>
  <si>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</si>
  <si>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</si>
  <si>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</si>
  <si>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</si>
  <si>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</si>
  <si>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</si>
  <si>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</si>
  <si>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</si>
  <si>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</si>
  <si>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</si>
  <si>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</si>
  <si>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</si>
  <si>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</si>
  <si>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</si>
  <si>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</si>
  <si>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</si>
  <si>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</si>
  <si>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</si>
  <si>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</si>
  <si>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</si>
  <si>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</si>
  <si>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</si>
  <si>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</si>
  <si>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</si>
  <si>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</si>
  <si>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</si>
  <si>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</si>
  <si>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</si>
  <si>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</si>
  <si>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</si>
  <si>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</si>
  <si>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</si>
  <si>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</si>
  <si>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</si>
  <si>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</si>
  <si>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</si>
  <si>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</si>
  <si>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</si>
  <si>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</si>
  <si>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</si>
  <si>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</si>
  <si>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</si>
  <si>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</si>
  <si>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</si>
  <si>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</si>
  <si>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</si>
  <si>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</si>
  <si>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</si>
  <si>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</si>
  <si>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</si>
  <si>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</si>
  <si>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</si>
  <si>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</si>
  <si>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</si>
  <si>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</si>
  <si>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</si>
  <si>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</si>
  <si>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</si>
  <si>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</si>
  <si>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</si>
  <si>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</si>
  <si>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</si>
  <si>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</si>
  <si>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</si>
  <si>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</si>
  <si>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</si>
  <si>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</si>
  <si>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</si>
  <si>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</si>
  <si>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</si>
  <si>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</si>
  <si>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</si>
  <si>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</si>
  <si>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</si>
  <si>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</si>
  <si>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</si>
  <si>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</si>
  <si>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</si>
  <si>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</si>
  <si>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</si>
  <si>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</si>
  <si>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</si>
  <si>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</si>
  <si>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</si>
  <si>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</si>
  <si>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</si>
  <si>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</si>
  <si>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</si>
  <si>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</si>
  <si>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</si>
  <si>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</si>
  <si>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</si>
  <si>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</si>
  <si>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</si>
  <si>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</si>
  <si>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</si>
  <si>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</si>
  <si>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</si>
  <si>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</si>
  <si>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</si>
  <si>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</si>
  <si>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</si>
  <si>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</si>
  <si>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</si>
  <si>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</si>
  <si>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</si>
  <si>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</si>
  <si>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</si>
  <si>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</si>
  <si>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</si>
  <si>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</si>
  <si>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</si>
  <si>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</si>
  <si>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</si>
  <si>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</si>
  <si>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</si>
  <si>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</si>
  <si>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</si>
  <si>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</si>
  <si>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</si>
  <si>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</si>
  <si>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</si>
  <si>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</si>
  <si>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</si>
  <si>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</si>
  <si>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</si>
  <si>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</si>
  <si>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</si>
  <si>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</si>
  <si>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</si>
  <si>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</si>
  <si>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</si>
  <si>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</si>
  <si>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</si>
  <si>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</si>
  <si>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</si>
  <si>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</si>
  <si>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</si>
  <si>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</si>
  <si>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</si>
  <si>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</si>
  <si>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</si>
  <si>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</si>
  <si>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</si>
  <si>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</si>
  <si>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</si>
  <si>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</si>
  <si>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</si>
  <si>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</si>
  <si>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</si>
  <si>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</si>
  <si>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</si>
  <si>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</si>
  <si>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</si>
  <si>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</si>
  <si>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</si>
  <si>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</si>
  <si>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</si>
  <si>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</si>
  <si>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</si>
  <si>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</si>
  <si>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</si>
  <si>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</si>
  <si>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</si>
  <si>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</si>
  <si>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</si>
  <si>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</si>
  <si>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</si>
  <si>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</si>
  <si>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</si>
  <si>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</si>
  <si>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</si>
  <si>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</si>
  <si>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</si>
  <si>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</si>
  <si>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</si>
  <si>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</si>
  <si>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</si>
  <si>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</si>
  <si>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</si>
  <si>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</si>
  <si>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</si>
  <si>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</si>
  <si>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</si>
  <si>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</si>
  <si>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</si>
  <si>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</si>
  <si>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</si>
  <si>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</si>
  <si>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</si>
  <si>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</si>
  <si>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</si>
  <si>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</si>
  <si>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</si>
  <si>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</si>
  <si>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</si>
  <si>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</si>
  <si>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</si>
  <si>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</si>
  <si>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</si>
  <si>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</si>
  <si>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</si>
  <si>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</si>
  <si>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</si>
  <si>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</si>
  <si>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</si>
  <si>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</si>
  <si>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</si>
  <si>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</si>
  <si>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</si>
  <si>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</si>
  <si>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</si>
  <si>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</si>
  <si>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</si>
  <si>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</si>
  <si>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</si>
  <si>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</si>
  <si>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</si>
  <si>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</si>
  <si>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</si>
  <si>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</si>
  <si>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</si>
  <si>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</si>
  <si>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</si>
  <si>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</si>
  <si>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</si>
  <si>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</si>
  <si>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</si>
  <si>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</si>
  <si>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</si>
  <si>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</si>
  <si>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</si>
  <si>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</si>
  <si>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</si>
  <si>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</si>
  <si>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</si>
  <si>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</si>
  <si>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</si>
  <si>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</si>
  <si>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</si>
  <si>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</si>
  <si>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</si>
  <si>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</si>
  <si>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</si>
  <si>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</si>
  <si>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</si>
  <si>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</si>
  <si>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</si>
  <si>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</si>
  <si>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</si>
  <si>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</si>
  <si>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</si>
  <si>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</si>
  <si>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</si>
  <si>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</si>
  <si>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</si>
  <si>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</si>
  <si>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</si>
  <si>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</si>
  <si>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</si>
  <si>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</si>
  <si>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</si>
  <si>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</si>
  <si>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</si>
  <si>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</si>
  <si>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</si>
  <si>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</si>
  <si>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</si>
  <si>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</si>
  <si>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</si>
  <si>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</si>
  <si>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</si>
  <si>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</si>
  <si>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</si>
  <si>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</si>
  <si>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</si>
  <si>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</si>
  <si>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</si>
  <si>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</si>
  <si>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</si>
  <si>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</si>
  <si>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</si>
  <si>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</si>
  <si>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</si>
  <si>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</si>
  <si>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</si>
  <si>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</si>
  <si>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</si>
  <si>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</si>
  <si>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</si>
  <si>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</si>
  <si>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</si>
  <si>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</si>
  <si>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</si>
  <si>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</si>
  <si>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</si>
  <si>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</si>
  <si>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</si>
  <si>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</si>
  <si>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</si>
  <si>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</si>
  <si>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</si>
  <si>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</si>
  <si>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</si>
  <si>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</si>
  <si>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</si>
  <si>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</si>
  <si>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</si>
  <si>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</si>
  <si>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</si>
  <si>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</si>
  <si>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</si>
  <si>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</si>
  <si>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</si>
  <si>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</si>
  <si>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</si>
  <si>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</si>
  <si>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</si>
  <si>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</si>
  <si>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</si>
  <si>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</si>
  <si>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</si>
  <si>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</si>
  <si>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</si>
  <si>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</si>
  <si>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</si>
  <si>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</si>
  <si>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</si>
  <si>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</si>
  <si>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</si>
  <si>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</si>
  <si>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</si>
  <si>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</si>
  <si>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</si>
  <si>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</si>
  <si>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</si>
  <si>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</si>
  <si>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</si>
  <si>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</si>
  <si>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</si>
  <si>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</si>
  <si>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</si>
  <si>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</si>
  <si>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</si>
  <si>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</si>
  <si>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</si>
  <si>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</si>
  <si>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</si>
  <si>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</si>
  <si>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</si>
  <si>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</si>
  <si>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</si>
  <si>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</si>
  <si>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</si>
  <si>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</si>
  <si>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</si>
  <si>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</si>
  <si>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</si>
  <si>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</si>
  <si>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</si>
  <si>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</si>
  <si>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</si>
  <si>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</si>
  <si>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</si>
  <si>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</si>
  <si>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</si>
  <si>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</si>
  <si>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</si>
  <si>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</si>
  <si>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</si>
  <si>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</si>
  <si>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</si>
  <si>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</si>
  <si>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</si>
  <si>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</si>
  <si>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</si>
  <si>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</si>
  <si>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</si>
  <si>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</si>
  <si>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</si>
  <si>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</si>
  <si>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</si>
  <si>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</si>
  <si>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</si>
  <si>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</si>
  <si>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</si>
  <si>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</si>
  <si>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</si>
  <si>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</si>
  <si>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</si>
  <si>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</si>
  <si>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</si>
  <si>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</si>
  <si>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</si>
  <si>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</si>
  <si>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</si>
  <si>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</si>
  <si>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</si>
  <si>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</si>
  <si>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</si>
  <si>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</si>
  <si>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</si>
  <si>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</si>
  <si>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</si>
  <si>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</si>
  <si>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</si>
  <si>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</si>
  <si>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</si>
  <si>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</si>
  <si>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</si>
  <si>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</si>
  <si>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</si>
  <si>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</si>
  <si>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</si>
  <si>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</si>
  <si>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</si>
  <si>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</si>
  <si>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</si>
  <si>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</si>
  <si>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</si>
  <si>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</si>
  <si>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</si>
  <si>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</si>
  <si>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</si>
  <si>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</si>
  <si>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</si>
  <si>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</si>
  <si>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</si>
  <si>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</si>
  <si>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</si>
  <si>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</si>
  <si>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</si>
  <si>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</si>
  <si>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</si>
  <si>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</si>
  <si>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</si>
  <si>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</si>
  <si>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</si>
  <si>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</si>
  <si>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</si>
  <si>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</si>
  <si>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</si>
  <si>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</si>
  <si>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</si>
  <si>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</si>
  <si>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</si>
  <si>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</si>
  <si>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</si>
  <si>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</si>
  <si>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</si>
  <si>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</si>
  <si>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</si>
  <si>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</si>
  <si>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</si>
  <si>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</si>
  <si>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</si>
  <si>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</si>
  <si>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</si>
  <si>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</si>
  <si>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</si>
  <si>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</si>
  <si>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</si>
  <si>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</si>
  <si>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</si>
  <si>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</si>
  <si>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</si>
  <si>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</si>
  <si>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</si>
  <si>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</si>
  <si>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</si>
  <si>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</si>
  <si>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</si>
  <si>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</si>
  <si>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</si>
  <si>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</si>
  <si>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</si>
  <si>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</si>
  <si>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</si>
  <si>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</si>
  <si>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</si>
  <si>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</si>
  <si>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</si>
  <si>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</si>
  <si>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</si>
  <si>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</si>
  <si>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</si>
  <si>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</si>
  <si>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</si>
  <si>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</si>
  <si>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</si>
  <si>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</si>
  <si>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</si>
  <si>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</si>
  <si>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</si>
  <si>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</si>
  <si>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</si>
  <si>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</si>
  <si>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</si>
  <si>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</si>
  <si>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</si>
  <si>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</si>
  <si>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</si>
  <si>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</si>
  <si>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</si>
  <si>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</si>
  <si>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</si>
  <si>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</si>
  <si>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</si>
  <si>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</si>
  <si>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</si>
  <si>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</si>
  <si>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</si>
  <si>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</si>
  <si>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</si>
  <si>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</si>
  <si>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</si>
  <si>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</si>
  <si>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</si>
  <si>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</si>
  <si>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</si>
  <si>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</si>
  <si>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</si>
  <si>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</si>
  <si>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</si>
  <si>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</si>
  <si>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</si>
  <si>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</si>
  <si>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</si>
  <si>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</si>
  <si>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</si>
  <si>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</si>
  <si>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</si>
  <si>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</si>
  <si>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</si>
  <si>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</si>
  <si>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</si>
  <si>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</si>
  <si>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</si>
  <si>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</si>
  <si>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</si>
  <si>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</si>
  <si>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</si>
  <si>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</si>
  <si>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</si>
  <si>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</si>
  <si>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</si>
  <si>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</si>
  <si>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</si>
  <si>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</si>
  <si>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</si>
  <si>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</si>
  <si>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</si>
  <si>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</si>
  <si>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</si>
  <si>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</si>
  <si>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</si>
  <si>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</si>
  <si>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</si>
  <si>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</si>
  <si>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</si>
  <si>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</si>
  <si>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</si>
  <si>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</si>
  <si>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</si>
  <si>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</si>
  <si>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</si>
  <si>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</si>
  <si>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</si>
  <si>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</si>
  <si>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</si>
  <si>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</si>
  <si>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</si>
  <si>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</si>
  <si>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</si>
  <si>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</si>
  <si>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</si>
  <si>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</si>
  <si>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</si>
  <si>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</si>
  <si>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</si>
  <si>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</si>
  <si>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</si>
  <si>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</si>
  <si>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</si>
  <si>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</si>
  <si>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</si>
  <si>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</si>
  <si>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</si>
  <si>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</si>
  <si>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</si>
  <si>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</si>
  <si>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</si>
  <si>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</si>
  <si>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</si>
  <si>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</si>
  <si>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</si>
  <si>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</si>
  <si>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</si>
  <si>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</si>
  <si>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</si>
  <si>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</si>
  <si>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</si>
  <si>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</si>
  <si>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</si>
  <si>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</si>
  <si>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</si>
  <si>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</si>
  <si>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</si>
  <si>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</si>
  <si>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</si>
  <si>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</si>
  <si>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</si>
  <si>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</si>
  <si>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</si>
  <si>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</si>
  <si>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</si>
  <si>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</si>
  <si>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</si>
  <si>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</si>
  <si>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</si>
  <si>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</si>
  <si>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</si>
  <si>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</si>
  <si>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</si>
  <si>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</si>
  <si>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</si>
  <si>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</si>
  <si>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</si>
  <si>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</si>
  <si>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</si>
  <si>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</si>
  <si>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</si>
  <si>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</si>
  <si>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</si>
  <si>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</si>
  <si>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</si>
  <si>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</si>
  <si>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</si>
  <si>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</si>
  <si>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</si>
  <si>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</si>
  <si>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</si>
  <si>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</si>
  <si>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</si>
  <si>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</si>
  <si>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</si>
  <si>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</si>
  <si>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</si>
  <si>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</si>
  <si>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</si>
  <si>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</si>
  <si>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</si>
  <si>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</si>
  <si>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</si>
  <si>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</si>
  <si>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</si>
  <si>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</si>
  <si>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</si>
  <si>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</si>
  <si>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</si>
  <si>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</si>
  <si>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</si>
  <si>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</si>
  <si>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</si>
  <si>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</si>
  <si>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</si>
  <si>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</si>
  <si>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</si>
  <si>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</si>
  <si>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</si>
  <si>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</si>
  <si>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</si>
  <si>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</si>
  <si>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</si>
  <si>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</si>
  <si>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</si>
  <si>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</si>
  <si>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</si>
  <si>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</si>
  <si>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</si>
  <si>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</si>
  <si>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</si>
  <si>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</si>
  <si>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</si>
  <si>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</si>
  <si>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</si>
  <si>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</si>
  <si>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</si>
  <si>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</si>
  <si>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</si>
  <si>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</si>
  <si>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</si>
  <si>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</si>
  <si>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</si>
  <si>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</si>
  <si>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</si>
  <si>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</si>
  <si>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</si>
  <si>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</si>
  <si>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</si>
  <si>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</si>
  <si>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</si>
  <si>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</si>
  <si>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</si>
  <si>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</si>
  <si>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</si>
  <si>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</si>
  <si>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</si>
  <si>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</si>
  <si>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</si>
  <si>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</si>
  <si>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</si>
  <si>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</si>
  <si>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</si>
  <si>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</si>
  <si>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</si>
  <si>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</si>
  <si>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</si>
  <si>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</si>
  <si>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</si>
  <si>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</si>
  <si>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</si>
  <si>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</si>
  <si>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</si>
  <si>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</si>
  <si>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</si>
  <si>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</si>
  <si>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</si>
  <si>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</si>
  <si>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</si>
  <si>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</si>
  <si>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</si>
  <si>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</si>
  <si>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</si>
  <si>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</si>
  <si>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</si>
  <si>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</si>
  <si>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</si>
  <si>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</si>
  <si>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</si>
  <si>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</si>
  <si>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</si>
  <si>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</si>
  <si>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</si>
  <si>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</si>
  <si>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</si>
  <si>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</si>
  <si>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</si>
  <si>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</si>
  <si>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</si>
  <si>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</si>
  <si>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</si>
  <si>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</si>
  <si>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</si>
  <si>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</si>
  <si>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</si>
  <si>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</si>
  <si>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</si>
  <si>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</si>
  <si>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</si>
  <si>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</si>
  <si>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</si>
  <si>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</si>
  <si>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</si>
  <si>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</si>
  <si>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</si>
  <si>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</si>
  <si>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</si>
  <si>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</si>
  <si>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</si>
  <si>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</si>
  <si>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</si>
  <si>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</si>
  <si>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</si>
  <si>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</si>
  <si>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</si>
  <si>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</si>
  <si>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</si>
  <si>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</si>
  <si>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</si>
  <si>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</si>
  <si>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</si>
  <si>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</si>
  <si>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</si>
  <si>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</si>
  <si>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</si>
  <si>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</si>
  <si>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</si>
  <si>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</si>
  <si>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</si>
  <si>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</si>
  <si>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</si>
  <si>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</si>
  <si>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</si>
  <si>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</si>
  <si>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</si>
  <si>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</si>
  <si>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</si>
  <si>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</si>
  <si>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</si>
  <si>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</si>
  <si>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</si>
  <si>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</si>
  <si>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</si>
  <si>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</si>
  <si>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</si>
  <si>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</si>
  <si>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</si>
  <si>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</si>
  <si>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</si>
  <si>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</si>
  <si>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</si>
  <si>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</si>
  <si>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</si>
  <si>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</si>
  <si>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</si>
  <si>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</si>
  <si>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</si>
  <si>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</si>
  <si>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</si>
  <si>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</si>
  <si>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</si>
  <si>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</si>
  <si>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</si>
  <si>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</si>
  <si>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</si>
  <si>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</si>
  <si>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</si>
  <si>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</si>
  <si>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</si>
  <si>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</si>
  <si>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</si>
  <si>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</si>
  <si>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</si>
  <si>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</si>
  <si>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</si>
  <si>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</si>
  <si>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</si>
  <si>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</si>
  <si>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</si>
  <si>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</si>
  <si>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</si>
  <si>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</si>
  <si>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</si>
  <si>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</si>
  <si>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</si>
  <si>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</si>
  <si>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</si>
  <si>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</si>
  <si>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</si>
  <si>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</si>
  <si>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</si>
  <si>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</si>
  <si>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</si>
  <si>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</si>
  <si>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</si>
  <si>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</si>
  <si>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</si>
  <si>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</si>
  <si>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</si>
  <si>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</si>
  <si>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</si>
  <si>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</si>
  <si>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</si>
  <si>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</si>
  <si>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</si>
  <si>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</si>
  <si>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</si>
  <si>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</si>
  <si>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</si>
  <si>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</si>
  <si>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</si>
  <si>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</si>
  <si>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</si>
  <si>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</si>
  <si>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</si>
  <si>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</si>
  <si>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</si>
  <si>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</si>
  <si>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</si>
  <si>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</si>
  <si>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</si>
  <si>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</si>
  <si>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</si>
  <si>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</si>
  <si>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</si>
  <si>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</si>
  <si>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</si>
  <si>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</si>
  <si>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</si>
  <si>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</si>
  <si>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</si>
  <si>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</si>
  <si>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</si>
  <si>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</si>
  <si>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</si>
  <si>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</si>
  <si>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</si>
  <si>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</si>
  <si>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</si>
  <si>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</si>
  <si>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</si>
  <si>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</si>
  <si>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</si>
  <si>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</si>
  <si>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</si>
  <si>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</si>
  <si>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</si>
  <si>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</si>
  <si>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</si>
  <si>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</si>
  <si>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</si>
  <si>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</si>
  <si>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</si>
  <si>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</si>
  <si>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</si>
  <si>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</si>
  <si>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</si>
  <si>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</si>
  <si>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</si>
  <si>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</si>
  <si>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</si>
  <si>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</si>
  <si>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</si>
  <si>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</si>
  <si>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</si>
  <si>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</si>
  <si>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</si>
  <si>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</si>
  <si>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</si>
  <si>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</si>
  <si>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</si>
  <si>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</si>
  <si>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</si>
  <si>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</si>
  <si>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</si>
  <si>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</si>
  <si>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</si>
  <si>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</si>
  <si>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</si>
  <si>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</si>
  <si>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</si>
  <si>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</si>
  <si>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</si>
  <si>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</si>
  <si>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</si>
  <si>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</si>
  <si>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</si>
  <si>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</si>
  <si>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</si>
  <si>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</si>
  <si>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</si>
  <si>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</si>
  <si>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</si>
  <si>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</si>
  <si>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</si>
  <si>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</si>
  <si>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</si>
  <si>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</si>
  <si>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</si>
  <si>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</si>
  <si>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</si>
  <si>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</si>
  <si>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</si>
  <si>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</si>
  <si>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</si>
  <si>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</si>
  <si>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</si>
  <si>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</si>
  <si>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</si>
  <si>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</si>
  <si>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</si>
  <si>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</si>
  <si>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</si>
  <si>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</si>
  <si>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</si>
  <si>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</si>
  <si>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</si>
  <si>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</si>
  <si>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</si>
  <si>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</si>
  <si>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</si>
  <si>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</si>
  <si>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</si>
  <si>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</si>
  <si>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</si>
  <si>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</si>
  <si>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</si>
  <si>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</si>
  <si>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</si>
  <si>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</si>
  <si>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</si>
  <si>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</si>
  <si>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</si>
  <si>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</si>
  <si>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</si>
  <si>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</si>
  <si>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</si>
  <si>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</si>
  <si>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</si>
  <si>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</si>
  <si>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</si>
  <si>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</si>
  <si>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</si>
  <si>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</si>
  <si>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</si>
  <si>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</si>
  <si>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</si>
  <si>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</si>
  <si>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</si>
  <si>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</si>
  <si>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</si>
  <si>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</si>
  <si>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</si>
  <si>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</si>
  <si>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</si>
  <si>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</si>
  <si>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</si>
  <si>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</si>
  <si>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</si>
  <si>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</si>
  <si>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</si>
  <si>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</si>
  <si>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</si>
  <si>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</si>
  <si>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</si>
  <si>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</si>
  <si>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</si>
  <si>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</si>
  <si>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</si>
  <si>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</si>
  <si>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</si>
  <si>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</si>
  <si>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</si>
  <si>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</si>
  <si>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</si>
  <si>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</si>
  <si>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</si>
  <si>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</si>
  <si>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</si>
  <si>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</si>
  <si>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</si>
  <si>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</si>
  <si>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</si>
  <si>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</si>
  <si>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</si>
  <si>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</si>
  <si>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</si>
  <si>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</si>
  <si>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</si>
  <si>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</si>
  <si>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</si>
  <si>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</si>
  <si>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</si>
  <si>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</si>
  <si>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</si>
  <si>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</si>
  <si>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</si>
  <si>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</si>
  <si>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</si>
  <si>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</si>
  <si>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</si>
  <si>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</si>
  <si>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</si>
  <si>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</si>
  <si>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</si>
  <si>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</si>
  <si>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</si>
  <si>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</si>
  <si>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</si>
  <si>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</si>
  <si>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</si>
  <si>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</si>
  <si>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</si>
  <si>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</si>
  <si>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</si>
  <si>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</si>
  <si>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</si>
  <si>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</si>
  <si>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</si>
  <si>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</si>
  <si>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</si>
  <si>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</si>
  <si>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</si>
  <si>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</si>
  <si>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</si>
  <si>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</si>
  <si>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</si>
  <si>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</si>
  <si>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</si>
  <si>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</si>
  <si>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</si>
  <si>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</si>
  <si>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</si>
  <si>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</si>
  <si>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</si>
  <si>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</si>
  <si>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</si>
  <si>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</si>
  <si>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</si>
  <si>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</si>
  <si>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</si>
  <si>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</si>
  <si>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</si>
  <si>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</si>
  <si>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</si>
  <si>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</si>
  <si>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</si>
  <si>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</si>
  <si>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</si>
  <si>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</si>
  <si>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</si>
  <si>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</si>
  <si>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</si>
  <si>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</si>
  <si>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</si>
  <si>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</si>
  <si>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</si>
  <si>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</si>
  <si>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</si>
  <si>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</si>
  <si>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</si>
  <si>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</si>
  <si>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</si>
  <si>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</si>
  <si>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</si>
  <si>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</si>
  <si>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</si>
  <si>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</si>
  <si>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</si>
  <si>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</si>
  <si>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</si>
  <si>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</si>
  <si>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</si>
  <si>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</si>
  <si>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</si>
  <si>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</si>
  <si>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</si>
  <si>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</si>
  <si>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</si>
  <si>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</si>
  <si>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</si>
  <si>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</si>
  <si>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</si>
  <si>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</si>
  <si>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</si>
  <si>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</si>
  <si>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</si>
  <si>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</si>
  <si>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</si>
  <si>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</si>
  <si>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</si>
  <si>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</si>
  <si>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</si>
  <si>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</si>
  <si>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</si>
  <si>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</si>
  <si>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</si>
  <si>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</si>
  <si>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</si>
  <si>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</si>
  <si>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</si>
  <si>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</si>
  <si>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</si>
  <si>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</si>
  <si>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</si>
  <si>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</si>
  <si>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</si>
  <si>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</si>
  <si>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</si>
  <si>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</si>
  <si>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</si>
  <si>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</si>
  <si>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</si>
  <si>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</si>
  <si>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</si>
  <si>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</si>
  <si>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</si>
  <si>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</si>
  <si>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</si>
  <si>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</si>
  <si>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</si>
  <si>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</si>
  <si>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</si>
  <si>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</si>
  <si>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</si>
  <si>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</si>
  <si>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</si>
  <si>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</si>
  <si>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</si>
  <si>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</si>
  <si>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</si>
  <si>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</si>
  <si>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</si>
  <si>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</si>
  <si>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</si>
  <si>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</si>
  <si>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</si>
  <si>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</si>
  <si>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</si>
  <si>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</si>
  <si>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</si>
  <si>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</si>
  <si>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</si>
  <si>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</si>
  <si>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</si>
  <si>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</si>
  <si>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</si>
  <si>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</si>
  <si>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</si>
  <si>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</si>
  <si>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</si>
  <si>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</si>
  <si>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</si>
  <si>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</si>
  <si>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</si>
  <si>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</si>
  <si>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</si>
  <si>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</si>
  <si>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</si>
  <si>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</si>
  <si>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</si>
  <si>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</si>
  <si>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</si>
  <si>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</si>
  <si>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</si>
  <si>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</si>
  <si>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</si>
  <si>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</si>
  <si>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</si>
  <si>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</si>
  <si>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</si>
  <si>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</si>
  <si>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</si>
  <si>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</si>
  <si>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</si>
  <si>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</si>
  <si>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</si>
  <si>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</si>
  <si>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</si>
  <si>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</si>
  <si>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</si>
  <si>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</si>
  <si>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</si>
  <si>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</si>
  <si>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</si>
  <si>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</si>
  <si>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</si>
  <si>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</si>
  <si>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</si>
  <si>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</si>
  <si>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</si>
  <si>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</si>
  <si>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</si>
  <si>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</si>
  <si>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</si>
  <si>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</si>
  <si>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</si>
  <si>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</si>
  <si>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</si>
  <si>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</si>
  <si>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</si>
  <si>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</si>
  <si>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</si>
  <si>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</si>
  <si>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</si>
  <si>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</si>
  <si>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</si>
  <si>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</si>
  <si>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</si>
  <si>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</si>
  <si>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</si>
  <si>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</si>
  <si>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</si>
  <si>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</si>
  <si>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</si>
  <si>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</si>
  <si>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</si>
  <si>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</si>
  <si>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</si>
  <si>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</si>
  <si>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</si>
  <si>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</si>
  <si>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</si>
  <si>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</si>
  <si>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</si>
  <si>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</si>
  <si>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</si>
  <si>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</si>
  <si>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</si>
  <si>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</si>
  <si>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</si>
  <si>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</si>
  <si>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</si>
  <si>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</si>
  <si>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</si>
  <si>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</si>
  <si>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</si>
  <si>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</si>
  <si>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</si>
  <si>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</si>
  <si>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</si>
  <si>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</si>
  <si>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</si>
  <si>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</si>
  <si>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</si>
  <si>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</si>
  <si>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</si>
  <si>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</si>
  <si>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</si>
  <si>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</si>
  <si>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</si>
  <si>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</si>
  <si>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</si>
  <si>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</si>
  <si>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</si>
  <si>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</si>
  <si>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</si>
  <si>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</si>
  <si>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</si>
  <si>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</si>
  <si>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</si>
  <si>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</si>
  <si>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</si>
  <si>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</si>
  <si>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</si>
  <si>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</si>
  <si>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</si>
  <si>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</si>
  <si>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</si>
  <si>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</si>
  <si>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</si>
  <si>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</si>
  <si>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</si>
  <si>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</si>
  <si>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</si>
  <si>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</si>
  <si>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</si>
  <si>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</si>
  <si>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</si>
  <si>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</si>
  <si>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</si>
  <si>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</si>
  <si>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</si>
  <si>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</si>
  <si>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</si>
  <si>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</si>
  <si>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</si>
  <si>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</si>
  <si>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</si>
  <si>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</si>
  <si>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</si>
  <si>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</si>
  <si>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</si>
  <si>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</si>
  <si>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</si>
  <si>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</si>
  <si>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</si>
  <si>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</si>
  <si>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</si>
  <si>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</si>
  <si>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</si>
  <si>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</si>
  <si>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</si>
  <si>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</si>
  <si>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</si>
  <si>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</si>
  <si>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</si>
  <si>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</si>
  <si>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</si>
  <si>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</si>
  <si>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</si>
  <si>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</si>
  <si>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</si>
  <si>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</si>
  <si>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</si>
  <si>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</si>
  <si>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</si>
  <si>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</si>
  <si>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</si>
  <si>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</si>
  <si>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</si>
  <si>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</si>
  <si>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</si>
  <si>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</si>
  <si>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</si>
  <si>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</si>
  <si>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</si>
  <si>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</si>
  <si>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</si>
  <si>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</si>
  <si>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</si>
  <si>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</si>
  <si>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</si>
  <si>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</si>
  <si>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</si>
  <si>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</si>
  <si>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</si>
  <si>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</si>
  <si>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</si>
  <si>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</si>
  <si>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</si>
  <si>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</si>
  <si>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</si>
  <si>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</si>
  <si>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</si>
  <si>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</si>
  <si>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</si>
  <si>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</si>
  <si>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</si>
  <si>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</si>
  <si>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</si>
  <si>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</si>
  <si>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</si>
  <si>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</si>
  <si>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</si>
  <si>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</si>
  <si>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</si>
  <si>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</si>
  <si>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</si>
  <si>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</si>
  <si>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</si>
  <si>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</si>
  <si>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</si>
  <si>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</si>
  <si>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</si>
  <si>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</si>
  <si>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</si>
  <si>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</si>
  <si>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</si>
  <si>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</si>
  <si>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</si>
  <si>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</si>
  <si>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</si>
  <si>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</si>
  <si>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</si>
  <si>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</si>
  <si>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</si>
  <si>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</si>
  <si>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</si>
  <si>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</si>
  <si>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</si>
  <si>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</si>
  <si>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</si>
  <si>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</si>
  <si>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</si>
  <si>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</si>
  <si>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</si>
  <si>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</si>
  <si>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</si>
  <si>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</si>
  <si>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</si>
  <si>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</si>
  <si>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</si>
  <si>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</si>
  <si>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</si>
  <si>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</si>
  <si>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</si>
  <si>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</si>
  <si>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</si>
  <si>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</si>
  <si>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</si>
  <si>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</si>
  <si>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</si>
  <si>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</si>
  <si>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</si>
  <si>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</si>
  <si>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</si>
  <si>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</si>
  <si>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</si>
  <si>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</si>
  <si>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</si>
  <si>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</si>
  <si>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</si>
  <si>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</si>
  <si>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</si>
  <si>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</si>
  <si>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</si>
  <si>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</si>
  <si>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</si>
  <si>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</si>
  <si>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</si>
  <si>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</si>
  <si>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</si>
  <si>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</si>
  <si>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</si>
  <si>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</si>
  <si>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</si>
  <si>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</si>
  <si>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</si>
  <si>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</si>
  <si>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</si>
  <si>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</si>
  <si>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</si>
  <si>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</si>
  <si>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</si>
  <si>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</si>
  <si>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</si>
  <si>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</si>
  <si>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</si>
  <si>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</si>
  <si>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</si>
  <si>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</si>
  <si>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</si>
  <si>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</si>
  <si>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</si>
  <si>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</si>
  <si>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</si>
  <si>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</si>
  <si>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</si>
  <si>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</si>
  <si>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</si>
  <si>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</si>
  <si>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</si>
  <si>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</si>
  <si>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</si>
  <si>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</si>
  <si>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</si>
  <si>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</si>
  <si>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</si>
  <si>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</si>
  <si>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</si>
  <si>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</si>
  <si>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</si>
  <si>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</si>
  <si>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</si>
  <si>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</si>
  <si>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</si>
  <si>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</si>
  <si>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</si>
  <si>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</si>
  <si>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</si>
  <si>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</si>
  <si>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</si>
  <si>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</si>
  <si>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</si>
  <si>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</si>
  <si>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</si>
  <si>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</si>
  <si>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</si>
  <si>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</si>
  <si>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</si>
  <si>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</si>
  <si>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</si>
  <si>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</si>
  <si>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</si>
  <si>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</si>
  <si>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</si>
  <si>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</si>
  <si>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</si>
  <si>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</si>
  <si>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</si>
  <si>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</si>
  <si>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</si>
  <si>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</si>
  <si>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</si>
  <si>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</si>
  <si>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</si>
  <si>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</si>
  <si>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</si>
  <si>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</si>
  <si>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</si>
  <si>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</si>
  <si>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</si>
  <si>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</si>
  <si>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</si>
  <si>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</si>
  <si>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</si>
  <si>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</si>
  <si>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</si>
  <si>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</si>
  <si>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</si>
  <si>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</si>
  <si>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</si>
  <si>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</si>
  <si>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</si>
  <si>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</si>
  <si>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</si>
  <si>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</si>
  <si>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</si>
  <si>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</si>
  <si>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</si>
  <si>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</si>
  <si>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</si>
  <si>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</si>
  <si>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</si>
  <si>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</si>
  <si>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</si>
  <si>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</si>
  <si>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</si>
  <si>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</si>
  <si>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</si>
  <si>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</si>
  <si>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</si>
  <si>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</si>
  <si>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</si>
  <si>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</si>
  <si>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</si>
  <si>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</si>
  <si>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</si>
  <si>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</si>
  <si>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</si>
  <si>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</si>
  <si>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</si>
  <si>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</si>
  <si>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</si>
  <si>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</si>
  <si>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</si>
  <si>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</si>
  <si>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</si>
  <si>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</si>
  <si>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</si>
  <si>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</si>
  <si>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</si>
  <si>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</si>
  <si>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</si>
  <si>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</si>
  <si>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</si>
  <si>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</si>
  <si>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</si>
  <si>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</si>
  <si>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</si>
  <si>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</si>
  <si>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</si>
  <si>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</si>
  <si>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</si>
  <si>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</si>
  <si>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</si>
  <si>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</si>
  <si>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</si>
  <si>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</si>
  <si>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</si>
  <si>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</si>
  <si>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</si>
  <si>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</si>
  <si>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</si>
  <si>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</si>
  <si>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</si>
  <si>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</si>
  <si>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</si>
  <si>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</si>
  <si>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</si>
  <si>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</si>
  <si>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</si>
  <si>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</si>
  <si>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</si>
  <si>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</si>
  <si>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</si>
  <si>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</si>
  <si>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</si>
  <si>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</si>
  <si>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</si>
  <si>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</si>
  <si>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</si>
  <si>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</si>
  <si>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</si>
  <si>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</si>
  <si>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</si>
  <si>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</si>
  <si>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</si>
  <si>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</si>
  <si>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</si>
  <si>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</si>
  <si>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</si>
  <si>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</si>
  <si>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</si>
  <si>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</si>
  <si>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</si>
  <si>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</si>
  <si>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</si>
  <si>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</si>
  <si>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</si>
  <si>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</si>
  <si>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</si>
  <si>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</si>
  <si>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</si>
  <si>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</si>
  <si>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</si>
  <si>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</si>
  <si>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</si>
  <si>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</si>
  <si>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</si>
  <si>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</si>
  <si>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</si>
  <si>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</si>
  <si>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</si>
  <si>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</si>
  <si>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</si>
  <si>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</si>
  <si>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</si>
  <si>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</si>
  <si>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</si>
  <si>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</si>
  <si>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</si>
  <si>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</si>
  <si>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</si>
  <si>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</si>
  <si>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</si>
  <si>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</si>
  <si>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</si>
  <si>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</si>
  <si>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</si>
  <si>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</si>
  <si>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</si>
  <si>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</si>
  <si>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</si>
  <si>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</si>
  <si>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</si>
  <si>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</si>
  <si>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</si>
  <si>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</si>
  <si>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</si>
  <si>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</si>
  <si>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</si>
  <si>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</si>
  <si>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</si>
  <si>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</si>
  <si>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</si>
  <si>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</si>
  <si>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</si>
  <si>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</si>
  <si>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</si>
  <si>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</si>
  <si>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</si>
  <si>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</si>
  <si>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</si>
  <si>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</si>
  <si>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</si>
  <si>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</si>
  <si>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</si>
  <si>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</si>
  <si>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</si>
  <si>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</si>
  <si>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</si>
  <si>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</si>
  <si>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</si>
  <si>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</si>
  <si>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</si>
  <si>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</si>
  <si>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</si>
  <si>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</si>
  <si>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</si>
  <si>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</si>
  <si>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</si>
  <si>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</si>
  <si>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</si>
  <si>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</si>
  <si>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</si>
  <si>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</si>
  <si>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</si>
  <si>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</si>
  <si>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</si>
  <si>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</si>
  <si>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</si>
  <si>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</si>
  <si>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</si>
  <si>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</si>
  <si>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</si>
  <si>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</si>
  <si>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</si>
  <si>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</si>
  <si>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</si>
  <si>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</si>
  <si>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</si>
  <si>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</si>
  <si>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</si>
  <si>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</si>
  <si>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</si>
  <si>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</si>
  <si>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</si>
  <si>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</si>
  <si>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</si>
  <si>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</si>
  <si>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</si>
  <si>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</si>
  <si>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</si>
  <si>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</si>
  <si>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</si>
  <si>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</si>
  <si>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</si>
  <si>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</si>
  <si>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</si>
  <si>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</si>
  <si>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</si>
  <si>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</si>
  <si>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</si>
  <si>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</si>
  <si>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</si>
  <si>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</si>
  <si>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</si>
  <si>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</si>
  <si>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</si>
  <si>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</si>
  <si>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</si>
  <si>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</si>
  <si>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</si>
  <si>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</si>
  <si>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</si>
  <si>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</si>
  <si>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</si>
  <si>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</si>
  <si>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</si>
  <si>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</si>
  <si>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</si>
  <si>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</si>
  <si>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</si>
  <si>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</si>
  <si>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</si>
  <si>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</si>
  <si>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</si>
  <si>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</si>
  <si>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</si>
  <si>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</si>
  <si>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</si>
  <si>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</si>
  <si>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</si>
  <si>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</si>
  <si>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</si>
  <si>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</si>
  <si>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</si>
  <si>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</si>
  <si>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</si>
  <si>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</si>
  <si>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</si>
  <si>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</si>
  <si>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</si>
  <si>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</si>
  <si>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</si>
  <si>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</si>
  <si>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</si>
  <si>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</si>
  <si>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</si>
  <si>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</si>
  <si>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</si>
  <si>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</si>
  <si>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</si>
  <si>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</si>
  <si>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</si>
  <si>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</si>
  <si>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</si>
  <si>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</si>
  <si>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</si>
  <si>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</si>
  <si>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</si>
  <si>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</si>
  <si>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</si>
  <si>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</si>
  <si>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</si>
  <si>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</si>
  <si>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</si>
  <si>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</si>
  <si>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</si>
  <si>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</si>
  <si>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</si>
  <si>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</si>
  <si>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</si>
  <si>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</si>
  <si>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</si>
  <si>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</si>
  <si>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</si>
  <si>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</si>
  <si>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t>2019-3</t>
    <phoneticPr fontId="3" type="noConversion"/>
  </si>
  <si>
    <t>2019-4</t>
    <phoneticPr fontId="143" type="noConversion"/>
  </si>
  <si>
    <t>吴薇</t>
  </si>
  <si>
    <t>崔锴</t>
  </si>
  <si>
    <t>抵押</t>
  </si>
  <si>
    <t>房地产抵押价值</t>
  </si>
  <si>
    <t>其他：</t>
  </si>
  <si>
    <t>贵州省</t>
    <phoneticPr fontId="6" type="noConversion"/>
  </si>
  <si>
    <t>企业</t>
  </si>
  <si>
    <t>六盘水市城市建设投资有限责任公司</t>
  </si>
  <si>
    <t>出让</t>
  </si>
  <si>
    <t>《不动产权证书》</t>
  </si>
  <si>
    <r>
      <rPr>
        <sz val="12"/>
        <color theme="9" tint="-0.249977111117893"/>
        <rFont val="宋体"/>
        <family val="3"/>
        <charset val="134"/>
      </rPr>
      <t>《测绘报告》</t>
    </r>
    <r>
      <rPr>
        <sz val="12"/>
        <color theme="9" tint="-0.249977111117893"/>
        <rFont val="Arial"/>
        <family val="2"/>
      </rPr>
      <t>[]</t>
    </r>
    <phoneticPr fontId="6" type="noConversion"/>
  </si>
  <si>
    <t>《不动产权证书》[]</t>
    <phoneticPr fontId="6" type="noConversion"/>
  </si>
  <si>
    <t>是</t>
  </si>
  <si>
    <t>否</t>
  </si>
  <si>
    <t>复印件</t>
  </si>
  <si>
    <t>商业项目</t>
  </si>
  <si>
    <t>无</t>
  </si>
  <si>
    <t>在建</t>
  </si>
  <si>
    <t>通路</t>
  </si>
  <si>
    <t>通电</t>
  </si>
  <si>
    <t>通讯</t>
  </si>
  <si>
    <t>通上水</t>
  </si>
  <si>
    <t>通下水</t>
  </si>
  <si>
    <t>平整</t>
  </si>
  <si>
    <t>房屋分户面积明细表</t>
  </si>
  <si>
    <t>坐落</t>
  </si>
  <si>
    <t>钟山区碧云路与麒麟路交汇处东南侧</t>
  </si>
  <si>
    <t>结构</t>
  </si>
  <si>
    <t>钢筋混凝土</t>
  </si>
  <si>
    <t>总层数</t>
  </si>
  <si>
    <t>层名</t>
  </si>
  <si>
    <t>户室号</t>
  </si>
  <si>
    <t>套内面积</t>
  </si>
  <si>
    <t>分摊系数</t>
  </si>
  <si>
    <t>分摊面积</t>
  </si>
  <si>
    <t>建筑面积</t>
  </si>
  <si>
    <t>1层</t>
  </si>
  <si>
    <t>101室</t>
  </si>
  <si>
    <t>2层</t>
  </si>
  <si>
    <t>201室</t>
  </si>
  <si>
    <t>202室</t>
  </si>
  <si>
    <t>203室</t>
  </si>
  <si>
    <t>3层</t>
  </si>
  <si>
    <t>301室</t>
  </si>
  <si>
    <t>302室</t>
  </si>
  <si>
    <t>合计：</t>
  </si>
  <si>
    <t>面积单位：㎡</t>
  </si>
  <si>
    <t>地上</t>
  </si>
  <si>
    <t>较好</t>
  </si>
  <si>
    <t>较好</t>
    <phoneticPr fontId="25" type="noConversion"/>
  </si>
  <si>
    <t>一般</t>
  </si>
  <si>
    <t>一般</t>
    <phoneticPr fontId="25" type="noConversion"/>
  </si>
  <si>
    <t>一般</t>
    <phoneticPr fontId="41" type="noConversion"/>
  </si>
  <si>
    <t>较好</t>
    <phoneticPr fontId="41" type="noConversion"/>
  </si>
  <si>
    <t>六通</t>
  </si>
  <si>
    <t>六通</t>
    <phoneticPr fontId="25" type="noConversion"/>
  </si>
  <si>
    <t>较好</t>
    <phoneticPr fontId="25" type="noConversion"/>
  </si>
  <si>
    <t>押一</t>
  </si>
  <si>
    <t>按租金收入计税</t>
  </si>
  <si>
    <t>钢混</t>
  </si>
  <si>
    <t>非生产用房</t>
  </si>
  <si>
    <t>地块名称</t>
  </si>
  <si>
    <t>城市</t>
  </si>
  <si>
    <t>用地性质</t>
  </si>
  <si>
    <t>区县</t>
  </si>
  <si>
    <t>详细规划</t>
  </si>
  <si>
    <t>建设用地面积(㎡)</t>
  </si>
  <si>
    <t>规划建筑面积(㎡)</t>
  </si>
  <si>
    <t>容积率</t>
  </si>
  <si>
    <t>建筑密度</t>
  </si>
  <si>
    <t>限制高度</t>
  </si>
  <si>
    <t>开发进度</t>
  </si>
  <si>
    <t>成交日期</t>
  </si>
  <si>
    <t>公告编号</t>
  </si>
  <si>
    <t>交易状态</t>
  </si>
  <si>
    <t>受让单位</t>
  </si>
  <si>
    <t>成交价(万元)</t>
  </si>
  <si>
    <t>成交每亩价(万元/亩)</t>
  </si>
  <si>
    <t>成交楼面价(元/㎡)</t>
  </si>
  <si>
    <t>溢价率</t>
  </si>
  <si>
    <t>出让年限</t>
  </si>
  <si>
    <t>土地星级</t>
  </si>
  <si>
    <t>六盘水市</t>
  </si>
  <si>
    <t>商业/办公用地</t>
  </si>
  <si>
    <t>钟山区</t>
  </si>
  <si>
    <t>商务金融用地</t>
  </si>
  <si>
    <t>小于或等于25</t>
  </si>
  <si>
    <t>小于或等于80</t>
  </si>
  <si>
    <t>未开工</t>
  </si>
  <si>
    <t>2019-07-31</t>
  </si>
  <si>
    <t>六盘水市自然资源局国有土地使用权挂牌出让公告(市自然资挂告字[2019]05号)</t>
  </si>
  <si>
    <t>已成交</t>
  </si>
  <si>
    <t>40年</t>
  </si>
  <si>
    <t>3星</t>
  </si>
  <si>
    <t>钟山区凤凰大道北侧、碧云路南侧</t>
  </si>
  <si>
    <t>其他商服用地</t>
  </si>
  <si>
    <t>钟山区凤凰大道北侧、麒麟路东侧、碧云路南侧</t>
  </si>
  <si>
    <t>钟山区红岩水库以北</t>
  </si>
  <si>
    <t>小于或等于26</t>
  </si>
  <si>
    <t>小于或等于18</t>
  </si>
  <si>
    <t>2019-09-11</t>
  </si>
  <si>
    <t>六盘水市自然资源局国有土地使用权挂牌出让公告(市自然资挂告字[2019]04号)</t>
  </si>
  <si>
    <t>六盘水市钟山区励砺旅游文化产业投资有限公司</t>
  </si>
  <si>
    <t>小于或等于30</t>
  </si>
  <si>
    <t>梅花山片区西宁社区马落箐村</t>
  </si>
  <si>
    <t>≤30%</t>
  </si>
  <si>
    <t>≤24米</t>
  </si>
  <si>
    <t>2019-06-24</t>
  </si>
  <si>
    <t>市自然资挂告字[2019]03号</t>
  </si>
  <si>
    <t>六盘水梅花山生态文化旅游发展有限公司</t>
  </si>
  <si>
    <t>1星</t>
  </si>
  <si>
    <t>钟山片区凤凰大道南侧、大连路以东。</t>
  </si>
  <si>
    <t>≤25%</t>
  </si>
  <si>
    <t>≤80米</t>
  </si>
  <si>
    <t>梅花山片区明湖社区明湖村</t>
  </si>
  <si>
    <t>六盘水市自然资源局国有土地使用权挂牌出让公告(市自然资挂告字[2019]03号)</t>
  </si>
  <si>
    <t>钟山区双戛社区高炉村</t>
  </si>
  <si>
    <t>24米</t>
  </si>
  <si>
    <t>梅花山片区双戛社区高炉村</t>
  </si>
  <si>
    <t>18米</t>
  </si>
  <si>
    <t>钟山片区凤凰大道南侧、大连路东侧</t>
  </si>
  <si>
    <t>梅花山片区明湖社区明湖村、西宁社区西宁村</t>
  </si>
  <si>
    <t>50米</t>
  </si>
  <si>
    <t>水月片区汪水路西侧</t>
  </si>
  <si>
    <t>≤35%</t>
  </si>
  <si>
    <t>≤40米</t>
  </si>
  <si>
    <t>市自然资挂告字[2019]02号</t>
  </si>
  <si>
    <t>六盘水市民生物资商业贸易服务有限责任公司、六盘水市中民能源投资有限责任公司</t>
  </si>
  <si>
    <t>德坞片区德湖景观大道东南侧、六威高速以南</t>
  </si>
  <si>
    <t>零售商业用地</t>
  </si>
  <si>
    <t>2019-03-29</t>
  </si>
  <si>
    <t>市自然资挂告字[2019]01号</t>
  </si>
  <si>
    <t>六盘水市钟山区金利源新加油站</t>
  </si>
  <si>
    <t>钟山片区钟山大道以北、官厅路东侧</t>
  </si>
  <si>
    <t>≤45</t>
  </si>
  <si>
    <t>≤100</t>
  </si>
  <si>
    <t>开工中</t>
  </si>
  <si>
    <t>2017-12-15</t>
  </si>
  <si>
    <t>市国土资挂告字[2017]3号-6</t>
  </si>
  <si>
    <t>贵州钟山开发投资有限责任公司</t>
  </si>
  <si>
    <t>钟山片区钟山大道以北、官厅路西侧</t>
  </si>
  <si>
    <t>≤24</t>
  </si>
  <si>
    <t>市国土资挂告字[2017]3号-5</t>
  </si>
  <si>
    <t>市国土资挂告字[2017]3号-4</t>
  </si>
  <si>
    <t>≤60</t>
  </si>
  <si>
    <t>市国土资挂告字[2017]3号-7</t>
  </si>
  <si>
    <t>碧云路北侧、麒麟路西侧</t>
  </si>
  <si>
    <t>批发零售用地</t>
  </si>
  <si>
    <t>≤60%</t>
  </si>
  <si>
    <t>&amp;lt;60米</t>
  </si>
  <si>
    <t>已完工</t>
  </si>
  <si>
    <t>2016-03-02</t>
  </si>
  <si>
    <t>市国土资挂告字[2016]1号</t>
  </si>
  <si>
    <t>大连万达商业地产股份有限公司</t>
  </si>
  <si>
    <t>东至用地边界线、南至红桥路、西至用地边界线、北至用地边界线</t>
  </si>
  <si>
    <t>&amp;lt;50米</t>
  </si>
  <si>
    <t>2015-10-12</t>
  </si>
  <si>
    <t>六盘水钟经国土资告字[2015]03号-2</t>
  </si>
  <si>
    <t>代仲祥</t>
  </si>
  <si>
    <t>东至HQ-174用地红线,南至HQ-174用地红线,西至HQ-174用地红线,北至红桥路</t>
  </si>
  <si>
    <t>&amp;lt;40%</t>
  </si>
  <si>
    <t>≤12米</t>
  </si>
  <si>
    <t>六盘水钟经国土资告字[2015]03号-3</t>
  </si>
  <si>
    <t>中国石油天然气股份有限公司贵州销售分公司</t>
  </si>
  <si>
    <t>东至规划道路、南至规划道路、西至河道绿线、北至河道绿线</t>
  </si>
  <si>
    <t>≤40%</t>
  </si>
  <si>
    <t>≤50米</t>
  </si>
  <si>
    <t>六盘水钟经国土资告字[2015]03号-4</t>
  </si>
  <si>
    <t>六盘水红桥房地产开发有限公司</t>
  </si>
  <si>
    <t>红桥西路与经十八路交叉口西北角</t>
  </si>
  <si>
    <t>&amp;lt;100米</t>
  </si>
  <si>
    <t>2015-09-28</t>
  </si>
  <si>
    <t>市国土资挂告字[2015]03号-2</t>
  </si>
  <si>
    <t>东至双龙三路,南至滨河西路,西至双龙二路,北至红桥路</t>
  </si>
  <si>
    <t>&amp;gt;100米</t>
  </si>
  <si>
    <t>2015-01-14</t>
  </si>
  <si>
    <t>钟经国土资告字[2014]4号-9</t>
  </si>
  <si>
    <t>六盘水农业投资开发有限公司</t>
  </si>
  <si>
    <t>东至用地界线,南至用地界线,西至用地界线,北至通龙路</t>
  </si>
  <si>
    <t>2014-08-04</t>
  </si>
  <si>
    <t>钟经国土资告字[2014]3号-2</t>
  </si>
  <si>
    <t>贵州荣辉金苑房地产开发有限公司</t>
  </si>
  <si>
    <t>东至文采路,南至用地界线,西至文丰路,北至文泰路</t>
  </si>
  <si>
    <t>≤40</t>
  </si>
  <si>
    <t>≤50</t>
  </si>
  <si>
    <t>钟经国土资告字[2014]3号-10</t>
  </si>
  <si>
    <t>贵州红桥工业投资有限公司</t>
  </si>
  <si>
    <t>东至用地边界线,西至用地边界线,南至用地边界线,北至通龙路道路红线</t>
  </si>
  <si>
    <t>≤30</t>
  </si>
  <si>
    <t>钟经国土资告字[2014]3号-6</t>
  </si>
  <si>
    <t>六盘水华凌电力器材有限公司</t>
  </si>
  <si>
    <t>东至石桥二路,南至红桥路,西至用地红线,北至通龙路</t>
  </si>
  <si>
    <t>≤35</t>
  </si>
  <si>
    <t>钟经国土资告字[2014]3号-3</t>
  </si>
  <si>
    <t>六盘水中联房地产开发有限公司</t>
  </si>
  <si>
    <t>东至石桥一路,北至红桥路,西至用地边界线,南至用地边界线</t>
  </si>
  <si>
    <t>≥35</t>
  </si>
  <si>
    <t>钟经国土资告字[2014]3号-8</t>
  </si>
  <si>
    <t>贵州亿卓房地产开发有限公司</t>
  </si>
  <si>
    <t>东至用地界线,南至用地界线,西至石桥二路,北至双龙河</t>
  </si>
  <si>
    <t>钟经国土资告字[2014]3号-11</t>
  </si>
  <si>
    <t>六盘水红桥新区虹博驾驶培训有限公司</t>
  </si>
  <si>
    <t>东至用地边界线,南至纬一东路,西至经二路,北至凉都大道</t>
  </si>
  <si>
    <t>钟经国土资告字[2014]3号-7</t>
  </si>
  <si>
    <t>东至二纵线,南至滨河路,西至双龙七路,北至红桥路</t>
  </si>
  <si>
    <t>2014-06-26</t>
  </si>
  <si>
    <t>钟经国土资告字[2014]2号-2</t>
  </si>
  <si>
    <t>六盘水星佑房地产开发有限公司</t>
  </si>
  <si>
    <t>东至石桥三路道路红线,南至滨河东路道路红线,西至用地边界线,北至用地边界线</t>
  </si>
  <si>
    <t>钟经国土资告字[2014]2号-8</t>
  </si>
  <si>
    <t>中国石油天然气股份有限公司贵州六盘水销售分公司</t>
  </si>
  <si>
    <t>东至石桥一路,南至文泰路,西至二纵线,北至滨河东路</t>
  </si>
  <si>
    <t>钟经国土资告字[2014]2号-10</t>
  </si>
  <si>
    <t>东至石桥二路,南至文泰路,西至石桥一路,北至滨河东路</t>
  </si>
  <si>
    <t>≤20</t>
  </si>
  <si>
    <t>钟经国土资告字[2014]2号-11</t>
  </si>
  <si>
    <t>东至经二路,南至纬一西路,西至用地界线,北至凉都大道</t>
  </si>
  <si>
    <t>2014-05-26</t>
  </si>
  <si>
    <t>钟经国土资告字[2014]1号-2</t>
  </si>
  <si>
    <t>东至经四路,南至红桥路,西至经三路,北至纬一东路</t>
  </si>
  <si>
    <t>钟经国土资告字[2014]1号-1</t>
  </si>
  <si>
    <t>2星</t>
  </si>
  <si>
    <t>东至用地界线,南至红桥路,西至二纵线,北至用地界限</t>
  </si>
  <si>
    <t>2013-10-12</t>
  </si>
  <si>
    <t>六盘水钟经国土资告字[2013]1号-5</t>
  </si>
  <si>
    <t>六盘水恒旭工贸有限公司</t>
  </si>
  <si>
    <t>东至用地红线,南至红桥路、西至用地红线,北至用地红线</t>
  </si>
  <si>
    <t>六盘水钟经国土资告字[2013]1号-1</t>
  </si>
  <si>
    <t>六盘水翱羽房地产开发有限公司</t>
  </si>
  <si>
    <t>东至用地红线,南至凉都大道、沙坝河,西至用地红线,北至用地红线</t>
  </si>
  <si>
    <t>≤20%</t>
  </si>
  <si>
    <t>≤10</t>
  </si>
  <si>
    <t>六盘水钟经国土资告字[2013]1号-18</t>
  </si>
  <si>
    <t>中国石油天然气股份有限公司贵州六盘水销售公司</t>
  </si>
  <si>
    <t>东至河道绿线,南至红桥路道路红线,西至经二路道路红线,北至纬一东路道路红线</t>
  </si>
  <si>
    <t>六盘水钟经国土资告字[2013]1号-12</t>
  </si>
  <si>
    <t>六盘水瑞都房地产开发有限公司</t>
  </si>
  <si>
    <t>东至河道绿地,南至纬一东路,西至用地红线,北至凉都大道</t>
  </si>
  <si>
    <t>六盘水钟经国土资告字[2013]1号-2</t>
  </si>
  <si>
    <t>东至石桥二路道路红线,南至用地边界线,西至用地边界线,北至红桥路道路红线</t>
  </si>
  <si>
    <t>六盘水钟经国土资告字[2013]1号-17</t>
  </si>
  <si>
    <t>六盘水全聚福房地产开发有限公司</t>
  </si>
  <si>
    <t>东至凤凉路,南至通龙路,西至石桥二路,北至用地界线</t>
  </si>
  <si>
    <t>六盘水钟经国土资告字[2013]1号-4</t>
  </si>
  <si>
    <t>六盘水红果经济开发区金果房地产开发有限公司红桥分公司</t>
  </si>
  <si>
    <t>钟山片区凤凰新区川心南路(大连路)东侧</t>
  </si>
  <si>
    <t>商业兼容办公用地</t>
  </si>
  <si>
    <t>小于或等于35%</t>
  </si>
  <si>
    <t>小于或等于18米</t>
  </si>
  <si>
    <t>2013-05-30</t>
  </si>
  <si>
    <t>市国土资挂告字[2013]04号-1</t>
  </si>
  <si>
    <t>六盘水曙光置业有限公司</t>
  </si>
  <si>
    <t>东至用地红线,南至用地红线,西至凤凉路,北至红桥路</t>
  </si>
  <si>
    <t>小于或等于30%</t>
  </si>
  <si>
    <t>小于或等于24米</t>
  </si>
  <si>
    <t>2012-04-16</t>
  </si>
  <si>
    <t>贵州省烟草公司六盘水市公司</t>
  </si>
  <si>
    <t>东至经四路用地红线,南至纬一东路,西至用地红线,北至凉都大道</t>
  </si>
  <si>
    <t>小于100米</t>
  </si>
  <si>
    <t>六盘水凤骐汽车服务有限公司</t>
  </si>
  <si>
    <t>东至用地红线,南至纬一东路,西至用地红线,北至凉都大道</t>
  </si>
  <si>
    <t>北京嘉华基业投资有限公司、贵州十和田实业发展有限公司</t>
  </si>
  <si>
    <t>东至用地红线,南至用地红线,西至南南快速路,北至凉都大道</t>
  </si>
  <si>
    <t>小于或等于50%</t>
  </si>
  <si>
    <t>小于或等于50</t>
  </si>
  <si>
    <t>六盘水和通汽车销售服务有限公司</t>
  </si>
  <si>
    <t>钟山区凤凰大道与碧云路之间、荷泉路西侧</t>
    <phoneticPr fontId="143" type="noConversion"/>
  </si>
  <si>
    <t>钟山区红岩水库以北</t>
    <phoneticPr fontId="143" type="noConversion"/>
  </si>
  <si>
    <t>地面单价</t>
    <phoneticPr fontId="143" type="noConversion"/>
  </si>
  <si>
    <t>商业</t>
    <phoneticPr fontId="31" type="noConversion"/>
  </si>
  <si>
    <t>规则</t>
    <phoneticPr fontId="31" type="noConversion"/>
  </si>
  <si>
    <t>较规则</t>
  </si>
  <si>
    <t>较规则</t>
    <phoneticPr fontId="31" type="noConversion"/>
  </si>
  <si>
    <t>一般</t>
    <phoneticPr fontId="31" type="noConversion"/>
  </si>
  <si>
    <t>较适宜</t>
  </si>
  <si>
    <t>较适宜</t>
    <phoneticPr fontId="31" type="noConversion"/>
  </si>
  <si>
    <t>六通</t>
    <phoneticPr fontId="31" type="noConversion"/>
  </si>
  <si>
    <t>五通</t>
    <phoneticPr fontId="31" type="noConversion"/>
  </si>
  <si>
    <t>四通</t>
    <phoneticPr fontId="31" type="noConversion"/>
  </si>
  <si>
    <t>三通</t>
    <phoneticPr fontId="31" type="noConversion"/>
  </si>
  <si>
    <t>较好</t>
    <phoneticPr fontId="31" type="noConversion"/>
  </si>
  <si>
    <t>未包含在土地购买价格中</t>
  </si>
  <si>
    <t>部分缴纳</t>
  </si>
  <si>
    <t>已包含在土地取得成本中</t>
  </si>
  <si>
    <t>成本法</t>
  </si>
  <si>
    <t>假设开发法</t>
  </si>
  <si>
    <t>1层</t>
    <phoneticPr fontId="143" type="noConversion"/>
  </si>
  <si>
    <t>2层</t>
    <phoneticPr fontId="143" type="noConversion"/>
  </si>
  <si>
    <t>3层</t>
    <phoneticPr fontId="143" type="noConversion"/>
  </si>
  <si>
    <t>合计</t>
    <phoneticPr fontId="143" type="noConversion"/>
  </si>
  <si>
    <t xml:space="preserve"> 系数</t>
    <phoneticPr fontId="143" type="noConversion"/>
  </si>
  <si>
    <t>商业租金</t>
    <phoneticPr fontId="143" type="noConversion"/>
  </si>
  <si>
    <t>办公租金</t>
    <phoneticPr fontId="143" type="noConversion"/>
  </si>
  <si>
    <t>参考商业</t>
    <phoneticPr fontId="3" type="noConversion"/>
  </si>
  <si>
    <t>成本比率</t>
  </si>
  <si>
    <t>及办公</t>
    <phoneticPr fontId="3" type="noConversion"/>
  </si>
  <si>
    <t>住宅</t>
  </si>
  <si>
    <t>普通住宅</t>
  </si>
  <si>
    <t>住宅</t>
    <phoneticPr fontId="7" type="noConversion"/>
  </si>
  <si>
    <t>土地比较法-住宅、综合</t>
  </si>
  <si>
    <t>钟山片区凤凰大道北侧</t>
  </si>
  <si>
    <t>住宅用地</t>
  </si>
  <si>
    <t>城镇住宅用地</t>
  </si>
  <si>
    <t>2019-08-19</t>
  </si>
  <si>
    <t>六盘水市兴隆房地产开发有限责任公司</t>
  </si>
  <si>
    <t>70年</t>
  </si>
  <si>
    <t>德坞片区凉都大道南侧</t>
  </si>
  <si>
    <t>东至经二路,南至纬一路,西至经一路线,北至凉都大道</t>
  </si>
  <si>
    <t>2019-05-21</t>
  </si>
  <si>
    <t>贵州上和房地产开发有限公司</t>
  </si>
  <si>
    <t>钟山片区现状凤凰大道南侧,现状凤凰南路东侧</t>
  </si>
  <si>
    <t>综合用地(含住宅)</t>
  </si>
  <si>
    <t>二类居住用地兼容商业服务业设施用地</t>
  </si>
  <si>
    <t>2018-01-26</t>
  </si>
  <si>
    <t>六盘水市钟山区城市建设投资有限公司</t>
  </si>
  <si>
    <t>居住用地为70年,商业用地40年</t>
  </si>
  <si>
    <t>凤凰新区玉源路东北侧、经二十三路西侧</t>
  </si>
  <si>
    <t>二类居住用地(R2)兼容商业用地(B1)</t>
  </si>
  <si>
    <t>钟山片区荷泉路与花园路交叉口西侧</t>
  </si>
  <si>
    <t>居住兼容商业用地</t>
  </si>
  <si>
    <t>＞1且≤2</t>
  </si>
  <si>
    <t>六盘水市保障性住房开发投资有限责任公司</t>
  </si>
  <si>
    <t>居住用地出让年限为70年,商业用地出让年限为40年</t>
  </si>
  <si>
    <t>东至用地红线,南至红桥路,西至双龙六路,北至用地红线</t>
  </si>
  <si>
    <t>其他普通商品住房用地</t>
  </si>
  <si>
    <t>2017-04-24</t>
  </si>
  <si>
    <t>东至双龙七路,南至用地边界线,西至用地边界线,北至站前路</t>
  </si>
  <si>
    <t>东至用地红线,南至用地红线,西至用地红线,北至纬三东路</t>
  </si>
  <si>
    <t>东至用地边界线,南至用地边界线,西至用地边界线,北至纬三东路</t>
  </si>
  <si>
    <t>东至二纵线,南至红桥路,西至双龙七路,北至站前路</t>
  </si>
  <si>
    <t>钟山西路北侧,西山路西侧</t>
  </si>
  <si>
    <t>2017-03-23</t>
  </si>
  <si>
    <t>居住用地70年,商业用地40年</t>
  </si>
  <si>
    <t>人民中路北侧、纬三十五路南侧(规划道路)、富丽豪酒店西侧</t>
  </si>
  <si>
    <t>二类居住兼容商业用地</t>
  </si>
  <si>
    <t>2016-12-13</t>
  </si>
  <si>
    <t>六盘水汇麒房地产开发有限公司</t>
  </si>
  <si>
    <t>钟山片区区府北路西侧、水西南路东侧</t>
  </si>
  <si>
    <t>2016-08-22</t>
  </si>
  <si>
    <t>六盘水泰久盛房地产开发有限公司</t>
  </si>
  <si>
    <t>钟山片区大连路与碧云路交叉口东北侧</t>
  </si>
  <si>
    <t>商业、居住用地</t>
  </si>
  <si>
    <t>2016-06-13</t>
  </si>
  <si>
    <t>六盘水锦华房地产开发有限公司</t>
  </si>
  <si>
    <t>商业用地为40年,居住用地为70年</t>
  </si>
  <si>
    <t>钟山片区凉都大道西南侧、曹家湾铁路东侧</t>
  </si>
  <si>
    <t>2016-03-21</t>
  </si>
  <si>
    <t>六盘水中屹置业有限公司</t>
  </si>
  <si>
    <t>住宅70年,商业40年</t>
  </si>
  <si>
    <t>70</t>
    <phoneticPr fontId="31" type="noConversion"/>
  </si>
  <si>
    <t>土地</t>
  </si>
  <si>
    <t>一般</t>
    <phoneticPr fontId="25" type="noConversion"/>
  </si>
  <si>
    <t>住宅用地</t>
    <phoneticPr fontId="3" type="noConversion"/>
  </si>
  <si>
    <t>商业用地</t>
    <phoneticPr fontId="3" type="noConversion"/>
  </si>
  <si>
    <t>地价款</t>
    <phoneticPr fontId="3" type="noConversion"/>
  </si>
  <si>
    <t>总建筑</t>
    <phoneticPr fontId="3" type="noConversion"/>
  </si>
  <si>
    <t>容积率</t>
    <phoneticPr fontId="3" type="noConversion"/>
  </si>
  <si>
    <t>建筑面积</t>
    <phoneticPr fontId="3" type="noConversion"/>
  </si>
  <si>
    <t>底商</t>
  </si>
  <si>
    <t>商业</t>
    <phoneticPr fontId="7" type="noConversion"/>
  </si>
  <si>
    <t>土地（套用方法）</t>
  </si>
  <si>
    <t>收益法</t>
  </si>
  <si>
    <t>板块</t>
  </si>
  <si>
    <t>土地位置</t>
  </si>
  <si>
    <t>出让方式</t>
  </si>
  <si>
    <t>地块编号</t>
  </si>
  <si>
    <t>商业比例</t>
  </si>
  <si>
    <t>保障房类型</t>
  </si>
  <si>
    <t>推出保障房面积(㎡)</t>
  </si>
  <si>
    <t>成交保障房面积(㎡)</t>
  </si>
  <si>
    <t>配建自住房情况</t>
  </si>
  <si>
    <t>推出特殊政策</t>
  </si>
  <si>
    <t>成交特殊政策</t>
  </si>
  <si>
    <t>配建养老设施面积情况</t>
  </si>
  <si>
    <t>公告时间</t>
  </si>
  <si>
    <t>起始日期</t>
  </si>
  <si>
    <t>截止日期</t>
  </si>
  <si>
    <t>保证金(万元)</t>
  </si>
  <si>
    <t>起始价(万元)</t>
  </si>
  <si>
    <t>推出每亩价(万元/亩)</t>
  </si>
  <si>
    <t>推出楼面价(元/㎡)</t>
  </si>
  <si>
    <t>推出楼面价(除保障房)(元/㎡)</t>
  </si>
  <si>
    <t>成交楼面价(除保障房)(元/㎡)</t>
  </si>
  <si>
    <t>竞报整体自持比例(%)</t>
  </si>
  <si>
    <t>竞报商品住房自持比例(%)</t>
  </si>
  <si>
    <t>竞报商办部分自持比例(%)</t>
  </si>
  <si>
    <t>钟山片区凤凰大道北侧、麒麟路延伸段西侧</t>
  </si>
  <si>
    <t>挂牌</t>
  </si>
  <si>
    <t>钟山区大麻窝地块</t>
  </si>
  <si>
    <t>大于1并且小于或等于3</t>
  </si>
  <si>
    <t>小于80</t>
  </si>
  <si>
    <t>2020-05-22</t>
  </si>
  <si>
    <t>2020-06-11</t>
  </si>
  <si>
    <t>2020-06-22</t>
  </si>
  <si>
    <t>市自然资挂告字[2020]04号</t>
  </si>
  <si>
    <t>六盘水市钟山区华兴宏城房地产开发有限公司</t>
  </si>
  <si>
    <t>水月片区东明路与南北路交叉口东南角</t>
  </si>
  <si>
    <t>钟山区ZS-2019-05-YLJD-2号A地块</t>
  </si>
  <si>
    <t>大于1并且小于或等于2</t>
  </si>
  <si>
    <t>2020-05-07</t>
  </si>
  <si>
    <t>2020-05-28</t>
  </si>
  <si>
    <t>2020-06-10</t>
  </si>
  <si>
    <t>市自然资挂告字[2020]03号</t>
  </si>
  <si>
    <t>贵州六盘水攀登开发投资贸易有限公司</t>
  </si>
  <si>
    <t>钟山片区明湖路以东、纬十路南侧</t>
  </si>
  <si>
    <t>钟山区ZS-2020-01-BHYEQ地块</t>
  </si>
  <si>
    <t>大于1并且小于或等于4</t>
  </si>
  <si>
    <t>小于100</t>
  </si>
  <si>
    <t>2020-04-28</t>
  </si>
  <si>
    <t>2020-05-18</t>
  </si>
  <si>
    <t>2020-05-29</t>
  </si>
  <si>
    <t>市自然资挂告字[2020]02号</t>
  </si>
  <si>
    <t>六盘水锦宸置业投资有限公司</t>
  </si>
  <si>
    <t>规划环山一号路南侧、规划凤仙路北侧、规划凤一路西侧</t>
  </si>
  <si>
    <t>2019-HQ-230-A</t>
  </si>
  <si>
    <t>大于1并且小于或等于2.5</t>
  </si>
  <si>
    <t>小于或等于54</t>
  </si>
  <si>
    <t>2020-03-09</t>
  </si>
  <si>
    <t>2020-03-24</t>
  </si>
  <si>
    <t>2020-04-02</t>
  </si>
  <si>
    <t>2020-04-07</t>
  </si>
  <si>
    <t>六盘水高新自然资告字[2020]1号</t>
  </si>
  <si>
    <t>贵州世诚置业有限公司</t>
  </si>
  <si>
    <t>2019-HQ-230-B</t>
  </si>
  <si>
    <t>贵州浩辉置业有限公司</t>
  </si>
  <si>
    <t>红桥大道北侧、凉山中路西侧</t>
  </si>
  <si>
    <t>2019-HQ-53-B</t>
  </si>
  <si>
    <t>贵州天御置业有限公司</t>
  </si>
  <si>
    <t>红桥大道南侧、双龙一路西侧、南干线北侧</t>
  </si>
  <si>
    <t>2019-HQ-229</t>
  </si>
  <si>
    <t>六盘水市新未来教育发展投资有限公司</t>
  </si>
  <si>
    <t>凉都大道北侧、规划道路南侧、环山一号路西侧</t>
  </si>
  <si>
    <t>2019-HQ-233</t>
  </si>
  <si>
    <t>贵州汇筑置业有限公司</t>
  </si>
  <si>
    <t>规划环山一号路南侧、规划凤仙路北侧、规划凤三路西侧、规划凤二路东侧</t>
  </si>
  <si>
    <t>2019-HQ-230-C-1</t>
  </si>
  <si>
    <t>贵州启谋置业有限公司</t>
  </si>
  <si>
    <t>红桥大道北侧、八号路东侧</t>
  </si>
  <si>
    <t>2019-HQ-53-A</t>
  </si>
  <si>
    <t>贵州景盛置业有限公司</t>
  </si>
  <si>
    <t>南干线北侧、红桥路南侧、双龙二路西侧、双龙一路东侧</t>
  </si>
  <si>
    <t>2019-HQ-173</t>
  </si>
  <si>
    <t>凤凰东路南侧</t>
  </si>
  <si>
    <t>凤凰山城市综合体B-12号</t>
  </si>
  <si>
    <t>住宅、商服用地</t>
  </si>
  <si>
    <t>≤3.0</t>
  </si>
  <si>
    <t>2019-11-19</t>
  </si>
  <si>
    <t>2019-12-09</t>
  </si>
  <si>
    <t>2019-12-15</t>
  </si>
  <si>
    <t>市自然资挂告字〔2019〕09号</t>
  </si>
  <si>
    <t>上海新城万嘉房地产有限公司</t>
  </si>
  <si>
    <t>荷泉路西南侧、凤凰东路北侧</t>
  </si>
  <si>
    <t>凤凰山城市综合体A-16号地块</t>
  </si>
  <si>
    <t>凤凰东路南侧、规划道路东侧</t>
  </si>
  <si>
    <t>凤凰山城市综合体B-13号</t>
  </si>
  <si>
    <t>东至双龙五路,南至南干线,西至双龙三路,北至红桥大道。</t>
  </si>
  <si>
    <t>2019-HQ-174号</t>
  </si>
  <si>
    <t>大于1并且小于或等于3.1</t>
  </si>
  <si>
    <t>小于或等于24</t>
  </si>
  <si>
    <t>2019-09-27</t>
  </si>
  <si>
    <t>2019-10-18</t>
  </si>
  <si>
    <t>2019-10-28</t>
  </si>
  <si>
    <t>钟经国土资告字[2019]4号</t>
  </si>
  <si>
    <t>贵州省宏侨房地产开发有限公司</t>
  </si>
  <si>
    <t>钟山区ZS-2019-59-FHC地块</t>
  </si>
  <si>
    <t>居住兼商业用地</t>
  </si>
  <si>
    <t>2019-07-20</t>
  </si>
  <si>
    <t>2019-08-09</t>
  </si>
  <si>
    <t>六盘水自然资挂告字[2019]06号</t>
  </si>
  <si>
    <t>钟山区ZS-2019-18-DFY地块</t>
  </si>
  <si>
    <t>大于1并且小于或等于3.5</t>
  </si>
  <si>
    <t>拍卖</t>
  </si>
  <si>
    <t>2019-HQ-147号-A</t>
  </si>
  <si>
    <t>≥1,≤3.5</t>
  </si>
  <si>
    <t>2019-04-30</t>
  </si>
  <si>
    <t>钟经国土资告字[2019]1号</t>
  </si>
  <si>
    <t>凤苑棚户区</t>
  </si>
  <si>
    <t>＞1且≤3</t>
  </si>
  <si>
    <t>2017-12-26</t>
  </si>
  <si>
    <t>2018-01-16</t>
  </si>
  <si>
    <t>市国土资挂告字[2017]4号-2</t>
  </si>
  <si>
    <t>凤凰新居</t>
  </si>
  <si>
    <t>＞1且≤3.5</t>
  </si>
  <si>
    <t/>
  </si>
  <si>
    <t>市国土资挂告字[2017]4号-1</t>
  </si>
  <si>
    <t>凤凰山城市综合体A-15号地块</t>
  </si>
  <si>
    <t>≤25</t>
  </si>
  <si>
    <t>2017-11-15</t>
  </si>
  <si>
    <t>2017-12-05</t>
  </si>
  <si>
    <t>市国土资挂告字[2017]3号-1</t>
  </si>
  <si>
    <t>2016-HQ-182号</t>
  </si>
  <si>
    <t>≥1且≤3.5</t>
  </si>
  <si>
    <t>≤80</t>
  </si>
  <si>
    <t>2017-03-24</t>
  </si>
  <si>
    <t>2017-04-13</t>
  </si>
  <si>
    <t>钟经国土资告字[2017]1号-4</t>
  </si>
  <si>
    <t>2016-HQ-159号-A</t>
  </si>
  <si>
    <t>≥1且≤2.5</t>
  </si>
  <si>
    <t>≤55</t>
  </si>
  <si>
    <t>钟经国土资告字[2017]1号-3</t>
  </si>
  <si>
    <t>2016-HQ-184号</t>
  </si>
  <si>
    <t>≥1且≤2.09</t>
  </si>
  <si>
    <t>≤39</t>
  </si>
  <si>
    <t>钟经国土资告字[2017]1号-6</t>
  </si>
  <si>
    <t>2016-HQ-120号</t>
  </si>
  <si>
    <t>钟经国土资告字[2017]1号-1</t>
  </si>
  <si>
    <t>2016-HQ-183号</t>
  </si>
  <si>
    <t>≥1且≤2</t>
  </si>
  <si>
    <t>钟经国土资告字[2017]1号-5</t>
  </si>
  <si>
    <t>2013-DW-06号</t>
  </si>
  <si>
    <t>≤45%</t>
  </si>
  <si>
    <t>≤70米</t>
  </si>
  <si>
    <t>2017-02-21</t>
  </si>
  <si>
    <t>2017-03-13</t>
  </si>
  <si>
    <t>市国土资挂告字[2017]1号</t>
  </si>
  <si>
    <t>凉都国际大厦(钟山区杉树林危旧房改造工程)一期</t>
  </si>
  <si>
    <t>＞1且≤7.4</t>
  </si>
  <si>
    <t>2016-11-11</t>
  </si>
  <si>
    <t>2016-12-01</t>
  </si>
  <si>
    <t>市国土资挂告[2016]05号</t>
  </si>
  <si>
    <t>2015-HQ-1</t>
  </si>
  <si>
    <t>＞1且≤7.7</t>
  </si>
  <si>
    <t>2016-07-21</t>
  </si>
  <si>
    <t>2016-08-11</t>
  </si>
  <si>
    <t>市国土资挂告字[2016]04号</t>
  </si>
  <si>
    <t>时代综合体1号C地块</t>
  </si>
  <si>
    <t>＞1且≤4</t>
  </si>
  <si>
    <t>≤100米</t>
  </si>
  <si>
    <t>2016-05-12</t>
  </si>
  <si>
    <t>2016-06-02</t>
  </si>
  <si>
    <t>市国土资挂告字[2016]3号</t>
  </si>
  <si>
    <t>箐口棚户区改造项目1-2号地块</t>
  </si>
  <si>
    <t>＞1且≤2.7</t>
  </si>
  <si>
    <t>2016-02-18</t>
  </si>
  <si>
    <t>2016-03-11</t>
  </si>
  <si>
    <t>市国土资挂告字[2016]02号</t>
  </si>
  <si>
    <t>德坞片区钟山西路南侧、德月路东侧、德宏路西侧</t>
  </si>
  <si>
    <t>2013-DW-09</t>
  </si>
  <si>
    <t>商业、住宅用地</t>
  </si>
  <si>
    <t>＞1,≤3.5</t>
  </si>
  <si>
    <t>2015-10-27</t>
  </si>
  <si>
    <t>2015-11-17</t>
  </si>
  <si>
    <t>2015-11-26</t>
  </si>
  <si>
    <t>市国土资挂告字[2015]04号</t>
  </si>
  <si>
    <t>商业用地40年,住宅用地70年</t>
  </si>
  <si>
    <t>东至用地红线、南至用地红线、西至道路红线、北至道路红线</t>
  </si>
  <si>
    <t>2015-HQ-123</t>
  </si>
  <si>
    <t>＞1,≤2.5</t>
  </si>
  <si>
    <t>2015-08-28</t>
  </si>
  <si>
    <t>2015-09-21</t>
  </si>
  <si>
    <t>六盘水钟经国土资告字[2015]03号-1</t>
  </si>
  <si>
    <t>贵州新红桥开发投资有限公司</t>
  </si>
  <si>
    <t>凤凰新区凤凰南路北侧</t>
  </si>
  <si>
    <t>2015-F-17</t>
  </si>
  <si>
    <t>＞1,≤5</t>
  </si>
  <si>
    <t>2015-09-18</t>
  </si>
  <si>
    <t>市国土资挂告字[2015]03号-1</t>
  </si>
  <si>
    <t>钟山大道以北、六盘水市第十二中学西侧、官厅路东侧</t>
  </si>
  <si>
    <t>水城古镇城市棚户区改造项目1地块</t>
  </si>
  <si>
    <t>＞1,≤3.4</t>
  </si>
  <si>
    <t>2015-06-29</t>
  </si>
  <si>
    <t>2015-07-20</t>
  </si>
  <si>
    <t>2015-07-29</t>
  </si>
  <si>
    <t>市国土资挂告字[2015]02号-1</t>
  </si>
  <si>
    <t>六盘水市钟山区荷城花园房地产开发有限公司</t>
  </si>
  <si>
    <t>水钢排污沟北侧、官厅路西侧</t>
  </si>
  <si>
    <t>水城古镇城市棚户区改造项目2地块</t>
  </si>
  <si>
    <t>市国土资挂告字[2015]02号-2</t>
  </si>
  <si>
    <t>东至双龙五路用地界线,南至用地界线、西至双龙四路、北至站前路用地界线</t>
  </si>
  <si>
    <t>2014—HQ-162号-A</t>
  </si>
  <si>
    <t>＞1、≤1.5</t>
  </si>
  <si>
    <t>2014-12-09</t>
  </si>
  <si>
    <t>2014-12-29</t>
  </si>
  <si>
    <t>钟经国土资告字[2014]4号-6</t>
  </si>
  <si>
    <t>东至双龙六路,南至用地界线,西至双龙五路,北至站前路</t>
  </si>
  <si>
    <t>2014—HQ-161号-A</t>
  </si>
  <si>
    <t>＞1、≤2</t>
  </si>
  <si>
    <t>钟经国土资告字[2014]4号-4</t>
  </si>
  <si>
    <t>东至双龙六路,南至红桥路,西至双龙五路,北至用地界线</t>
  </si>
  <si>
    <t>2014—HQ-161号-B</t>
  </si>
  <si>
    <t>＞1、≤3.5</t>
  </si>
  <si>
    <t>≤60米</t>
  </si>
  <si>
    <t>钟经国土资告字[2014]4号-5</t>
  </si>
  <si>
    <t>住宅40年,商业70年</t>
  </si>
  <si>
    <t>东至双龙五路,南至红桥路,西至双龙四路,北至用地界线</t>
  </si>
  <si>
    <t>2014—HQ-162号-B</t>
  </si>
  <si>
    <t>钟经国土资告字[2014]4号-7</t>
  </si>
  <si>
    <t>凉都大道南侧、麒麟路东侧、碧云路北侧。</t>
  </si>
  <si>
    <t>A-23-1号</t>
  </si>
  <si>
    <t>商业兼容二类居住用地</t>
  </si>
  <si>
    <t>＞1、≤2.8</t>
  </si>
  <si>
    <t>2014-07-24</t>
  </si>
  <si>
    <t>2014-08-13</t>
  </si>
  <si>
    <t>2014-08-25</t>
  </si>
  <si>
    <t>市国土资挂告字[2014]06号-1</t>
  </si>
  <si>
    <t>六盘水恒维房地产开发有限公司</t>
  </si>
  <si>
    <t>商业用地40年,住宅70年</t>
  </si>
  <si>
    <t>凉都大道南侧、荷泉路西侧、碧云路北侧。</t>
  </si>
  <si>
    <t>A-23-2号</t>
  </si>
  <si>
    <t>市国土资挂告字[2014]06号-2</t>
  </si>
  <si>
    <t>东至经一路,南至纬三西路,西至十二号路,北至纬二西路</t>
  </si>
  <si>
    <t>2014-HQ-138-A</t>
  </si>
  <si>
    <t>≥1、≤3</t>
  </si>
  <si>
    <t>2014-06-30</t>
  </si>
  <si>
    <t>2014-07-21</t>
  </si>
  <si>
    <t>钟经国土资告字[2014]3号-5</t>
  </si>
  <si>
    <t>贵州亿杰置业有限公司</t>
  </si>
  <si>
    <t>2014-HQ-112</t>
  </si>
  <si>
    <t>≥1、≤2.09</t>
  </si>
  <si>
    <t>钟经国土资告字[2014]3号-1</t>
  </si>
  <si>
    <t>六盘水启明五官专科医院有限公司</t>
  </si>
  <si>
    <t>东至经二路,南至纬三西路,西至经一路,北至纬二西路</t>
  </si>
  <si>
    <t>2014—HQ-138-B</t>
  </si>
  <si>
    <t>＞1、≤3</t>
  </si>
  <si>
    <t>2014-05-22</t>
  </si>
  <si>
    <t>钟经国土资告字[2014]2号-3</t>
  </si>
  <si>
    <t>东至经三路,南至纬三东路,西至经二路,北至纬二西路</t>
  </si>
  <si>
    <t>2014—HQ-168</t>
  </si>
  <si>
    <t>钟经国土资告字[2014]2号-7</t>
  </si>
  <si>
    <t>东至二纵线道路红线,南文祥路道路红线,西至双龙七路道路红线,北至滨河路道路红线</t>
  </si>
  <si>
    <t>2014—HQ-80</t>
  </si>
  <si>
    <t>钟经国土资告字[2014]2号-9</t>
  </si>
  <si>
    <t>东至凤二路,南至凤仙路、用地界线,西至凤一路、用地界线,北至环山一号路</t>
  </si>
  <si>
    <t>2014—HQ-156-A</t>
  </si>
  <si>
    <t>钟经国土资告字[2014]2号-6</t>
  </si>
  <si>
    <t>六盘水来新居房地产开发有限公司</t>
  </si>
  <si>
    <t>明湖路、凉都大道与公园路交汇处周边</t>
  </si>
  <si>
    <t>“天波”棚户区</t>
  </si>
  <si>
    <t>中低价位、中小套型普通商品住房用地</t>
  </si>
  <si>
    <t>＞1、≤4</t>
  </si>
  <si>
    <t>定向安置房,</t>
  </si>
  <si>
    <t>2014-04-17</t>
  </si>
  <si>
    <t>2014-05-08</t>
  </si>
  <si>
    <t>2014-05-19</t>
  </si>
  <si>
    <t>市国土资挂告字[2014]02号-2</t>
  </si>
  <si>
    <t>六盘水市钟山区聚福房地产开发有限公司</t>
  </si>
  <si>
    <t>德坞片区人民路与马姚路交叉口东北侧</t>
  </si>
  <si>
    <t>2013-G-05号</t>
  </si>
  <si>
    <t>≥1.8、≤4</t>
  </si>
  <si>
    <t>2013-10-22</t>
  </si>
  <si>
    <t>2013-11-11</t>
  </si>
  <si>
    <t>2013-11-22</t>
  </si>
  <si>
    <t>市国土资挂告字[2013]10号</t>
  </si>
  <si>
    <t>六盘水华飞房地产开发有限公司</t>
  </si>
  <si>
    <t>楼面单价</t>
    <phoneticPr fontId="3" type="noConversion"/>
  </si>
  <si>
    <t>三通</t>
  </si>
  <si>
    <t>六盘水市钟山区红桥大道南侧、双龙一路西侧、南干线北侧住宅用地出让国有建设用地使用权</t>
    <phoneticPr fontId="6" type="noConversion"/>
  </si>
  <si>
    <t>六盘水市新未来教育发展投资有限责任公司</t>
    <phoneticPr fontId="6" type="noConversion"/>
  </si>
  <si>
    <t>住宅</t>
    <phoneticPr fontId="25" type="noConversion"/>
  </si>
  <si>
    <t>60-70（含）</t>
  </si>
  <si>
    <t>中屹.悦园花岸</t>
    <phoneticPr fontId="3" type="noConversion"/>
  </si>
  <si>
    <t>正常</t>
  </si>
  <si>
    <t>钢混</t>
    <phoneticPr fontId="25" type="noConversion"/>
  </si>
  <si>
    <t>高层</t>
  </si>
  <si>
    <t>高层</t>
    <phoneticPr fontId="25" type="noConversion"/>
  </si>
  <si>
    <t>较好</t>
    <phoneticPr fontId="25" type="noConversion"/>
  </si>
  <si>
    <t>精装</t>
  </si>
  <si>
    <t>精装</t>
    <phoneticPr fontId="25" type="noConversion"/>
  </si>
  <si>
    <t>普装</t>
    <phoneticPr fontId="25" type="noConversion"/>
  </si>
  <si>
    <t>简装</t>
    <phoneticPr fontId="25" type="noConversion"/>
  </si>
  <si>
    <t>毛坯</t>
  </si>
  <si>
    <t>毛坯</t>
    <phoneticPr fontId="25" type="noConversion"/>
  </si>
  <si>
    <t>七通</t>
  </si>
  <si>
    <t>五通</t>
  </si>
  <si>
    <t>四通</t>
  </si>
  <si>
    <t>派华峰源</t>
    <phoneticPr fontId="3" type="noConversion"/>
  </si>
  <si>
    <t>嘉和逸园</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</si>
</sst>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0.00"/>
    <numFmt numFmtId="198" formatCode="0.000000_ ;\-0.000000"/>
    <numFmt numFmtId="199" formatCode="0.000_ ;\-0.000"/>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8"/>
      <color indexed="8"/>
      <name val="宋体"/>
      <family val="3"/>
      <charset val="134"/>
    </font>
    <font>
      <sz val="12"/>
      <color indexed="12"/>
      <name val="宋体"/>
      <family val="3"/>
      <charset val="134"/>
    </font>
    <font>
      <sz val="12"/>
      <color indexed="17"/>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6"/>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19" fillId="0" borderId="0"/>
    <xf numFmtId="0" fontId="56" fillId="0" borderId="0"/>
  </cellStyleXfs>
  <cellXfs count="335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80" fillId="5" borderId="15" xfId="0" applyFont="1" applyFill="1" applyBorder="1" applyAlignment="1" applyProtection="1">
      <alignment horizontal="center" vertical="center" wrapText="1"/>
      <protection locked="0"/>
    </xf>
    <xf numFmtId="0" fontId="19" fillId="0" borderId="0" xfId="17"/>
    <xf numFmtId="0" fontId="189" fillId="0" borderId="1" xfId="17" applyNumberFormat="1" applyFont="1" applyFill="1" applyBorder="1" applyAlignment="1" applyProtection="1">
      <alignment horizontal="center" vertical="center"/>
    </xf>
    <xf numFmtId="0" fontId="144" fillId="0" borderId="1" xfId="17" applyNumberFormat="1"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56" fillId="0" borderId="0" xfId="18"/>
    <xf numFmtId="0" fontId="56" fillId="18" borderId="0" xfId="18" applyFill="1"/>
    <xf numFmtId="0" fontId="56" fillId="5" borderId="0" xfId="18" applyFill="1"/>
    <xf numFmtId="0" fontId="19" fillId="18" borderId="0" xfId="18" applyFont="1" applyFill="1"/>
    <xf numFmtId="0" fontId="19" fillId="5" borderId="0" xfId="18" applyFont="1" applyFill="1"/>
    <xf numFmtId="0" fontId="19" fillId="0" borderId="0" xfId="18" applyFont="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197" fontId="19" fillId="0" borderId="0" xfId="17" applyNumberFormat="1"/>
    <xf numFmtId="0" fontId="80" fillId="6" borderId="0" xfId="0" applyFont="1" applyFill="1" applyAlignment="1" applyProtection="1">
      <alignment vertical="center"/>
      <protection locked="0"/>
    </xf>
    <xf numFmtId="49" fontId="225" fillId="0" borderId="10" xfId="0" applyNumberFormat="1" applyFont="1" applyFill="1" applyBorder="1" applyAlignment="1" applyProtection="1">
      <alignment horizontal="center" vertical="center" wrapText="1"/>
      <protection locked="0"/>
    </xf>
    <xf numFmtId="0" fontId="0" fillId="5" borderId="0" xfId="0" applyFill="1" applyAlignment="1"/>
    <xf numFmtId="0" fontId="80" fillId="0" borderId="1" xfId="0" applyFont="1" applyBorder="1" applyAlignment="1" applyProtection="1">
      <alignment horizontal="center" vertical="center" wrapText="1"/>
      <protection locked="0"/>
    </xf>
    <xf numFmtId="0" fontId="137"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56" fillId="0" borderId="0" xfId="0" applyFont="1" applyAlignment="1"/>
    <xf numFmtId="0" fontId="101" fillId="0" borderId="0" xfId="0" applyFont="1" applyAlignment="1"/>
    <xf numFmtId="0" fontId="137" fillId="0" borderId="5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4" fillId="0" borderId="47" xfId="17" applyNumberFormat="1" applyFont="1" applyFill="1" applyBorder="1" applyAlignment="1" applyProtection="1">
      <alignment horizontal="center" vertical="center"/>
    </xf>
    <xf numFmtId="0" fontId="19" fillId="0" borderId="47" xfId="17" applyNumberFormat="1" applyFont="1" applyFill="1" applyBorder="1" applyAlignment="1" applyProtection="1">
      <alignment horizontal="center"/>
    </xf>
    <xf numFmtId="0" fontId="19" fillId="0" borderId="47" xfId="17" applyNumberFormat="1" applyFont="1" applyFill="1" applyBorder="1" applyAlignment="1" applyProtection="1"/>
    <xf numFmtId="0" fontId="189" fillId="0" borderId="6" xfId="17" applyNumberFormat="1" applyFont="1" applyFill="1" applyBorder="1" applyAlignment="1" applyProtection="1">
      <alignment horizontal="center" vertical="center"/>
    </xf>
    <xf numFmtId="0" fontId="144" fillId="0" borderId="9" xfId="17" applyNumberFormat="1" applyFont="1" applyFill="1" applyBorder="1" applyAlignment="1" applyProtection="1">
      <alignment horizontal="center" vertical="center"/>
    </xf>
    <xf numFmtId="0" fontId="240" fillId="0" borderId="9" xfId="17" applyNumberFormat="1" applyFont="1" applyFill="1" applyBorder="1" applyAlignment="1" applyProtection="1">
      <alignment horizontal="center" vertical="center"/>
    </xf>
    <xf numFmtId="0" fontId="3" fillId="0" borderId="9" xfId="17" applyNumberFormat="1" applyFont="1" applyFill="1" applyBorder="1" applyAlignment="1" applyProtection="1">
      <alignment horizontal="center" vertical="center"/>
    </xf>
    <xf numFmtId="0" fontId="189" fillId="0" borderId="9" xfId="17" applyNumberFormat="1" applyFont="1" applyFill="1" applyBorder="1" applyAlignment="1" applyProtection="1">
      <alignment horizontal="center" vertical="center"/>
    </xf>
    <xf numFmtId="0" fontId="144" fillId="0" borderId="9" xfId="17" applyNumberFormat="1" applyFont="1" applyFill="1" applyBorder="1" applyAlignment="1" applyProtection="1">
      <alignment vertical="center"/>
    </xf>
    <xf numFmtId="0" fontId="190" fillId="0" borderId="9" xfId="17" applyNumberFormat="1" applyFont="1" applyFill="1" applyBorder="1" applyAlignment="1" applyProtection="1">
      <alignment horizontal="center" vertical="center"/>
    </xf>
    <xf numFmtId="0" fontId="37" fillId="0" borderId="9" xfId="17" applyNumberFormat="1" applyFont="1" applyFill="1" applyBorder="1" applyAlignment="1" applyProtection="1">
      <alignment horizontal="center" vertical="center"/>
    </xf>
    <xf numFmtId="0" fontId="255" fillId="0" borderId="9" xfId="17" applyNumberFormat="1" applyFont="1" applyFill="1" applyBorder="1" applyAlignment="1" applyProtection="1">
      <alignment horizontal="center" vertical="center"/>
    </xf>
    <xf numFmtId="0" fontId="37" fillId="0" borderId="10" xfId="17" applyNumberFormat="1" applyFont="1" applyFill="1" applyBorder="1" applyAlignment="1" applyProtection="1">
      <alignment horizontal="center" vertical="center"/>
    </xf>
    <xf numFmtId="0" fontId="189" fillId="0" borderId="1" xfId="17" applyNumberFormat="1" applyFont="1" applyFill="1" applyBorder="1" applyAlignment="1" applyProtection="1">
      <alignment horizontal="center" vertical="center"/>
    </xf>
    <xf numFmtId="0" fontId="144" fillId="0" borderId="1" xfId="17" applyNumberFormat="1" applyFont="1" applyFill="1" applyBorder="1" applyAlignment="1" applyProtection="1">
      <alignment horizontal="center" vertical="center"/>
    </xf>
    <xf numFmtId="0" fontId="144" fillId="0" borderId="24" xfId="17" applyNumberFormat="1" applyFont="1" applyFill="1" applyBorder="1" applyAlignment="1" applyProtection="1">
      <alignment horizontal="center" vertical="center"/>
    </xf>
    <xf numFmtId="0" fontId="190" fillId="0" borderId="1" xfId="17" applyNumberFormat="1" applyFont="1" applyFill="1" applyBorder="1" applyAlignment="1" applyProtection="1">
      <alignment horizontal="center" vertical="center"/>
    </xf>
    <xf numFmtId="0" fontId="37" fillId="0" borderId="1" xfId="17" applyNumberFormat="1" applyFont="1" applyFill="1" applyBorder="1" applyAlignment="1" applyProtection="1">
      <alignment horizontal="center" vertical="center"/>
    </xf>
    <xf numFmtId="197" fontId="255" fillId="0" borderId="1" xfId="17" applyNumberFormat="1" applyFont="1" applyFill="1" applyBorder="1" applyAlignment="1" applyProtection="1">
      <alignment horizontal="center" vertical="center" wrapText="1"/>
    </xf>
    <xf numFmtId="0" fontId="37" fillId="0" borderId="1" xfId="17" applyNumberFormat="1" applyFont="1" applyFill="1" applyBorder="1" applyAlignment="1" applyProtection="1">
      <alignment horizontal="center" vertical="center" wrapText="1"/>
    </xf>
    <xf numFmtId="198" fontId="255" fillId="0" borderId="1" xfId="17" applyNumberFormat="1" applyFont="1" applyFill="1" applyBorder="1" applyAlignment="1" applyProtection="1">
      <alignment horizontal="center" vertical="center" wrapText="1"/>
    </xf>
    <xf numFmtId="199" fontId="37" fillId="0" borderId="1" xfId="17" applyNumberFormat="1" applyFont="1" applyFill="1" applyBorder="1" applyAlignment="1" applyProtection="1">
      <alignment horizontal="center" vertical="center"/>
    </xf>
    <xf numFmtId="197" fontId="255" fillId="0" borderId="1" xfId="17" applyNumberFormat="1" applyFont="1" applyFill="1" applyBorder="1" applyAlignment="1" applyProtection="1">
      <alignment horizontal="center" vertical="center"/>
    </xf>
    <xf numFmtId="197" fontId="255" fillId="0" borderId="24" xfId="17" applyNumberFormat="1" applyFont="1" applyFill="1" applyBorder="1" applyAlignment="1" applyProtection="1">
      <alignment horizontal="center" vertical="center"/>
    </xf>
    <xf numFmtId="0" fontId="37" fillId="0" borderId="86" xfId="17" applyNumberFormat="1" applyFont="1" applyFill="1" applyBorder="1" applyAlignment="1" applyProtection="1">
      <alignment horizontal="center" vertical="center"/>
    </xf>
    <xf numFmtId="0" fontId="19" fillId="0" borderId="60" xfId="17" applyNumberFormat="1" applyFont="1" applyFill="1" applyBorder="1" applyAlignment="1" applyProtection="1"/>
    <xf numFmtId="0" fontId="19" fillId="0" borderId="7" xfId="17" applyNumberFormat="1" applyFont="1" applyFill="1" applyBorder="1" applyAlignment="1" applyProtection="1"/>
    <xf numFmtId="197" fontId="256" fillId="0" borderId="1" xfId="17" applyNumberFormat="1" applyFont="1" applyFill="1" applyBorder="1" applyAlignment="1" applyProtection="1">
      <alignment horizontal="center" vertical="center" wrapText="1"/>
    </xf>
    <xf numFmtId="0" fontId="144" fillId="0" borderId="1" xfId="17" applyNumberFormat="1" applyFont="1" applyFill="1" applyBorder="1" applyAlignment="1" applyProtection="1">
      <alignment horizontal="center" vertical="center" wrapText="1"/>
    </xf>
    <xf numFmtId="198" fontId="144" fillId="0" borderId="1" xfId="17" applyNumberFormat="1" applyFont="1" applyFill="1" applyBorder="1" applyAlignment="1" applyProtection="1">
      <alignment horizontal="center" vertical="center" wrapText="1"/>
    </xf>
    <xf numFmtId="0" fontId="256" fillId="0" borderId="1" xfId="17" applyNumberFormat="1" applyFont="1" applyFill="1" applyBorder="1" applyAlignment="1" applyProtection="1">
      <alignment horizontal="center" vertical="center" wrapText="1"/>
    </xf>
    <xf numFmtId="197" fontId="256" fillId="0" borderId="1" xfId="17" applyNumberFormat="1" applyFont="1" applyFill="1" applyBorder="1" applyAlignment="1" applyProtection="1">
      <alignment horizontal="center" vertical="center"/>
    </xf>
    <xf numFmtId="197" fontId="256" fillId="0" borderId="71" xfId="17" applyNumberFormat="1" applyFont="1" applyFill="1" applyBorder="1" applyAlignment="1" applyProtection="1">
      <alignment horizontal="center" vertical="center"/>
    </xf>
    <xf numFmtId="0" fontId="37" fillId="0" borderId="50" xfId="17" applyNumberFormat="1" applyFont="1" applyFill="1" applyBorder="1" applyAlignment="1" applyProtection="1">
      <alignment horizontal="center" vertical="center"/>
    </xf>
    <xf numFmtId="0" fontId="19" fillId="0" borderId="1" xfId="17" applyNumberFormat="1" applyFont="1" applyFill="1" applyBorder="1" applyAlignment="1" applyProtection="1"/>
    <xf numFmtId="199" fontId="37" fillId="0" borderId="1" xfId="17" applyNumberFormat="1" applyFont="1" applyFill="1" applyBorder="1" applyAlignment="1" applyProtection="1">
      <alignment horizontal="center" vertical="center" wrapText="1"/>
    </xf>
    <xf numFmtId="197" fontId="37" fillId="0" borderId="1" xfId="17" applyNumberFormat="1" applyFont="1" applyFill="1" applyBorder="1" applyAlignment="1" applyProtection="1">
      <alignment horizontal="center" vertical="center" wrapText="1"/>
    </xf>
    <xf numFmtId="197" fontId="37" fillId="0" borderId="1" xfId="17" applyNumberFormat="1" applyFont="1" applyFill="1" applyBorder="1" applyAlignment="1" applyProtection="1">
      <alignment horizontal="center" vertical="center"/>
    </xf>
    <xf numFmtId="197" fontId="37" fillId="0" borderId="71" xfId="17" applyNumberFormat="1" applyFont="1" applyFill="1" applyBorder="1" applyAlignment="1" applyProtection="1">
      <alignment horizontal="center" vertical="center"/>
    </xf>
    <xf numFmtId="0" fontId="37" fillId="0" borderId="41" xfId="17" applyNumberFormat="1" applyFont="1" applyFill="1" applyBorder="1" applyAlignment="1" applyProtection="1">
      <alignment horizontal="center" vertical="center"/>
    </xf>
    <xf numFmtId="0" fontId="189" fillId="0" borderId="32" xfId="17" applyNumberFormat="1" applyFont="1" applyFill="1" applyBorder="1" applyAlignment="1" applyProtection="1">
      <alignment horizontal="left" vertical="center"/>
    </xf>
    <xf numFmtId="0" fontId="37" fillId="0" borderId="32" xfId="17" applyNumberFormat="1" applyFont="1" applyFill="1" applyBorder="1" applyAlignment="1" applyProtection="1">
      <alignment horizontal="left" vertical="center"/>
    </xf>
    <xf numFmtId="199" fontId="37" fillId="0" borderId="32" xfId="17" applyNumberFormat="1" applyFont="1" applyFill="1" applyBorder="1" applyAlignment="1" applyProtection="1">
      <alignment horizontal="left" vertical="center" wrapText="1"/>
    </xf>
    <xf numFmtId="0" fontId="144" fillId="0" borderId="32" xfId="17" applyNumberFormat="1" applyFont="1" applyFill="1" applyBorder="1" applyAlignment="1" applyProtection="1">
      <alignment horizontal="left" vertical="center" wrapText="1"/>
    </xf>
    <xf numFmtId="198" fontId="144" fillId="0" borderId="32" xfId="17" applyNumberFormat="1" applyFont="1" applyFill="1" applyBorder="1" applyAlignment="1" applyProtection="1">
      <alignment horizontal="left" vertical="center" wrapText="1"/>
    </xf>
    <xf numFmtId="0" fontId="37" fillId="0" borderId="32" xfId="17" applyNumberFormat="1" applyFont="1" applyFill="1" applyBorder="1" applyAlignment="1" applyProtection="1">
      <alignment horizontal="left" vertical="center" wrapText="1"/>
    </xf>
    <xf numFmtId="199" fontId="37" fillId="0" borderId="32" xfId="17" applyNumberFormat="1" applyFont="1" applyFill="1" applyBorder="1" applyAlignment="1" applyProtection="1">
      <alignment horizontal="left" vertical="center"/>
    </xf>
    <xf numFmtId="199" fontId="144" fillId="0" borderId="32" xfId="17" applyNumberFormat="1" applyFont="1" applyFill="1" applyBorder="1" applyAlignment="1" applyProtection="1">
      <alignment horizontal="left" vertical="center"/>
    </xf>
    <xf numFmtId="0" fontId="37" fillId="0" borderId="49" xfId="17" applyNumberFormat="1" applyFont="1" applyFill="1" applyBorder="1" applyAlignment="1" applyProtection="1">
      <alignment horizontal="left"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22</xdr:col>
      <xdr:colOff>228600</xdr:colOff>
      <xdr:row>9</xdr:row>
      <xdr:rowOff>257175</xdr:rowOff>
    </xdr:from>
    <xdr:to>
      <xdr:col>31</xdr:col>
      <xdr:colOff>446949</xdr:colOff>
      <xdr:row>34</xdr:row>
      <xdr:rowOff>18162</xdr:rowOff>
    </xdr:to>
    <xdr:pic>
      <xdr:nvPicPr>
        <xdr:cNvPr id="2" name="图片 1"/>
        <xdr:cNvPicPr>
          <a:picLocks noChangeAspect="1"/>
        </xdr:cNvPicPr>
      </xdr:nvPicPr>
      <xdr:blipFill>
        <a:blip xmlns:r="http://schemas.openxmlformats.org/officeDocument/2006/relationships" r:embed="rId1"/>
        <a:stretch>
          <a:fillRect/>
        </a:stretch>
      </xdr:blipFill>
      <xdr:spPr>
        <a:xfrm>
          <a:off x="7648575" y="2619375"/>
          <a:ext cx="5809524" cy="7104762"/>
        </a:xfrm>
        <a:prstGeom prst="rect">
          <a:avLst/>
        </a:prstGeom>
      </xdr:spPr>
    </xdr:pic>
    <xdr:clientData/>
  </xdr:twoCellAnchor>
  <xdr:twoCellAnchor editAs="oneCell">
    <xdr:from>
      <xdr:col>0</xdr:col>
      <xdr:colOff>0</xdr:colOff>
      <xdr:row>15</xdr:row>
      <xdr:rowOff>19050</xdr:rowOff>
    </xdr:from>
    <xdr:to>
      <xdr:col>22</xdr:col>
      <xdr:colOff>56215</xdr:colOff>
      <xdr:row>22</xdr:row>
      <xdr:rowOff>123512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391025"/>
          <a:ext cx="7476190" cy="2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456201</xdr:colOff>
      <xdr:row>34</xdr:row>
      <xdr:rowOff>151653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00001" cy="5980953"/>
        </a:xfrm>
        <a:prstGeom prst="rect">
          <a:avLst/>
        </a:prstGeom>
      </xdr:spPr>
    </xdr:pic>
    <xdr:clientData/>
  </xdr:twoCellAnchor>
  <xdr:twoCellAnchor editAs="oneCell">
    <xdr:from>
      <xdr:col>12</xdr:col>
      <xdr:colOff>0</xdr:colOff>
      <xdr:row>0</xdr:row>
      <xdr:rowOff>0</xdr:rowOff>
    </xdr:from>
    <xdr:to>
      <xdr:col>29</xdr:col>
      <xdr:colOff>655687</xdr:colOff>
      <xdr:row>38</xdr:row>
      <xdr:rowOff>122996</xdr:rowOff>
    </xdr:to>
    <xdr:pic>
      <xdr:nvPicPr>
        <xdr:cNvPr id="3" name="图片 2"/>
        <xdr:cNvPicPr>
          <a:picLocks noChangeAspect="1"/>
        </xdr:cNvPicPr>
      </xdr:nvPicPr>
      <xdr:blipFill>
        <a:blip xmlns:r="http://schemas.openxmlformats.org/officeDocument/2006/relationships" r:embed="rId2"/>
        <a:stretch>
          <a:fillRect/>
        </a:stretch>
      </xdr:blipFill>
      <xdr:spPr>
        <a:xfrm>
          <a:off x="8229600" y="0"/>
          <a:ext cx="12314287" cy="66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5;&#30424;&#27700;&#24066;&#38047;&#23665;&#21306;-&#21672;&#35810;&#23545;&#35937;2-173&#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分户表"/>
      <sheetName val="土地案例"/>
      <sheetName val="成本法（废）"/>
      <sheetName val="区片价"/>
      <sheetName val="因素修正幅度"/>
      <sheetName val="存贷款利率"/>
      <sheetName val="区片价（范围）"/>
      <sheetName val="案例"/>
      <sheetName val="土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167472.6</v>
          </cell>
          <cell r="C14">
            <v>55824.22</v>
          </cell>
          <cell r="D14">
            <v>13667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贵州省六盘水市钟山区红桥大道南侧、双龙一路西侧、南干线北侧住宅用地出让国有建设用地使用权出让国有建设用地使用权房地产抵押价值预评估</v>
      </c>
    </row>
    <row r="3" spans="1:2" s="1592" customFormat="1">
      <c r="A3" s="1590" t="s">
        <v>1217</v>
      </c>
      <c r="B3" s="1591">
        <f>'预评函-封皮'!B40</f>
        <v>0</v>
      </c>
    </row>
    <row r="4" spans="1:2" s="1592" customFormat="1">
      <c r="A4" s="1590" t="s">
        <v>1218</v>
      </c>
      <c r="B4" s="1591" t="str">
        <f ca="1">'预评函-封皮'!B46</f>
        <v>吴薇（注册号：0)、崔锴（注册号：1120100036)</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受贵公司委托，我公司对贵州省六盘水市钟山区红桥大道南侧、双龙一路西侧、南干线北侧住宅用地出让国有建设用地使用权出让国有建设用地使用权抵押价值进行了预评估。</v>
      </c>
    </row>
    <row r="7" spans="1:2" s="1592" customFormat="1">
      <c r="A7" s="1590" t="s">
        <v>1260</v>
      </c>
      <c r="B7" s="1591" t="str">
        <f>'预评函-1'!A7</f>
        <v>估价对象为贵州省六盘水市钟山区红桥大道南侧、双龙一路西侧、南干线北侧住宅用地出让国有建设用地使用权出让国有建设用地使用权，为六盘水市新未来教育发展投资有限责任公司所有。根据《不动产权证书》[]，估价对象（分摊）出让国有建设用地使用权面积为21322.59平方米。根据《测绘报告》[]，估价对象建筑面积为53306.4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贵州省六盘水市钟山区红桥大道南侧、双龙一路西侧、南干线北侧住宅用地出让国有建设用地使用权出让国有建设用地使用权,属六盘水市新未来教育发展投资有限责任公司开发建设的商业项目，该项目尚在开发建设中。根据《不动产权证书》[]，估价对象（分摊）出让国有建设用地使用权面积为21322.59平方米。根据《测绘报告》[]，估价对象规划建筑面积为53306.4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贵州省六盘水市钟山区红桥大道南侧、双龙一路西侧、南干线北侧住宅用地出让国有建设用地使用权出让国有建设用地使用权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2020年7月6日（评估专业人员实地查勘之日）</v>
      </c>
    </row>
    <row r="13" spans="1:2" s="1592" customFormat="1">
      <c r="A13" s="1590" t="s">
        <v>1223</v>
      </c>
      <c r="B13" s="1591" t="str">
        <f>'预评函-1'!A18</f>
        <v>本次估价的“房地产价值”是指在正常市场情况下，在价值时点2020年7月6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平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本次评估采用的主估价方法为比较法和假设开发法。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4649</v>
      </c>
    </row>
    <row r="21" spans="1:2" s="1592" customFormat="1">
      <c r="A21" s="1590" t="s">
        <v>1231</v>
      </c>
      <c r="B21" s="1591">
        <f ca="1">'预评函-2'!D7</f>
        <v>872</v>
      </c>
    </row>
    <row r="22" spans="1:2" s="1592" customFormat="1">
      <c r="A22" s="1590" t="s">
        <v>1232</v>
      </c>
      <c r="B22" s="1591" t="str">
        <f ca="1">'预评函-2'!D6</f>
        <v>肆仟陆佰肆拾玖万元整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4649</v>
      </c>
    </row>
    <row r="31" spans="1:2" s="1592" customFormat="1">
      <c r="A31" s="1590" t="s">
        <v>1270</v>
      </c>
      <c r="B31" s="1591">
        <f ca="1">'预评函-2'!D15</f>
        <v>872</v>
      </c>
    </row>
    <row r="32" spans="1:2" s="1592" customFormat="1">
      <c r="A32" s="1590" t="s">
        <v>1237</v>
      </c>
      <c r="B32" s="1591" t="str">
        <f ca="1">'预评函-2'!D14</f>
        <v>肆仟陆佰肆拾玖万元整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贵州省六盘水市钟山区红桥大道南侧、双龙一路西侧、南干线北侧住宅用地出让国有建设用地使用权出让国有建设用地使用权</v>
      </c>
    </row>
    <row r="42" spans="1:2" s="1592" customFormat="1">
      <c r="A42" s="1590" t="s">
        <v>1284</v>
      </c>
      <c r="B42" s="1591" t="str">
        <f>'预评函-3'!B2</f>
        <v>建筑面积</v>
      </c>
    </row>
    <row r="43" spans="1:2" s="1592" customFormat="1">
      <c r="A43" s="1590" t="s">
        <v>1285</v>
      </c>
      <c r="B43" s="1591">
        <f>'预评函-3'!B4</f>
        <v>53306.400000000001</v>
      </c>
    </row>
    <row r="44" spans="1:2" s="1592" customFormat="1">
      <c r="A44" s="1590" t="s">
        <v>1269</v>
      </c>
      <c r="B44" s="1591" t="str">
        <f>'预评函-3'!C2</f>
        <v>(分摊)土地面积</v>
      </c>
    </row>
    <row r="45" spans="1:2" s="1592" customFormat="1">
      <c r="A45" s="1590" t="s">
        <v>1241</v>
      </c>
      <c r="B45" s="1591">
        <f>'预评函-3'!C4</f>
        <v>21322.59</v>
      </c>
    </row>
    <row r="46" spans="1:2" s="1592" customFormat="1">
      <c r="A46" s="1590" t="s">
        <v>1267</v>
      </c>
      <c r="B46" s="1591" t="str">
        <f>'预评函-3'!D2</f>
        <v>出让国有建设用地使用权价值</v>
      </c>
    </row>
    <row r="47" spans="1:2" s="1592" customFormat="1">
      <c r="A47" s="1590" t="s">
        <v>1242</v>
      </c>
      <c r="B47" s="1591">
        <f ca="1">'预评函-3'!D4</f>
        <v>4649</v>
      </c>
    </row>
    <row r="48" spans="1:2" s="1592" customFormat="1">
      <c r="A48" s="1590" t="s">
        <v>1243</v>
      </c>
      <c r="B48" s="1591">
        <f ca="1">'预评函-3'!E4</f>
        <v>872</v>
      </c>
    </row>
    <row r="49" spans="1:2" s="1592" customFormat="1">
      <c r="A49" s="1590" t="s">
        <v>1244</v>
      </c>
      <c r="B49" s="1591" t="str">
        <f ca="1">'预评函-3'!D5</f>
        <v>肆仟陆佰肆拾玖万元整</v>
      </c>
    </row>
    <row r="50" spans="1:2" s="1592" customFormat="1">
      <c r="A50" s="1590" t="s">
        <v>1268</v>
      </c>
      <c r="B50" s="1591" t="str">
        <f>'预评函-3'!F2</f>
        <v>在建建筑物价值</v>
      </c>
    </row>
    <row r="51" spans="1:2" s="1592" customFormat="1">
      <c r="A51" s="1590" t="s">
        <v>1245</v>
      </c>
      <c r="B51" s="1591">
        <f ca="1">'预评函-3'!F4</f>
        <v>0</v>
      </c>
    </row>
    <row r="52" spans="1:2" s="1592" customFormat="1">
      <c r="A52" s="1590" t="s">
        <v>1246</v>
      </c>
      <c r="B52" s="1591">
        <f ca="1">'预评函-3'!G4</f>
        <v>0</v>
      </c>
    </row>
    <row r="53" spans="1:2" s="1592" customFormat="1">
      <c r="A53" s="1590" t="s">
        <v>1274</v>
      </c>
      <c r="B53" s="1591" t="str">
        <f ca="1">'预评函-3'!F5</f>
        <v>零元整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（1）根据估价对象《不动产权证书》复印件、，截至价值时点，估价对象抵押权未见登记。</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吴薇</v>
      </c>
    </row>
    <row r="71" spans="1:2">
      <c r="A71" s="1590" t="s">
        <v>1257</v>
      </c>
      <c r="B71" s="1591">
        <f ca="1">'预评函-4'!B4</f>
        <v>0</v>
      </c>
    </row>
    <row r="72" spans="1:2">
      <c r="A72" s="1590" t="s">
        <v>1258</v>
      </c>
      <c r="B72" s="1599" t="str">
        <f>'预评函-4'!A5</f>
        <v>崔锴</v>
      </c>
    </row>
    <row r="73" spans="1:2" s="1586" customFormat="1" ht="15" thickBot="1">
      <c r="A73" s="1593" t="s">
        <v>1259</v>
      </c>
      <c r="B73" s="1594">
        <f ca="1">'预评函-4'!B5</f>
        <v>1120100036</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贵州省六盘水市钟山区红桥大道南侧、双龙一路西侧、南干线北侧住宅用地出让国有建设用地使用权出让国有建设用地使用权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21"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1"/>
      <c r="B54" s="2020" t="s">
        <v>861</v>
      </c>
      <c r="C54" s="2017" t="s">
        <v>1277</v>
      </c>
    </row>
    <row r="55" spans="1:4">
      <c r="A55" s="3021"/>
      <c r="B55" s="2020" t="s">
        <v>862</v>
      </c>
      <c r="C55" s="2017" t="s">
        <v>1278</v>
      </c>
    </row>
    <row r="56" spans="1:4">
      <c r="A56" s="3021"/>
      <c r="B56" s="2020" t="s">
        <v>863</v>
      </c>
      <c r="C56" s="2017" t="s">
        <v>1282</v>
      </c>
    </row>
    <row r="57" spans="1:4">
      <c r="A57" s="3021"/>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6" sqref="G26"/>
    </sheetView>
  </sheetViews>
  <sheetFormatPr defaultColWidth="10" defaultRowHeight="18" customHeight="1"/>
  <cols>
    <col min="1" max="1" width="14.875" style="2030" customWidth="1"/>
    <col min="2" max="2" width="15.125" style="2030" customWidth="1"/>
    <col min="3" max="3" width="11.5" style="2030" customWidth="1"/>
    <col min="4" max="4" width="15.375" style="2030" customWidth="1"/>
    <col min="5"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1771</v>
      </c>
      <c r="B1" s="3022" t="str">
        <f>IF(B10="北京市","北京市",C10)&amp;F10&amp;IF(结果表!G1="在建","出让国有建设用地使用权及在建建筑物",IF(结果表!G1="土地","出让国有建设用地使用权",))&amp;B9&amp;"预评估"</f>
        <v>贵州省六盘水市钟山区红桥大道南侧、双龙一路西侧、南干线北侧住宅用地出让国有建设用地使用权出让国有建设用地使用权房地产抵押价值预评估</v>
      </c>
      <c r="C1" s="3023"/>
      <c r="D1" s="3023"/>
      <c r="E1" s="3023"/>
      <c r="F1" s="3023"/>
      <c r="G1" s="3023"/>
      <c r="H1" s="3023"/>
      <c r="I1" s="3024"/>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贵州省六盘水市钟山区红桥大道南侧、双龙一路西侧、南干线北侧住宅用地出让国有建设用地使用权出让国有建设用地使用权抵押价值</v>
      </c>
    </row>
    <row r="2" spans="1:19" ht="18" customHeight="1">
      <c r="A2" s="2024" t="s">
        <v>1772</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贵州省六盘水市钟山区红桥大道南侧、双龙一路西侧、南干线北侧住宅用地出让国有建设用地使用权出让国有建设用地使用权</v>
      </c>
    </row>
    <row r="3" spans="1:19" ht="18" customHeight="1">
      <c r="A3" s="2033" t="s">
        <v>1773</v>
      </c>
      <c r="B3" s="2034">
        <v>44018</v>
      </c>
      <c r="C3" s="2035" t="s">
        <v>1774</v>
      </c>
      <c r="D3" s="2034">
        <f>B3</f>
        <v>44018</v>
      </c>
      <c r="E3" s="2024"/>
      <c r="F3" s="2024"/>
      <c r="G3" s="2024"/>
      <c r="H3" s="2024"/>
      <c r="I3" s="2024"/>
      <c r="J3" s="2024"/>
      <c r="K3" s="2025"/>
      <c r="L3" s="2026"/>
      <c r="M3" s="2026"/>
      <c r="N3" s="2027"/>
      <c r="O3" s="2028"/>
      <c r="P3" s="2027"/>
      <c r="Q3" s="2027"/>
      <c r="R3" s="2027"/>
      <c r="S3" s="2029"/>
    </row>
    <row r="4" spans="1:19" ht="18" customHeight="1" thickBot="1">
      <c r="A4" s="2036" t="s">
        <v>1775</v>
      </c>
      <c r="B4" s="2037" t="s">
        <v>3043</v>
      </c>
      <c r="C4" s="1037">
        <f ca="1">SUMIF(注册房地产估价师,B4,估价师及机构信息!B3:B24)</f>
        <v>0</v>
      </c>
      <c r="D4" s="2037" t="s">
        <v>3044</v>
      </c>
      <c r="E4" s="1038">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吴薇（注册号：0)、崔锴（注册号：1120100036)</v>
      </c>
      <c r="L4" s="2026"/>
      <c r="M4" s="2026"/>
      <c r="N4" s="2027"/>
      <c r="O4" s="2028"/>
      <c r="P4" s="2027"/>
      <c r="Q4" s="2027"/>
      <c r="R4" s="2027"/>
      <c r="S4" s="2029"/>
    </row>
    <row r="5" spans="1:19" ht="18" customHeight="1" thickTop="1">
      <c r="A5" s="2042" t="s">
        <v>1776</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1777</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1778</v>
      </c>
      <c r="B7" s="2051"/>
      <c r="C7" s="2048"/>
      <c r="D7" s="2049"/>
      <c r="E7" s="2032"/>
      <c r="F7" s="2040"/>
      <c r="G7" s="2040"/>
      <c r="H7" s="2040"/>
      <c r="I7" s="2040"/>
      <c r="J7" s="2040"/>
      <c r="K7" s="2052"/>
      <c r="L7" s="2026"/>
      <c r="M7" s="2026"/>
      <c r="N7" s="2027"/>
      <c r="O7" s="2028"/>
      <c r="P7" s="2027"/>
      <c r="Q7" s="2027"/>
      <c r="R7" s="2027"/>
    </row>
    <row r="8" spans="1:19" ht="18" customHeight="1">
      <c r="A8" s="2046" t="s">
        <v>1779</v>
      </c>
      <c r="B8" s="2053" t="s">
        <v>3045</v>
      </c>
      <c r="C8" s="2054"/>
      <c r="D8" s="3025" t="s">
        <v>1780</v>
      </c>
      <c r="E8" s="2055" t="s">
        <v>3046</v>
      </c>
      <c r="F8" s="2056"/>
      <c r="G8" s="2024"/>
      <c r="H8" s="2024"/>
      <c r="I8" s="2024"/>
      <c r="J8" s="2040"/>
      <c r="K8" s="2041"/>
      <c r="L8" s="2026"/>
      <c r="M8" s="2026"/>
      <c r="N8" s="2027"/>
      <c r="O8" s="2028"/>
      <c r="P8" s="2027"/>
      <c r="Q8" s="2027"/>
      <c r="R8" s="2027"/>
    </row>
    <row r="9" spans="1:19" ht="18" customHeight="1" thickBot="1">
      <c r="A9" s="2038" t="s">
        <v>1781</v>
      </c>
      <c r="B9" s="2057" t="s">
        <v>3046</v>
      </c>
      <c r="C9" s="2058"/>
      <c r="D9" s="3026"/>
      <c r="E9" s="2057" t="s">
        <v>70</v>
      </c>
      <c r="F9" s="2059"/>
      <c r="G9" s="2060"/>
      <c r="H9" s="2060"/>
      <c r="I9" s="2060"/>
      <c r="J9" s="2040"/>
      <c r="K9" s="2052"/>
      <c r="L9" s="2026"/>
      <c r="M9" s="2026"/>
      <c r="N9" s="2027"/>
      <c r="O9" s="2028"/>
      <c r="P9" s="2027"/>
      <c r="Q9" s="2027"/>
      <c r="R9" s="2027"/>
    </row>
    <row r="10" spans="1:19" ht="18" customHeight="1" thickTop="1">
      <c r="A10" s="2061" t="s">
        <v>1782</v>
      </c>
      <c r="B10" s="2062" t="s">
        <v>3047</v>
      </c>
      <c r="C10" s="2948" t="s">
        <v>3048</v>
      </c>
      <c r="D10" s="2045"/>
      <c r="E10" s="2063" t="s">
        <v>1783</v>
      </c>
      <c r="F10" s="2949" t="s">
        <v>3689</v>
      </c>
      <c r="G10" s="2064"/>
      <c r="H10" s="2065"/>
      <c r="I10" s="2045"/>
      <c r="J10" s="2040"/>
      <c r="K10" s="2052"/>
      <c r="L10" s="2026"/>
      <c r="M10" s="2026"/>
      <c r="N10" s="2027"/>
      <c r="O10" s="2028"/>
      <c r="P10" s="2027"/>
      <c r="Q10" s="2027"/>
      <c r="R10" s="2027"/>
    </row>
    <row r="11" spans="1:19" ht="18" customHeight="1">
      <c r="A11" s="2066" t="s">
        <v>1784</v>
      </c>
      <c r="B11" s="2067" t="s">
        <v>3049</v>
      </c>
      <c r="C11" s="2950" t="s">
        <v>3690</v>
      </c>
      <c r="D11" s="2068"/>
      <c r="E11" s="2040"/>
      <c r="F11" s="2040"/>
      <c r="G11" s="2040"/>
      <c r="H11" s="2040"/>
      <c r="I11" s="2040"/>
      <c r="J11" s="2040"/>
      <c r="K11" s="2052"/>
      <c r="L11" s="2026"/>
      <c r="M11" s="2026"/>
      <c r="N11" s="2027"/>
      <c r="O11" s="2028"/>
      <c r="P11" s="2027"/>
      <c r="Q11" s="2027"/>
      <c r="R11" s="2027"/>
    </row>
    <row r="12" spans="1:19" ht="18" customHeight="1">
      <c r="A12" s="2069" t="s">
        <v>1785</v>
      </c>
      <c r="B12" s="2067" t="s">
        <v>3051</v>
      </c>
      <c r="C12" s="2070" t="s">
        <v>1786</v>
      </c>
      <c r="D12" s="2071" t="s">
        <v>1787</v>
      </c>
      <c r="E12" s="2071" t="s">
        <v>1788</v>
      </c>
      <c r="F12" s="2071" t="s">
        <v>1789</v>
      </c>
      <c r="G12" s="2071" t="s">
        <v>1790</v>
      </c>
      <c r="H12" s="2071" t="s">
        <v>1791</v>
      </c>
      <c r="I12" s="2071" t="s">
        <v>1792</v>
      </c>
      <c r="J12" s="2040"/>
      <c r="K12" s="2052"/>
      <c r="L12" s="2026"/>
      <c r="M12" s="2026"/>
      <c r="N12" s="2027"/>
      <c r="O12" s="2028"/>
      <c r="P12" s="2027"/>
      <c r="Q12" s="2027"/>
      <c r="R12" s="2027"/>
    </row>
    <row r="13" spans="1:19" ht="18" customHeight="1">
      <c r="A13" s="2072"/>
      <c r="B13" s="2073"/>
      <c r="C13" s="2074" t="s">
        <v>1793</v>
      </c>
      <c r="D13" s="2075">
        <v>69509</v>
      </c>
      <c r="E13" s="2075">
        <v>58552</v>
      </c>
      <c r="F13" s="2075"/>
      <c r="G13" s="2075"/>
      <c r="H13" s="2075"/>
      <c r="I13" s="1047"/>
      <c r="J13" s="2040"/>
      <c r="K13" s="2052"/>
      <c r="L13" s="2026"/>
      <c r="M13" s="2026"/>
      <c r="N13" s="2027"/>
      <c r="O13" s="2028"/>
      <c r="P13" s="2027"/>
      <c r="Q13" s="2027"/>
      <c r="R13" s="2027"/>
    </row>
    <row r="14" spans="1:19" ht="18" customHeight="1">
      <c r="A14" s="2072"/>
      <c r="B14" s="2073"/>
      <c r="C14" s="2074" t="s">
        <v>1794</v>
      </c>
      <c r="D14" s="1050">
        <v>70</v>
      </c>
      <c r="E14" s="1050">
        <v>40</v>
      </c>
      <c r="F14" s="1050"/>
      <c r="G14" s="1050"/>
      <c r="H14" s="1050"/>
      <c r="I14" s="1050"/>
      <c r="J14" s="2040"/>
      <c r="K14" s="2076"/>
      <c r="L14" s="2026"/>
      <c r="M14" s="2026"/>
      <c r="N14" s="2027"/>
      <c r="O14" s="2028"/>
      <c r="P14" s="2027"/>
      <c r="Q14" s="2027"/>
      <c r="R14" s="2027"/>
    </row>
    <row r="15" spans="1:19" ht="18" customHeight="1">
      <c r="A15" s="2061"/>
      <c r="B15" s="2077"/>
      <c r="C15" s="2074" t="s">
        <v>1795</v>
      </c>
      <c r="D15" s="1049">
        <f>IF(B12="出让",IF(D13="","",ROUNDDOWN(MIN((D13-$D$3)/365,D14),2)),D14)</f>
        <v>69.83</v>
      </c>
      <c r="E15" s="1049">
        <f>IF(B12="出让",IF(E13="","",ROUNDDOWN(MIN((E13-$D$3)/365,E14),2)),E14)</f>
        <v>39.81</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78"/>
      <c r="L15" s="2079"/>
      <c r="M15" s="2079"/>
      <c r="N15" s="2080"/>
      <c r="O15" s="2079"/>
      <c r="P15" s="2080"/>
      <c r="Q15" s="2027"/>
      <c r="R15" s="2027"/>
    </row>
    <row r="16" spans="1:19" ht="30.75" customHeight="1">
      <c r="A16" s="2063" t="s">
        <v>1796</v>
      </c>
      <c r="B16" s="3032"/>
      <c r="C16" s="3033"/>
      <c r="D16" s="3034"/>
      <c r="E16" s="2081" t="s">
        <v>1797</v>
      </c>
      <c r="F16" s="3035"/>
      <c r="G16" s="3036"/>
      <c r="H16" s="3036"/>
      <c r="I16" s="3037"/>
      <c r="J16" s="2027"/>
      <c r="K16" s="2078"/>
      <c r="L16" s="2079"/>
      <c r="M16" s="2079"/>
      <c r="N16" s="2080"/>
      <c r="O16" s="2079"/>
      <c r="P16" s="2080"/>
      <c r="Q16" s="2027"/>
      <c r="R16" s="2027"/>
    </row>
    <row r="17" spans="1:22" ht="18" customHeight="1">
      <c r="A17" s="2082" t="s">
        <v>1798</v>
      </c>
      <c r="B17" s="2033" t="s">
        <v>1799</v>
      </c>
      <c r="C17" s="1054">
        <f>'数据-汇总表'!E3</f>
        <v>53306.400000000001</v>
      </c>
      <c r="D17" s="2083" t="s">
        <v>1800</v>
      </c>
      <c r="E17" s="3038" t="s">
        <v>3053</v>
      </c>
      <c r="F17" s="3039"/>
      <c r="G17" s="3039"/>
      <c r="H17" s="3039"/>
      <c r="I17" s="3040"/>
      <c r="J17" s="2027"/>
      <c r="K17" s="2084"/>
      <c r="L17" s="2079"/>
      <c r="M17" s="2079"/>
      <c r="N17" s="2080"/>
      <c r="O17" s="2079"/>
      <c r="P17" s="2080"/>
      <c r="Q17" s="2027"/>
      <c r="R17" s="2027"/>
      <c r="S17" s="2027"/>
      <c r="T17" s="2027"/>
      <c r="U17" s="2027"/>
      <c r="V17" s="2027"/>
    </row>
    <row r="18" spans="1:22" ht="36" customHeight="1" thickBot="1">
      <c r="A18" s="2085" t="s">
        <v>70</v>
      </c>
      <c r="B18" s="2036" t="s">
        <v>1801</v>
      </c>
      <c r="C18" s="1444">
        <f>'数据-汇总表'!D3</f>
        <v>21322.59</v>
      </c>
      <c r="D18" s="2086" t="s">
        <v>1800</v>
      </c>
      <c r="E18" s="3041" t="s">
        <v>3054</v>
      </c>
      <c r="F18" s="3042"/>
      <c r="G18" s="3042"/>
      <c r="H18" s="3042"/>
      <c r="I18" s="3043"/>
      <c r="J18" s="2027"/>
      <c r="K18" s="2084"/>
      <c r="L18" s="2079"/>
      <c r="M18" s="2079"/>
      <c r="N18" s="2080"/>
      <c r="O18" s="2079"/>
      <c r="P18" s="2080"/>
      <c r="Q18" s="2027"/>
      <c r="R18" s="2027"/>
      <c r="S18" s="2027"/>
      <c r="T18" s="2027"/>
      <c r="U18" s="2027"/>
      <c r="V18" s="2027"/>
    </row>
    <row r="19" spans="1:22" ht="37.5" customHeight="1" thickTop="1" thickBot="1">
      <c r="A19" s="373" t="s">
        <v>1802</v>
      </c>
      <c r="B19" s="352" t="s">
        <v>1803</v>
      </c>
      <c r="C19" s="2951" t="s">
        <v>3056</v>
      </c>
      <c r="D19" s="2087" t="s">
        <v>1804</v>
      </c>
      <c r="E19" s="2088" t="s">
        <v>3056</v>
      </c>
      <c r="F19" s="2089" t="str">
        <f>IF(AND(C19="是",E19="否"),"是否提供他项权证或相关说明","")</f>
        <v/>
      </c>
      <c r="G19" s="2090" t="s">
        <v>70</v>
      </c>
      <c r="H19" s="2040"/>
      <c r="I19" s="2040"/>
      <c r="J19" s="2040"/>
      <c r="K19" s="2052"/>
      <c r="L19" s="2026"/>
      <c r="M19" s="2026"/>
      <c r="N19" s="2080"/>
      <c r="O19" s="2079"/>
      <c r="P19" s="2080"/>
      <c r="Q19" s="2027"/>
      <c r="R19" s="2027"/>
      <c r="S19" s="2027"/>
      <c r="T19" s="2027"/>
      <c r="U19" s="2027"/>
      <c r="V19" s="2027"/>
    </row>
    <row r="20" spans="1:22" ht="18" customHeight="1">
      <c r="A20" s="2091" t="s">
        <v>1805</v>
      </c>
      <c r="B20" s="3028" t="s">
        <v>1806</v>
      </c>
      <c r="C20" s="3029"/>
      <c r="D20" s="3030" t="s">
        <v>1807</v>
      </c>
      <c r="E20" s="3031"/>
      <c r="F20" s="2092" t="s">
        <v>1808</v>
      </c>
      <c r="G20" s="2040"/>
      <c r="H20" s="2040"/>
      <c r="I20" s="2040"/>
      <c r="J20" s="2040"/>
      <c r="K20" s="3027" t="s">
        <v>1809</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6"/>
      <c r="N20" s="2080"/>
      <c r="O20" s="2079"/>
      <c r="P20" s="2080"/>
      <c r="Q20" s="2027"/>
      <c r="R20" s="2027"/>
      <c r="S20" s="2027"/>
      <c r="T20" s="2027"/>
      <c r="U20" s="2027"/>
      <c r="V20" s="2027"/>
    </row>
    <row r="21" spans="1:22" ht="24.75" customHeight="1">
      <c r="A21" s="2091"/>
      <c r="B21" s="2093" t="s">
        <v>3052</v>
      </c>
      <c r="C21" s="2094" t="s">
        <v>3057</v>
      </c>
      <c r="D21" s="2095"/>
      <c r="E21" s="2096"/>
      <c r="F21" s="2097"/>
      <c r="G21" s="2040"/>
      <c r="H21" s="2040"/>
      <c r="I21" s="2040"/>
      <c r="J21" s="2040"/>
      <c r="K21" s="302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80"/>
      <c r="O21" s="2079"/>
      <c r="P21" s="2080"/>
      <c r="Q21" s="2027"/>
      <c r="R21" s="2027"/>
      <c r="S21" s="2027"/>
      <c r="T21" s="2027"/>
      <c r="U21" s="2027"/>
      <c r="V21" s="2027"/>
    </row>
    <row r="22" spans="1:22" ht="24.75" customHeight="1" thickBot="1">
      <c r="A22" s="2091"/>
      <c r="B22" s="2098"/>
      <c r="C22" s="2094"/>
      <c r="D22" s="2024"/>
      <c r="E22" s="2024"/>
      <c r="F22" s="2099"/>
      <c r="G22" s="2040"/>
      <c r="H22" s="2040"/>
      <c r="I22" s="2040"/>
      <c r="J22" s="2040"/>
      <c r="K22" s="302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0" t="s">
        <v>1810</v>
      </c>
      <c r="B23" s="183" t="s">
        <v>1811</v>
      </c>
      <c r="C23" s="2101"/>
      <c r="D23" s="2102" t="s">
        <v>1811</v>
      </c>
      <c r="E23" s="2103"/>
      <c r="F23" s="2099"/>
      <c r="G23" s="2040"/>
      <c r="H23" s="2040"/>
      <c r="I23" s="2040"/>
      <c r="J23" s="2040"/>
      <c r="K23" s="2104"/>
      <c r="L23" s="748"/>
      <c r="M23" s="2026"/>
      <c r="N23" s="2080"/>
      <c r="O23" s="2079"/>
      <c r="P23" s="2080"/>
      <c r="Q23" s="2027"/>
      <c r="R23" s="2027"/>
      <c r="S23" s="2027"/>
      <c r="T23" s="2027"/>
      <c r="U23" s="2027"/>
      <c r="V23" s="2027"/>
    </row>
    <row r="24" spans="1:22" ht="18" customHeight="1">
      <c r="A24" s="2105"/>
      <c r="B24" s="183" t="s">
        <v>1812</v>
      </c>
      <c r="C24" s="2106"/>
      <c r="D24" s="2100" t="s">
        <v>1812</v>
      </c>
      <c r="E24" s="2107"/>
      <c r="F24" s="2099"/>
      <c r="G24" s="2040"/>
      <c r="H24" s="2040"/>
      <c r="I24" s="2040"/>
      <c r="J24" s="2040"/>
      <c r="K24" s="2104"/>
      <c r="L24" s="748"/>
      <c r="M24" s="2026"/>
      <c r="N24" s="2080"/>
      <c r="O24" s="2079"/>
      <c r="P24" s="2080"/>
      <c r="Q24" s="2027"/>
      <c r="R24" s="2027"/>
      <c r="S24" s="2027"/>
      <c r="T24" s="2027"/>
      <c r="U24" s="2027"/>
      <c r="V24" s="2027"/>
    </row>
    <row r="25" spans="1:22" ht="18" customHeight="1">
      <c r="A25" s="2105"/>
      <c r="B25" s="183" t="s">
        <v>1813</v>
      </c>
      <c r="C25" s="2106"/>
      <c r="D25" s="2100" t="s">
        <v>1813</v>
      </c>
      <c r="E25" s="2107"/>
      <c r="F25" s="2099"/>
      <c r="G25" s="2040"/>
      <c r="H25" s="2040"/>
      <c r="I25" s="2040"/>
      <c r="J25" s="2040"/>
      <c r="K25" s="2052"/>
      <c r="L25" s="2026"/>
      <c r="M25" s="2026"/>
      <c r="N25" s="2080"/>
      <c r="O25" s="2079"/>
      <c r="P25" s="2080"/>
      <c r="Q25" s="2027"/>
      <c r="R25" s="2027"/>
      <c r="S25" s="2027"/>
      <c r="T25" s="2027"/>
      <c r="U25" s="2027"/>
      <c r="V25" s="2027"/>
    </row>
    <row r="26" spans="1:22" ht="18" customHeight="1" thickBot="1">
      <c r="A26" s="2108"/>
      <c r="B26" s="2109" t="s">
        <v>1814</v>
      </c>
      <c r="C26" s="2110"/>
      <c r="D26" s="2111" t="s">
        <v>1815</v>
      </c>
      <c r="E26" s="2112"/>
      <c r="F26" s="2113"/>
      <c r="G26" s="2060"/>
      <c r="H26" s="2060"/>
      <c r="I26" s="2060"/>
      <c r="J26" s="2040"/>
      <c r="K26" s="2052"/>
      <c r="L26" s="2026"/>
      <c r="M26" s="2026"/>
      <c r="N26" s="2080"/>
      <c r="O26" s="2079"/>
      <c r="P26" s="2080"/>
      <c r="Q26" s="2027"/>
      <c r="R26" s="2027"/>
      <c r="S26" s="2027"/>
      <c r="T26" s="2027"/>
      <c r="U26" s="2027"/>
      <c r="V26" s="2027"/>
    </row>
    <row r="27" spans="1:22" ht="18" customHeight="1" thickTop="1">
      <c r="A27" s="3045" t="s">
        <v>1816</v>
      </c>
      <c r="B27" s="2061" t="s">
        <v>1817</v>
      </c>
      <c r="C27" s="2114" t="s">
        <v>3058</v>
      </c>
      <c r="D27" s="2115"/>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45"/>
      <c r="B28" s="2033" t="s">
        <v>1818</v>
      </c>
      <c r="C28" s="2116" t="s">
        <v>3059</v>
      </c>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45"/>
      <c r="B29" s="2033" t="s">
        <v>1819</v>
      </c>
      <c r="C29" s="2119" t="s">
        <v>3056</v>
      </c>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46"/>
      <c r="B30" s="2033" t="s">
        <v>1820</v>
      </c>
      <c r="C30" s="3047"/>
      <c r="D30" s="3048"/>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049" t="s">
        <v>1821</v>
      </c>
      <c r="B31" s="2121" t="s">
        <v>3060</v>
      </c>
      <c r="C31" s="2122" t="str">
        <f>IF(B31="现房","成新及维护状况正常否",IF(B31="在建","工程状态是否正常",IF(B31="土地","是否闲置","-")))</f>
        <v>工程状态是否正常</v>
      </c>
      <c r="D31" s="2123"/>
      <c r="E31" s="2124"/>
      <c r="F31" s="2040"/>
      <c r="G31" s="2040"/>
      <c r="H31" s="2040"/>
      <c r="I31" s="2040"/>
      <c r="J31" s="2040"/>
      <c r="K31" s="2050"/>
      <c r="L31" s="2026"/>
      <c r="M31" s="2026"/>
      <c r="N31" s="2027"/>
      <c r="O31" s="2028"/>
      <c r="P31" s="2027"/>
      <c r="Q31" s="2027"/>
      <c r="R31" s="2027"/>
      <c r="S31" s="2027"/>
      <c r="T31" s="2027"/>
      <c r="U31" s="2027"/>
      <c r="V31" s="2027"/>
    </row>
    <row r="32" spans="1:22" ht="18" customHeight="1">
      <c r="A32" s="3050"/>
      <c r="B32" s="2121"/>
      <c r="C32" s="2122" t="str">
        <f>IF(B32="现房","成新及维护状况是否正常",IF(B32="在建","工程状态是否正常",IF(B32="土地","是否闲置","-")))</f>
        <v>-</v>
      </c>
      <c r="D32" s="2123"/>
      <c r="E32" s="2124"/>
      <c r="F32" s="2040"/>
      <c r="G32" s="2040"/>
      <c r="H32" s="2040"/>
      <c r="I32" s="2040"/>
      <c r="J32" s="2040"/>
      <c r="K32" s="2052"/>
      <c r="L32" s="2026"/>
      <c r="M32" s="2026"/>
      <c r="N32" s="2027"/>
      <c r="O32" s="2028"/>
      <c r="P32" s="2027"/>
      <c r="Q32" s="2027"/>
      <c r="R32" s="2027"/>
      <c r="S32" s="2027"/>
      <c r="T32" s="2027"/>
      <c r="U32" s="2027"/>
      <c r="V32" s="2027"/>
    </row>
    <row r="33" spans="1:22" ht="18" customHeight="1">
      <c r="A33" s="3050"/>
      <c r="B33" s="2125"/>
      <c r="C33" s="2066" t="str">
        <f>IF(B33="现房","成新及维护状况是否正常",IF(B33="在建","工程状态是否正常",IF(B33="土地","是否闲置","-")))</f>
        <v>-</v>
      </c>
      <c r="D33" s="2126"/>
      <c r="E33" s="2127"/>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1822</v>
      </c>
      <c r="B34" s="2128" t="s">
        <v>3061</v>
      </c>
      <c r="C34" s="2128" t="s">
        <v>3062</v>
      </c>
      <c r="D34" s="2128" t="s">
        <v>3063</v>
      </c>
      <c r="E34" s="2128" t="s">
        <v>3064</v>
      </c>
      <c r="F34" s="2128" t="s">
        <v>3065</v>
      </c>
      <c r="G34" s="2128" t="s">
        <v>3066</v>
      </c>
      <c r="H34" s="2128" t="s">
        <v>3066</v>
      </c>
      <c r="I34" s="2040"/>
      <c r="J34" s="2040"/>
      <c r="K34" s="1794">
        <f>COUNTIF(B34:H34,"——")</f>
        <v>0</v>
      </c>
      <c r="L34" s="2070" t="s">
        <v>1823</v>
      </c>
      <c r="M34" s="2070" t="s">
        <v>1824</v>
      </c>
      <c r="N34" s="2070" t="s">
        <v>1825</v>
      </c>
      <c r="O34" s="2070" t="s">
        <v>1826</v>
      </c>
      <c r="P34" s="2070" t="s">
        <v>1827</v>
      </c>
      <c r="Q34" s="2070" t="s">
        <v>1828</v>
      </c>
      <c r="R34" s="2070" t="s">
        <v>1829</v>
      </c>
      <c r="S34" s="3044" t="s">
        <v>1830</v>
      </c>
      <c r="T34" s="2129" t="str">
        <f>NUMBERSTRING(7-K34,1)&amp;"通"</f>
        <v>七通</v>
      </c>
      <c r="U34" s="2027"/>
      <c r="V34" s="2027"/>
    </row>
    <row r="35" spans="1:22" ht="18" customHeight="1">
      <c r="A35" s="2130"/>
      <c r="B35" s="3051" t="s">
        <v>1831</v>
      </c>
      <c r="C35" s="3051"/>
      <c r="D35" s="3051"/>
      <c r="E35" s="3051"/>
      <c r="F35" s="2131" t="str">
        <f>C10</f>
        <v>贵州省</v>
      </c>
      <c r="G35" s="2040"/>
      <c r="H35" s="2040"/>
      <c r="I35" s="2040"/>
      <c r="J35" s="2040"/>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通路、通电、通讯、通上水、通下水、平整、平整</v>
      </c>
      <c r="S35" s="3044"/>
      <c r="T35" s="48" t="str">
        <f>IF(T34="一通",L35,IF(T34="二通",M35,IF(T34="三通",N35,IF(T34="四通",O35,IF(T34="五通",P35,IF(T34="六通",Q35,R35))))))</f>
        <v>通路、通电、通讯、通上水、通下水、平整、平整</v>
      </c>
      <c r="U35" s="2027"/>
      <c r="V35" s="2027"/>
    </row>
    <row r="36" spans="1:22" ht="18" customHeight="1">
      <c r="A36" s="2132"/>
      <c r="B36" s="2131" t="s">
        <v>1832</v>
      </c>
      <c r="C36" s="2131" t="s">
        <v>1833</v>
      </c>
      <c r="D36" s="2131" t="s">
        <v>1834</v>
      </c>
      <c r="E36" s="2131" t="s">
        <v>1835</v>
      </c>
      <c r="F36" s="2133"/>
      <c r="G36" s="2040"/>
      <c r="H36" s="2040"/>
      <c r="I36" s="2040"/>
      <c r="J36" s="2040"/>
      <c r="K36" s="2052"/>
      <c r="L36" s="2026"/>
      <c r="M36" s="2026"/>
      <c r="N36" s="2027"/>
      <c r="O36" s="2028"/>
      <c r="P36" s="2027"/>
      <c r="Q36" s="2027"/>
      <c r="R36" s="2027"/>
      <c r="S36" s="2027"/>
      <c r="T36" s="2027"/>
      <c r="U36" s="2027"/>
      <c r="V36" s="2027"/>
    </row>
    <row r="37" spans="1:22" ht="18" customHeight="1">
      <c r="A37" s="2134" t="s">
        <v>1836</v>
      </c>
      <c r="B37" s="2135"/>
      <c r="C37" s="2135"/>
      <c r="D37" s="2135"/>
      <c r="E37" s="2135"/>
      <c r="F37" s="2133"/>
      <c r="G37" s="2040"/>
      <c r="H37" s="2040"/>
      <c r="I37" s="2040"/>
      <c r="J37" s="2040"/>
      <c r="K37" s="2052"/>
      <c r="L37" s="2026"/>
      <c r="M37" s="2026"/>
      <c r="N37" s="2027"/>
      <c r="O37" s="2028"/>
      <c r="P37" s="2027"/>
      <c r="Q37" s="2027"/>
      <c r="R37" s="2027"/>
      <c r="S37" s="2027"/>
      <c r="T37" s="2027"/>
      <c r="U37" s="2027"/>
      <c r="V37" s="2027"/>
    </row>
    <row r="38" spans="1:22" ht="18" customHeight="1" thickBot="1">
      <c r="A38" s="2136" t="s">
        <v>1837</v>
      </c>
      <c r="B38" s="2137"/>
      <c r="C38" s="2137"/>
      <c r="D38" s="2137"/>
      <c r="E38" s="2137"/>
      <c r="F38" s="2138"/>
      <c r="G38" s="2060"/>
      <c r="H38" s="2060"/>
      <c r="I38" s="2060"/>
      <c r="J38" s="2040"/>
      <c r="K38" s="2052"/>
      <c r="L38" s="2026"/>
      <c r="M38" s="2026"/>
      <c r="N38" s="2027"/>
      <c r="O38" s="2028"/>
      <c r="P38" s="2027"/>
      <c r="Q38" s="2027"/>
      <c r="R38" s="2027"/>
      <c r="S38" s="2027"/>
      <c r="T38" s="2027"/>
      <c r="U38" s="2027"/>
      <c r="V38" s="2027"/>
    </row>
    <row r="39" spans="1:22" s="2143" customFormat="1" ht="18" customHeight="1" thickTop="1" thickBot="1">
      <c r="A39" s="2139" t="s">
        <v>1838</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80"/>
      <c r="K40" s="666"/>
      <c r="L40" s="2079"/>
      <c r="M40" s="2079"/>
      <c r="N40" s="2080"/>
      <c r="O40" s="2079"/>
      <c r="P40" s="2027"/>
      <c r="Q40" s="2027"/>
      <c r="R40" s="2027"/>
      <c r="S40" s="2027"/>
      <c r="T40" s="2027"/>
      <c r="U40" s="2027"/>
      <c r="V40" s="2027"/>
    </row>
    <row r="41" spans="1:22" ht="18" customHeight="1">
      <c r="A41" s="8" t="s">
        <v>1839</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70" t="s">
        <v>1840</v>
      </c>
      <c r="B42" s="1794" t="s">
        <v>1841</v>
      </c>
      <c r="C42" s="1794" t="s">
        <v>1842</v>
      </c>
      <c r="D42" s="1794" t="s">
        <v>1843</v>
      </c>
      <c r="E42" s="1794" t="s">
        <v>1844</v>
      </c>
      <c r="F42" s="1794" t="s">
        <v>1845</v>
      </c>
      <c r="G42" s="1794" t="s">
        <v>1846</v>
      </c>
      <c r="H42" s="1794" t="s">
        <v>1847</v>
      </c>
      <c r="I42" s="1794" t="s">
        <v>1848</v>
      </c>
      <c r="J42" s="2147" t="s">
        <v>1849</v>
      </c>
      <c r="K42" s="2071" t="s">
        <v>1850</v>
      </c>
      <c r="L42" s="2071" t="s">
        <v>1851</v>
      </c>
      <c r="M42" s="2071" t="s">
        <v>1852</v>
      </c>
      <c r="N42" s="1794" t="s">
        <v>1853</v>
      </c>
      <c r="O42" s="1794" t="s">
        <v>1854</v>
      </c>
      <c r="P42" s="1794" t="s">
        <v>1855</v>
      </c>
      <c r="Q42" s="2070" t="s">
        <v>1856</v>
      </c>
      <c r="R42" s="2070" t="s">
        <v>1857</v>
      </c>
      <c r="S42" s="2027"/>
      <c r="T42" s="2027"/>
      <c r="U42" s="2027"/>
      <c r="V42" s="2027"/>
    </row>
    <row r="43" spans="1:22" s="2152" customFormat="1" ht="18" customHeight="1">
      <c r="A43" s="2148"/>
      <c r="B43" s="1272"/>
      <c r="C43" s="1272"/>
      <c r="D43" s="1272"/>
      <c r="E43" s="1272"/>
      <c r="F43" s="1272"/>
      <c r="G43" s="1272"/>
      <c r="H43" s="9"/>
      <c r="I43" s="9"/>
      <c r="J43" s="2149"/>
      <c r="K43" s="2150"/>
      <c r="L43" s="2150"/>
      <c r="M43" s="9"/>
      <c r="N43" s="1272"/>
      <c r="O43" s="9"/>
      <c r="P43" s="1272"/>
      <c r="Q43" s="1272"/>
      <c r="R43" s="1272"/>
      <c r="S43" s="2151"/>
      <c r="T43" s="2151"/>
      <c r="U43" s="2151"/>
      <c r="V43" s="2151"/>
    </row>
    <row r="44" spans="1:22" s="2152" customFormat="1" ht="18" customHeight="1">
      <c r="A44" s="2148"/>
      <c r="B44" s="2148"/>
      <c r="C44" s="1272"/>
      <c r="D44" s="1272"/>
      <c r="E44" s="1272"/>
      <c r="F44" s="1272"/>
      <c r="G44" s="1272"/>
      <c r="H44" s="9"/>
      <c r="I44" s="9"/>
      <c r="J44" s="2149"/>
      <c r="K44" s="2150"/>
      <c r="L44" s="2150"/>
      <c r="M44" s="9"/>
      <c r="N44" s="1272"/>
      <c r="O44" s="9"/>
      <c r="P44" s="1272"/>
      <c r="Q44" s="1272"/>
      <c r="R44" s="1272"/>
      <c r="S44" s="2151"/>
      <c r="T44" s="2151"/>
      <c r="U44" s="2151"/>
      <c r="V44" s="2151"/>
    </row>
    <row r="45" spans="1:22" s="2152" customFormat="1" ht="18" customHeight="1">
      <c r="A45" s="2148"/>
      <c r="B45" s="2148"/>
      <c r="C45" s="1272"/>
      <c r="D45" s="1272"/>
      <c r="E45" s="1272"/>
      <c r="F45" s="1272"/>
      <c r="G45" s="1272"/>
      <c r="H45" s="9"/>
      <c r="I45" s="9"/>
      <c r="J45" s="2149"/>
      <c r="K45" s="2150"/>
      <c r="L45" s="2150"/>
      <c r="M45" s="9"/>
      <c r="N45" s="1272"/>
      <c r="O45" s="9"/>
      <c r="P45" s="1272"/>
      <c r="Q45" s="1272"/>
      <c r="R45" s="1272"/>
      <c r="S45" s="2151"/>
      <c r="T45" s="2151"/>
      <c r="U45" s="2151"/>
      <c r="V45" s="2151"/>
    </row>
    <row r="46" spans="1:22" s="2152" customFormat="1" ht="18" customHeight="1">
      <c r="A46" s="2148"/>
      <c r="B46" s="2148"/>
      <c r="C46" s="1272"/>
      <c r="D46" s="1272"/>
      <c r="E46" s="1272"/>
      <c r="F46" s="1272"/>
      <c r="G46" s="1272"/>
      <c r="H46" s="9"/>
      <c r="I46" s="9"/>
      <c r="J46" s="2149"/>
      <c r="K46" s="2150"/>
      <c r="L46" s="2150"/>
      <c r="M46" s="9"/>
      <c r="N46" s="1272"/>
      <c r="O46" s="9"/>
      <c r="P46" s="1272"/>
      <c r="Q46" s="1272"/>
      <c r="R46" s="1272"/>
      <c r="S46" s="2151"/>
      <c r="T46" s="2151"/>
      <c r="U46" s="2151"/>
      <c r="V46" s="2151"/>
    </row>
    <row r="47" spans="1:22" s="2152" customFormat="1" ht="18" customHeight="1">
      <c r="A47" s="2148"/>
      <c r="B47" s="2148"/>
      <c r="C47" s="1272"/>
      <c r="D47" s="1272"/>
      <c r="E47" s="1272"/>
      <c r="F47" s="1272"/>
      <c r="G47" s="1272"/>
      <c r="H47" s="9"/>
      <c r="I47" s="9"/>
      <c r="J47" s="2149"/>
      <c r="K47" s="2150"/>
      <c r="L47" s="2150"/>
      <c r="M47" s="9"/>
      <c r="N47" s="1272"/>
      <c r="O47" s="9"/>
      <c r="P47" s="1272"/>
      <c r="Q47" s="1272"/>
      <c r="R47" s="1272"/>
      <c r="S47" s="2151"/>
      <c r="T47" s="2151"/>
      <c r="U47" s="2151"/>
      <c r="V47" s="2151"/>
    </row>
    <row r="48" spans="1:22" s="2152" customFormat="1" ht="18" customHeight="1">
      <c r="A48" s="2148"/>
      <c r="B48" s="2148"/>
      <c r="C48" s="1272"/>
      <c r="D48" s="1272"/>
      <c r="E48" s="1272"/>
      <c r="F48" s="1272"/>
      <c r="G48" s="1272"/>
      <c r="H48" s="9"/>
      <c r="I48" s="9"/>
      <c r="J48" s="2149"/>
      <c r="K48" s="2150"/>
      <c r="L48" s="2150"/>
      <c r="M48" s="9"/>
      <c r="N48" s="1272"/>
      <c r="O48" s="9"/>
      <c r="P48" s="1272"/>
      <c r="Q48" s="1272"/>
      <c r="R48" s="1272"/>
      <c r="S48" s="2151"/>
      <c r="T48" s="2151"/>
      <c r="U48" s="2151"/>
      <c r="V48" s="2151"/>
    </row>
    <row r="49" spans="1:22" s="2152" customFormat="1" ht="18" customHeight="1">
      <c r="A49" s="2148"/>
      <c r="B49" s="2148"/>
      <c r="C49" s="1272"/>
      <c r="D49" s="1272"/>
      <c r="E49" s="1272"/>
      <c r="F49" s="1272"/>
      <c r="G49" s="1272"/>
      <c r="H49" s="9"/>
      <c r="I49" s="9"/>
      <c r="J49" s="2149"/>
      <c r="K49" s="2150"/>
      <c r="L49" s="2150"/>
      <c r="M49" s="9"/>
      <c r="N49" s="1272"/>
      <c r="O49" s="9"/>
      <c r="P49" s="1272"/>
      <c r="Q49" s="1272"/>
      <c r="R49" s="1272"/>
      <c r="S49" s="2151"/>
      <c r="T49" s="2151"/>
      <c r="U49" s="2151"/>
      <c r="V49" s="2151"/>
    </row>
    <row r="50" spans="1:22" s="2152" customFormat="1" ht="18" customHeight="1">
      <c r="A50" s="2148"/>
      <c r="B50" s="2148"/>
      <c r="C50" s="1272"/>
      <c r="D50" s="1272"/>
      <c r="E50" s="1272"/>
      <c r="F50" s="1272"/>
      <c r="G50" s="1272"/>
      <c r="H50" s="9"/>
      <c r="I50" s="9"/>
      <c r="J50" s="2149"/>
      <c r="K50" s="2150"/>
      <c r="L50" s="2150"/>
      <c r="M50" s="9"/>
      <c r="N50" s="1272"/>
      <c r="O50" s="9"/>
      <c r="P50" s="1272"/>
      <c r="Q50" s="1272"/>
      <c r="R50" s="1272"/>
      <c r="S50" s="2151"/>
      <c r="T50" s="2151"/>
      <c r="U50" s="2151"/>
      <c r="V50" s="2151"/>
    </row>
    <row r="51" spans="1:22" s="2152" customFormat="1" ht="18" customHeight="1">
      <c r="A51" s="2148"/>
      <c r="B51" s="2148"/>
      <c r="C51" s="1272"/>
      <c r="D51" s="1272"/>
      <c r="E51" s="1272"/>
      <c r="F51" s="1272"/>
      <c r="G51" s="1272"/>
      <c r="H51" s="9"/>
      <c r="I51" s="9"/>
      <c r="J51" s="2149"/>
      <c r="K51" s="2150"/>
      <c r="L51" s="2150"/>
      <c r="M51" s="9"/>
      <c r="N51" s="1272"/>
      <c r="O51" s="9"/>
      <c r="P51" s="1272"/>
      <c r="Q51" s="1272"/>
      <c r="R51" s="1272"/>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5" sqref="I25"/>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1858</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1859</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1860</v>
      </c>
      <c r="B2" s="11" t="s">
        <v>1861</v>
      </c>
      <c r="C2" s="11" t="s">
        <v>1862</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9" t="s">
        <v>1863</v>
      </c>
      <c r="AZ2" s="1270" t="s">
        <v>1864</v>
      </c>
      <c r="BA2" s="11" t="s">
        <v>1865</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21322.59</v>
      </c>
      <c r="B3" s="14">
        <f>IF(C3="否",G5-AT5,G5)</f>
        <v>53306.400000000001</v>
      </c>
      <c r="C3" s="2163" t="s">
        <v>3055</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1"/>
      <c r="AZ3" s="1272"/>
      <c r="BA3" s="1273"/>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1866</v>
      </c>
      <c r="B5" s="1802"/>
      <c r="C5" s="1802"/>
      <c r="D5" s="1805"/>
      <c r="E5" s="16" t="s">
        <v>1</v>
      </c>
      <c r="F5" s="16">
        <f>SUM(F13:F587)</f>
        <v>0</v>
      </c>
      <c r="G5" s="16">
        <f>SUM(G13:G587)</f>
        <v>53306.400000000001</v>
      </c>
      <c r="H5" s="16">
        <f t="shared" ref="H5:AT5" si="0">SUM(H13:H656)</f>
        <v>53306.400000000001</v>
      </c>
      <c r="I5" s="16">
        <f t="shared" si="0"/>
        <v>42645.120000000003</v>
      </c>
      <c r="J5" s="16">
        <f t="shared" si="0"/>
        <v>0</v>
      </c>
      <c r="K5" s="16">
        <f t="shared" si="0"/>
        <v>10661.28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1866</v>
      </c>
      <c r="AW5" s="1802"/>
      <c r="AX5" s="1802"/>
      <c r="AY5" s="17" t="s">
        <v>3</v>
      </c>
      <c r="AZ5" s="18">
        <f t="shared" ref="AZ5:BT5" si="1">SUM(AZ13:AZ656)</f>
        <v>53306.400000000001</v>
      </c>
      <c r="BA5" s="18">
        <f t="shared" si="1"/>
        <v>53306.400000000001</v>
      </c>
      <c r="BB5" s="18">
        <f t="shared" si="1"/>
        <v>42645.120000000003</v>
      </c>
      <c r="BC5" s="18">
        <f t="shared" si="1"/>
        <v>10661.28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1867</v>
      </c>
      <c r="B6" s="2169"/>
      <c r="C6" s="2169"/>
      <c r="D6" s="2170"/>
      <c r="E6" s="16">
        <f>H6+AC6+AT6</f>
        <v>21322.59</v>
      </c>
      <c r="F6" s="16" t="s">
        <v>1</v>
      </c>
      <c r="G6" s="16" t="s">
        <v>2</v>
      </c>
      <c r="H6" s="20">
        <f>SUMIF(I$12:AB$12,"总值",I6:AB6)</f>
        <v>21322.59</v>
      </c>
      <c r="I6" s="16">
        <f t="shared" ref="I6:AB6" si="2">ROUND($A$3*I5/$B$3,2)</f>
        <v>17058.07</v>
      </c>
      <c r="J6" s="16">
        <f t="shared" si="2"/>
        <v>0</v>
      </c>
      <c r="K6" s="16">
        <f t="shared" si="2"/>
        <v>4264.5200000000004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1867</v>
      </c>
      <c r="AW6" s="2169"/>
      <c r="AX6" s="2169"/>
      <c r="AY6" s="21">
        <f>IF(AY3&gt;0,AY3,ROUND($A$3*AZ5/$B$3,2))</f>
        <v>21322.59</v>
      </c>
      <c r="AZ6" s="16" t="s">
        <v>3</v>
      </c>
      <c r="BA6" s="16">
        <f>ROUND($AY$6*BA5/$AZ$5,2)</f>
        <v>21322.59</v>
      </c>
      <c r="BB6" s="16">
        <f>ROUND($AY$6*BB5/$AZ$5,2)</f>
        <v>17058.07</v>
      </c>
      <c r="BC6" s="16">
        <f t="shared" ref="BC6:BH6" si="4">ROUND($AY$6*BC5/$AZ$5,2)</f>
        <v>4264.5200000000004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1868</v>
      </c>
      <c r="B7" s="2104" t="s">
        <v>1869</v>
      </c>
      <c r="C7" s="2104" t="s">
        <v>1870</v>
      </c>
      <c r="D7" s="2104" t="s">
        <v>1871</v>
      </c>
      <c r="E7" s="2104" t="s">
        <v>1872</v>
      </c>
      <c r="F7" s="2104" t="s">
        <v>1873</v>
      </c>
      <c r="G7" s="2173" t="s">
        <v>1874</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1875</v>
      </c>
      <c r="AV7" s="23" t="s">
        <v>1876</v>
      </c>
      <c r="AW7" s="2161" t="s">
        <v>1877</v>
      </c>
      <c r="AX7" s="23" t="s">
        <v>1870</v>
      </c>
      <c r="AY7" s="1802" t="s">
        <v>1878</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1879</v>
      </c>
      <c r="H8" s="2179" t="s">
        <v>1880</v>
      </c>
      <c r="I8" s="2180"/>
      <c r="J8" s="1817"/>
      <c r="K8" s="1817"/>
      <c r="L8" s="1817"/>
      <c r="M8" s="1817"/>
      <c r="N8" s="1817"/>
      <c r="O8" s="1817"/>
      <c r="P8" s="1817"/>
      <c r="Q8" s="1817"/>
      <c r="R8" s="1817"/>
      <c r="S8" s="1817"/>
      <c r="T8" s="1817"/>
      <c r="U8" s="1817"/>
      <c r="V8" s="2181"/>
      <c r="W8" s="1817"/>
      <c r="X8" s="1817"/>
      <c r="Y8" s="1817"/>
      <c r="Z8" s="1817"/>
      <c r="AA8" s="2181"/>
      <c r="AB8" s="2182"/>
      <c r="AC8" s="981" t="s">
        <v>1881</v>
      </c>
      <c r="AD8" s="2183"/>
      <c r="AE8" s="2175"/>
      <c r="AF8" s="1817"/>
      <c r="AG8" s="1817"/>
      <c r="AH8" s="1817"/>
      <c r="AI8" s="1817"/>
      <c r="AJ8" s="1817"/>
      <c r="AK8" s="1817"/>
      <c r="AL8" s="1817"/>
      <c r="AM8" s="1817"/>
      <c r="AN8" s="1817"/>
      <c r="AO8" s="1817"/>
      <c r="AP8" s="1817"/>
      <c r="AQ8" s="1817"/>
      <c r="AR8" s="1817"/>
      <c r="AS8" s="1817"/>
      <c r="AT8" s="1292" t="s">
        <v>1882</v>
      </c>
      <c r="AU8" s="2177" t="s">
        <v>1883</v>
      </c>
      <c r="AV8" s="1292"/>
      <c r="AW8" s="2160"/>
      <c r="AX8" s="1292"/>
      <c r="AY8" s="2161" t="s">
        <v>1884</v>
      </c>
      <c r="AZ8" s="1816" t="s">
        <v>1885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2"/>
      <c r="H9" s="2185" t="s">
        <v>1886</v>
      </c>
      <c r="I9" s="2186" t="s">
        <v>3090</v>
      </c>
      <c r="J9" s="981"/>
      <c r="K9" s="2186" t="s">
        <v>3090</v>
      </c>
      <c r="L9" s="981"/>
      <c r="M9" s="2186"/>
      <c r="N9" s="981"/>
      <c r="O9" s="2186"/>
      <c r="P9" s="981"/>
      <c r="Q9" s="2186"/>
      <c r="R9" s="981"/>
      <c r="S9" s="2186"/>
      <c r="T9" s="981"/>
      <c r="U9" s="2186"/>
      <c r="V9" s="981"/>
      <c r="W9" s="2186"/>
      <c r="X9" s="2187"/>
      <c r="Y9" s="2186"/>
      <c r="Z9" s="981"/>
      <c r="AA9" s="2186"/>
      <c r="AB9" s="981"/>
      <c r="AC9" s="2178" t="s">
        <v>1886</v>
      </c>
      <c r="AD9" s="15" t="s">
        <v>1887</v>
      </c>
      <c r="AE9" s="1298"/>
      <c r="AF9" s="15" t="s">
        <v>1888</v>
      </c>
      <c r="AG9" s="1298"/>
      <c r="AH9" s="15" t="s">
        <v>1887</v>
      </c>
      <c r="AI9" s="1298"/>
      <c r="AJ9" s="15" t="s">
        <v>1888</v>
      </c>
      <c r="AK9" s="1298"/>
      <c r="AL9" s="15" t="s">
        <v>1887</v>
      </c>
      <c r="AM9" s="1298"/>
      <c r="AN9" s="15" t="s">
        <v>1888</v>
      </c>
      <c r="AO9" s="1298"/>
      <c r="AP9" s="15" t="s">
        <v>1887</v>
      </c>
      <c r="AQ9" s="1298"/>
      <c r="AR9" s="15" t="s">
        <v>1888</v>
      </c>
      <c r="AS9" s="2188"/>
      <c r="AT9" s="2177"/>
      <c r="AU9" s="2177" t="s">
        <v>1889</v>
      </c>
      <c r="AV9" s="1292"/>
      <c r="AW9" s="2160"/>
      <c r="AX9" s="1292"/>
      <c r="AY9" s="28"/>
      <c r="AZ9" s="28" t="s">
        <v>1879</v>
      </c>
      <c r="BA9" s="2189" t="s">
        <v>1890</v>
      </c>
      <c r="BB9" s="2190"/>
      <c r="BC9" s="1338"/>
      <c r="BD9" s="1338"/>
      <c r="BE9" s="1338"/>
      <c r="BF9" s="1338"/>
      <c r="BG9" s="1338"/>
      <c r="BH9" s="1338"/>
      <c r="BI9" s="1338"/>
      <c r="BJ9" s="1338"/>
      <c r="BK9" s="2191"/>
      <c r="BL9" s="15" t="s">
        <v>1891</v>
      </c>
      <c r="BM9" s="1817"/>
      <c r="BN9" s="2180"/>
      <c r="BO9" s="1817"/>
      <c r="BP9" s="1817"/>
      <c r="BQ9" s="1817"/>
      <c r="BR9" s="1817"/>
      <c r="BS9" s="1817"/>
      <c r="BT9" s="26"/>
    </row>
    <row r="10" spans="1:72" s="2184" customFormat="1" ht="12.75">
      <c r="A10" s="2177"/>
      <c r="B10" s="2177"/>
      <c r="C10" s="2177"/>
      <c r="D10" s="2177"/>
      <c r="E10" s="2177"/>
      <c r="F10" s="2177"/>
      <c r="G10" s="1292"/>
      <c r="H10" s="28"/>
      <c r="I10" s="2186" t="s">
        <v>3339</v>
      </c>
      <c r="J10" s="981"/>
      <c r="K10" s="2192" t="s">
        <v>1373</v>
      </c>
      <c r="L10" s="981"/>
      <c r="M10" s="2192"/>
      <c r="N10" s="981"/>
      <c r="O10" s="2192"/>
      <c r="P10" s="981"/>
      <c r="Q10" s="2192"/>
      <c r="R10" s="981"/>
      <c r="S10" s="2192"/>
      <c r="T10" s="981"/>
      <c r="U10" s="2192"/>
      <c r="V10" s="981"/>
      <c r="W10" s="2192"/>
      <c r="X10" s="981"/>
      <c r="Y10" s="2192"/>
      <c r="Z10" s="981"/>
      <c r="AA10" s="2192"/>
      <c r="AB10" s="981"/>
      <c r="AC10" s="1292"/>
      <c r="AD10" s="15" t="s">
        <v>1892</v>
      </c>
      <c r="AE10" s="2193"/>
      <c r="AF10" s="15" t="s">
        <v>1892</v>
      </c>
      <c r="AG10" s="2193"/>
      <c r="AH10" s="15" t="s">
        <v>1893</v>
      </c>
      <c r="AI10" s="2193"/>
      <c r="AJ10" s="15" t="s">
        <v>1893</v>
      </c>
      <c r="AK10" s="2193"/>
      <c r="AL10" s="15" t="s">
        <v>1894</v>
      </c>
      <c r="AM10" s="1298"/>
      <c r="AN10" s="15" t="s">
        <v>1894</v>
      </c>
      <c r="AO10" s="1298"/>
      <c r="AP10" s="15" t="s">
        <v>1895</v>
      </c>
      <c r="AQ10" s="1298"/>
      <c r="AR10" s="15" t="s">
        <v>1895</v>
      </c>
      <c r="AS10" s="1298"/>
      <c r="AT10" s="2177"/>
      <c r="AU10" s="2177"/>
      <c r="AV10" s="1292"/>
      <c r="AW10" s="2160"/>
      <c r="AX10" s="1292"/>
      <c r="AY10" s="28"/>
      <c r="AZ10" s="28"/>
      <c r="BA10" s="2194" t="s">
        <v>1886</v>
      </c>
      <c r="BB10" s="2195" t="str">
        <f>I9</f>
        <v>地上</v>
      </c>
      <c r="BC10" s="29" t="str">
        <f>K9</f>
        <v>地上</v>
      </c>
      <c r="BD10" s="29">
        <f>M9</f>
        <v>0</v>
      </c>
      <c r="BE10" s="29">
        <f>O9</f>
        <v>0</v>
      </c>
      <c r="BF10" s="29">
        <f>Q9</f>
        <v>0</v>
      </c>
      <c r="BG10" s="29">
        <f>S9</f>
        <v>0</v>
      </c>
      <c r="BH10" s="29">
        <f>U9</f>
        <v>0</v>
      </c>
      <c r="BI10" s="29">
        <f>W9</f>
        <v>0</v>
      </c>
      <c r="BJ10" s="29">
        <f>Y9</f>
        <v>0</v>
      </c>
      <c r="BK10" s="29">
        <f>AA9</f>
        <v>0</v>
      </c>
      <c r="BL10" s="25" t="s">
        <v>1886</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2"/>
      <c r="H11" s="2194"/>
      <c r="I11" s="2197" t="s">
        <v>3340</v>
      </c>
      <c r="J11" s="2198"/>
      <c r="K11" s="2197" t="s">
        <v>3401</v>
      </c>
      <c r="L11" s="2198"/>
      <c r="M11" s="2197"/>
      <c r="N11" s="2198"/>
      <c r="O11" s="2197"/>
      <c r="P11" s="2198"/>
      <c r="Q11" s="2197"/>
      <c r="R11" s="2198"/>
      <c r="S11" s="2197"/>
      <c r="T11" s="2198"/>
      <c r="U11" s="2197"/>
      <c r="V11" s="2198"/>
      <c r="W11" s="2197"/>
      <c r="X11" s="2198"/>
      <c r="Y11" s="2197"/>
      <c r="Z11" s="2198"/>
      <c r="AA11" s="2197"/>
      <c r="AB11" s="2198"/>
      <c r="AC11" s="1292"/>
      <c r="AD11" s="2199" t="s">
        <v>1896</v>
      </c>
      <c r="AE11" s="1818"/>
      <c r="AF11" s="2199" t="s">
        <v>1896</v>
      </c>
      <c r="AG11" s="1818"/>
      <c r="AH11" s="2199" t="s">
        <v>1897</v>
      </c>
      <c r="AI11" s="2200"/>
      <c r="AJ11" s="2199" t="s">
        <v>1897</v>
      </c>
      <c r="AK11" s="1818"/>
      <c r="AL11" s="1816"/>
      <c r="AM11" s="1818"/>
      <c r="AN11" s="1816"/>
      <c r="AO11" s="1818"/>
      <c r="AP11" s="1816"/>
      <c r="AQ11" s="1818"/>
      <c r="AR11" s="1816"/>
      <c r="AS11" s="1818"/>
      <c r="AT11" s="2160"/>
      <c r="AU11" s="2177"/>
      <c r="AV11" s="1292"/>
      <c r="AW11" s="2160"/>
      <c r="AX11" s="1292"/>
      <c r="AY11" s="28"/>
      <c r="AZ11" s="28"/>
      <c r="BA11" s="28"/>
      <c r="BB11" s="2182" t="str">
        <f>I10</f>
        <v>住宅</v>
      </c>
      <c r="BC11" s="2182" t="str">
        <f>K10</f>
        <v>商业</v>
      </c>
      <c r="BD11" s="2182">
        <f>M10</f>
        <v>0</v>
      </c>
      <c r="BE11" s="2182">
        <f>O10</f>
        <v>0</v>
      </c>
      <c r="BF11" s="2182">
        <f>Q10</f>
        <v>0</v>
      </c>
      <c r="BG11" s="2182">
        <f>S10</f>
        <v>0</v>
      </c>
      <c r="BH11" s="2182">
        <f>U10</f>
        <v>0</v>
      </c>
      <c r="BI11" s="2182">
        <f>W10</f>
        <v>0</v>
      </c>
      <c r="BJ11" s="2182">
        <f>Y10</f>
        <v>0</v>
      </c>
      <c r="BK11" s="2182">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1898</v>
      </c>
      <c r="J12" s="11" t="s">
        <v>1899</v>
      </c>
      <c r="K12" s="11" t="s">
        <v>1898</v>
      </c>
      <c r="L12" s="11" t="s">
        <v>1899</v>
      </c>
      <c r="M12" s="11" t="s">
        <v>1898</v>
      </c>
      <c r="N12" s="11" t="s">
        <v>1899</v>
      </c>
      <c r="O12" s="11" t="s">
        <v>1898</v>
      </c>
      <c r="P12" s="11" t="s">
        <v>1899</v>
      </c>
      <c r="Q12" s="11" t="s">
        <v>1898</v>
      </c>
      <c r="R12" s="11" t="s">
        <v>1899</v>
      </c>
      <c r="S12" s="11" t="s">
        <v>1898</v>
      </c>
      <c r="T12" s="11" t="s">
        <v>1899</v>
      </c>
      <c r="U12" s="11" t="s">
        <v>1898</v>
      </c>
      <c r="V12" s="1801" t="s">
        <v>1899</v>
      </c>
      <c r="W12" s="11" t="s">
        <v>1898</v>
      </c>
      <c r="X12" s="11" t="s">
        <v>1899</v>
      </c>
      <c r="Y12" s="11" t="s">
        <v>1898</v>
      </c>
      <c r="Z12" s="11" t="s">
        <v>1899</v>
      </c>
      <c r="AA12" s="11" t="s">
        <v>1898</v>
      </c>
      <c r="AB12" s="11" t="s">
        <v>1899</v>
      </c>
      <c r="AC12" s="2204"/>
      <c r="AD12" s="1805" t="s">
        <v>1898</v>
      </c>
      <c r="AE12" s="11" t="s">
        <v>1899</v>
      </c>
      <c r="AF12" s="11" t="s">
        <v>1898</v>
      </c>
      <c r="AG12" s="11" t="s">
        <v>1899</v>
      </c>
      <c r="AH12" s="11" t="s">
        <v>1898</v>
      </c>
      <c r="AI12" s="11" t="s">
        <v>1899</v>
      </c>
      <c r="AJ12" s="11" t="s">
        <v>1898</v>
      </c>
      <c r="AK12" s="11" t="s">
        <v>1899</v>
      </c>
      <c r="AL12" s="11" t="s">
        <v>1898</v>
      </c>
      <c r="AM12" s="11" t="s">
        <v>1899</v>
      </c>
      <c r="AN12" s="11" t="s">
        <v>1898</v>
      </c>
      <c r="AO12" s="11" t="s">
        <v>1899</v>
      </c>
      <c r="AP12" s="11" t="s">
        <v>1898</v>
      </c>
      <c r="AQ12" s="11" t="s">
        <v>1899</v>
      </c>
      <c r="AR12" s="30" t="s">
        <v>1898</v>
      </c>
      <c r="AS12" s="2202" t="s">
        <v>1899</v>
      </c>
      <c r="AT12" s="2205"/>
      <c r="AU12" s="2202"/>
      <c r="AV12" s="31"/>
      <c r="AW12" s="2161"/>
      <c r="AX12" s="31"/>
      <c r="AY12" s="2206"/>
      <c r="AZ12" s="28"/>
      <c r="BA12" s="2194"/>
      <c r="BB12" s="24" t="str">
        <f>I11</f>
        <v>普通住宅</v>
      </c>
      <c r="BC12" s="2207" t="str">
        <f>K11</f>
        <v>底商</v>
      </c>
      <c r="BD12" s="2207">
        <f>M11</f>
        <v>0</v>
      </c>
      <c r="BE12" s="2182">
        <f>O11</f>
        <v>0</v>
      </c>
      <c r="BF12" s="2182">
        <f>Q11</f>
        <v>0</v>
      </c>
      <c r="BG12" s="2182">
        <f>S11</f>
        <v>0</v>
      </c>
      <c r="BH12" s="2182">
        <f>U11</f>
        <v>0</v>
      </c>
      <c r="BI12" s="2182">
        <f>W11</f>
        <v>0</v>
      </c>
      <c r="BJ12" s="2182">
        <f>Y11</f>
        <v>0</v>
      </c>
      <c r="BK12" s="2182">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2.75">
      <c r="A13" s="1272"/>
      <c r="B13" s="1272"/>
      <c r="C13" s="1272"/>
      <c r="D13" s="2208" t="s">
        <v>3055</v>
      </c>
      <c r="E13" s="16">
        <f>IF($C$3="是",ROUND($A$3*G13/$B$3,2),ROUND($A$3*(G13-AT13)/$B$3,2))</f>
        <v>21322.59</v>
      </c>
      <c r="F13" s="32"/>
      <c r="G13" s="33">
        <f>H13+AC13+AT13</f>
        <v>53306.400000000001</v>
      </c>
      <c r="H13" s="20">
        <f>SUMIF(I$12:AB$12,"总值",I13:AB13)</f>
        <v>53306.400000000001</v>
      </c>
      <c r="I13" s="2209">
        <f>C16</f>
        <v>42645.120000000003</v>
      </c>
      <c r="J13" s="2209"/>
      <c r="K13" s="2209">
        <f>C17</f>
        <v>10661.28</v>
      </c>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5">
        <f>ROUND($AY$6*AZ13/$AZ$5,2)</f>
        <v>21322.59</v>
      </c>
      <c r="AZ13" s="16">
        <f>BA13+BL13</f>
        <v>53306.400000000001</v>
      </c>
      <c r="BA13" s="16">
        <f>SUM(BB13:BK13)</f>
        <v>53306.400000000001</v>
      </c>
      <c r="BB13" s="16">
        <f>IF($D13="是",I13-J13,0)</f>
        <v>42645.120000000003</v>
      </c>
      <c r="BC13" s="16">
        <f>IF($D13="是",K13-L13,0)</f>
        <v>10661.28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2"/>
      <c r="B14" s="1272"/>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2"/>
      <c r="B15" s="1272"/>
      <c r="C15" s="2974" t="s">
        <v>3400</v>
      </c>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建筑面积</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2972" t="s">
        <v>3395</v>
      </c>
      <c r="B16" s="1272">
        <v>17058.07</v>
      </c>
      <c r="C16" s="2148">
        <f>ROUND(B16/A3*B19,2)</f>
        <v>42645.120000000003</v>
      </c>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t="str">
        <f t="shared" si="6"/>
        <v>住宅用地</v>
      </c>
      <c r="AW16" s="11">
        <f t="shared" si="6"/>
        <v>17058.07</v>
      </c>
      <c r="AX16" s="11">
        <f t="shared" si="6"/>
        <v>42645.120000000003</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2972" t="s">
        <v>3396</v>
      </c>
      <c r="B17" s="1272">
        <v>4264.5200000000004</v>
      </c>
      <c r="C17" s="2148">
        <f>ROUND(B17/A3*B19,2)</f>
        <v>10661.28</v>
      </c>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t="str">
        <f t="shared" si="6"/>
        <v>商业用地</v>
      </c>
      <c r="AW17" s="11">
        <f t="shared" si="6"/>
        <v>4264.5200000000004</v>
      </c>
      <c r="AX17" s="11">
        <f t="shared" si="6"/>
        <v>10661.28</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73" t="s">
        <v>3397</v>
      </c>
      <c r="B18" s="34">
        <v>4648</v>
      </c>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4" t="str">
        <f t="shared" ref="AV18:AV112" si="11">A18</f>
        <v>地价款</v>
      </c>
      <c r="AW18" s="1794">
        <f t="shared" ref="AW18:AW112" si="12">B18</f>
        <v>4648</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73" t="s">
        <v>3398</v>
      </c>
      <c r="B19" s="34">
        <v>53306.400000000001</v>
      </c>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4" t="str">
        <f t="shared" si="11"/>
        <v>总建筑</v>
      </c>
      <c r="AW19" s="1794">
        <f t="shared" si="12"/>
        <v>53306.400000000001</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2973" t="s">
        <v>3399</v>
      </c>
      <c r="B20" s="34">
        <v>2.5</v>
      </c>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t="str">
        <f t="shared" si="11"/>
        <v>容积率</v>
      </c>
      <c r="AW20" s="1794">
        <f t="shared" si="12"/>
        <v>2.5</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2973" t="s">
        <v>3687</v>
      </c>
      <c r="B21" s="34">
        <f>B18/B19*10000</f>
        <v>871.9403298665826</v>
      </c>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4" t="str">
        <f t="shared" si="11"/>
        <v>楼面单价</v>
      </c>
      <c r="AW21" s="1794">
        <f t="shared" si="12"/>
        <v>871.9403298665826</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28.5">
      <c r="A3" s="3052"/>
      <c r="B3" s="3052"/>
      <c r="C3" s="3052"/>
      <c r="D3" s="3053"/>
      <c r="E3" s="30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40" sqref="D40"/>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1925</v>
      </c>
      <c r="B1" s="1392"/>
      <c r="C1" s="1392"/>
      <c r="D1" s="1392"/>
      <c r="E1" s="1392"/>
      <c r="F1" s="1392"/>
      <c r="G1" s="1392"/>
      <c r="H1" s="1392"/>
      <c r="I1" s="1392"/>
      <c r="J1" s="1392"/>
      <c r="K1" s="1392"/>
      <c r="L1" s="1392"/>
      <c r="M1" s="1392"/>
      <c r="N1" s="1392"/>
      <c r="O1" s="1392"/>
      <c r="P1" s="1392"/>
    </row>
    <row r="2" spans="1:16" ht="15">
      <c r="A2" s="3063" t="s">
        <v>1926</v>
      </c>
      <c r="B2" s="3063"/>
      <c r="C2" s="3063"/>
      <c r="D2" s="967" t="s">
        <v>1902</v>
      </c>
      <c r="E2" s="2222" t="s">
        <v>1903</v>
      </c>
      <c r="F2" s="1392"/>
      <c r="G2" s="2223"/>
      <c r="H2" s="2224"/>
      <c r="I2" s="2225" t="s">
        <v>1927</v>
      </c>
      <c r="J2" s="1392"/>
      <c r="K2" s="1392"/>
      <c r="L2" s="1392"/>
      <c r="M2" s="1392"/>
      <c r="N2" s="1427"/>
      <c r="O2" s="1392"/>
      <c r="P2" s="1392"/>
    </row>
    <row r="3" spans="1:16" ht="15.75" thickBot="1">
      <c r="A3" s="3064" t="s">
        <v>1900</v>
      </c>
      <c r="B3" s="3064"/>
      <c r="C3" s="3064"/>
      <c r="D3" s="46">
        <f>'数据-基础表'!AY6</f>
        <v>21322.59</v>
      </c>
      <c r="E3" s="46">
        <f>'数据-基础表'!AZ5</f>
        <v>53306.400000000001</v>
      </c>
      <c r="F3" s="1392"/>
      <c r="G3" s="1399"/>
      <c r="H3" s="1247" t="s">
        <v>1901</v>
      </c>
      <c r="I3" s="55">
        <f>ROUND('数据-基础表'!B3/'数据-基础表'!A3,2)</f>
        <v>2.5</v>
      </c>
      <c r="J3" s="1392"/>
      <c r="K3" s="1392"/>
      <c r="L3" s="1392"/>
      <c r="M3" s="1392"/>
      <c r="N3" s="1427"/>
      <c r="O3" s="1392"/>
      <c r="P3" s="1392"/>
    </row>
    <row r="4" spans="1:16" ht="15">
      <c r="A4" s="3065"/>
      <c r="B4" s="3066"/>
      <c r="C4" s="3067"/>
      <c r="D4" s="2226" t="s">
        <v>1902</v>
      </c>
      <c r="E4" s="2227" t="s">
        <v>1903</v>
      </c>
      <c r="F4" s="1392"/>
      <c r="G4" s="2228" t="s">
        <v>1928</v>
      </c>
      <c r="H4" s="1247" t="s">
        <v>1908</v>
      </c>
      <c r="I4" s="55">
        <f>ROUND(SUMIF('数据-基础表'!I9:AS9,"地上",'数据-基础表'!I5:AS5)/'数据-基础表'!A3,2)</f>
        <v>2.5</v>
      </c>
      <c r="J4" s="1392"/>
      <c r="K4" s="1392"/>
      <c r="L4" s="1392"/>
      <c r="M4" s="1392"/>
      <c r="N4" s="1427"/>
      <c r="O4" s="1392"/>
      <c r="P4" s="1392"/>
    </row>
    <row r="5" spans="1:16">
      <c r="A5" s="47" t="s">
        <v>1904</v>
      </c>
      <c r="B5" s="3068" t="s">
        <v>1905</v>
      </c>
      <c r="C5" s="3068"/>
      <c r="D5" s="48">
        <f>ROUND($D$3*E5/$E$3,2)</f>
        <v>17058.07</v>
      </c>
      <c r="E5" s="49">
        <f>SUMIF('数据-基础表'!$11:$11,"住宅",'数据-基础表'!$5:$5)</f>
        <v>42645.120000000003</v>
      </c>
      <c r="F5" s="1392"/>
      <c r="G5" s="1399"/>
      <c r="H5" s="1247" t="s">
        <v>1901</v>
      </c>
      <c r="I5" s="55">
        <f>ROUND(E31/D31,2)</f>
        <v>2.5</v>
      </c>
      <c r="J5" s="1392"/>
      <c r="K5" s="1392"/>
      <c r="L5" s="1392"/>
      <c r="M5" s="1392"/>
      <c r="N5" s="1392"/>
      <c r="O5" s="1392"/>
      <c r="P5" s="1392"/>
    </row>
    <row r="6" spans="1:16" ht="15" thickBot="1">
      <c r="A6" s="2229"/>
      <c r="B6" s="3068" t="s">
        <v>1906</v>
      </c>
      <c r="C6" s="3068"/>
      <c r="D6" s="48">
        <f>ROUND($D$3*E6/$E$3,2)</f>
        <v>4264.5200000000004</v>
      </c>
      <c r="E6" s="49">
        <f>E3-E5</f>
        <v>10661.279999999999</v>
      </c>
      <c r="F6" s="1392"/>
      <c r="G6" s="2230" t="s">
        <v>1907</v>
      </c>
      <c r="H6" s="1399" t="s">
        <v>1908</v>
      </c>
      <c r="I6" s="939">
        <f>ROUND(F31/D31,2)</f>
        <v>2.5</v>
      </c>
      <c r="J6" s="1392"/>
      <c r="K6" s="1392"/>
      <c r="L6" s="1392"/>
      <c r="M6" s="1392"/>
      <c r="N6" s="1392"/>
      <c r="O6" s="1392"/>
      <c r="P6" s="1392"/>
    </row>
    <row r="7" spans="1:16" ht="15">
      <c r="A7" s="3060"/>
      <c r="B7" s="3061"/>
      <c r="C7" s="3062"/>
      <c r="D7" s="2226" t="s">
        <v>1902</v>
      </c>
      <c r="E7" s="2231" t="s">
        <v>1909</v>
      </c>
      <c r="F7" s="1392"/>
      <c r="G7" s="2223" t="s">
        <v>1910</v>
      </c>
      <c r="H7" s="64"/>
      <c r="I7" s="420"/>
      <c r="J7" s="1392"/>
      <c r="K7" s="1392"/>
      <c r="L7" s="1392"/>
      <c r="M7" s="1392"/>
      <c r="N7" s="1392"/>
      <c r="O7" s="1392"/>
      <c r="P7" s="1392"/>
    </row>
    <row r="8" spans="1:16">
      <c r="A8" s="47" t="s">
        <v>1911</v>
      </c>
      <c r="B8" s="50" t="s">
        <v>1912</v>
      </c>
      <c r="C8" s="48" t="s">
        <v>1913</v>
      </c>
      <c r="D8" s="48">
        <f t="shared" ref="D8:D15" si="0">ROUND($D$3*E8/$E$3,2)</f>
        <v>21322.59</v>
      </c>
      <c r="E8" s="51">
        <f>SUMIF('数据-基础表'!BB10:BK10,"地上",'数据-基础表'!BB5:BK5)</f>
        <v>53306.400000000001</v>
      </c>
      <c r="F8" s="1392"/>
      <c r="G8" s="2232"/>
      <c r="H8" s="2232"/>
      <c r="I8" s="1392"/>
      <c r="J8" s="1392"/>
      <c r="K8" s="1392"/>
      <c r="L8" s="1392"/>
      <c r="M8" s="1392"/>
      <c r="N8" s="1392"/>
      <c r="O8" s="1392"/>
      <c r="P8" s="1392"/>
    </row>
    <row r="9" spans="1:16">
      <c r="A9" s="2233"/>
      <c r="B9" s="2234"/>
      <c r="C9" s="48" t="s">
        <v>1914</v>
      </c>
      <c r="D9" s="48">
        <f t="shared" si="0"/>
        <v>0</v>
      </c>
      <c r="E9" s="52">
        <v>0</v>
      </c>
      <c r="F9" s="1392"/>
      <c r="G9" s="2232"/>
      <c r="H9" s="2232"/>
      <c r="I9" s="1392"/>
      <c r="J9" s="1392"/>
      <c r="K9" s="1392"/>
      <c r="L9" s="1392"/>
      <c r="M9" s="1392"/>
      <c r="N9" s="1392"/>
      <c r="O9" s="1392"/>
      <c r="P9" s="1392"/>
    </row>
    <row r="10" spans="1:16">
      <c r="A10" s="2233"/>
      <c r="B10" s="2234"/>
      <c r="C10" s="48" t="s">
        <v>1923</v>
      </c>
      <c r="D10" s="48">
        <f t="shared" si="0"/>
        <v>0</v>
      </c>
      <c r="E10" s="51">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8" t="s">
        <v>1915</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1916</v>
      </c>
      <c r="D12" s="48">
        <f t="shared" si="0"/>
        <v>0</v>
      </c>
      <c r="E12" s="51">
        <f>SUMPRODUCT(('数据-基础表'!BB10:BK10="地下")*('数据-基础表'!BB11:BK11="仓储")*('数据-基础表'!BB5:BK5))</f>
        <v>0</v>
      </c>
      <c r="F12" s="1392"/>
      <c r="G12" s="2232"/>
      <c r="H12" s="2232"/>
      <c r="I12" s="1392"/>
      <c r="J12" s="1392"/>
      <c r="K12" s="1392"/>
      <c r="L12" s="1392"/>
      <c r="M12" s="1392"/>
      <c r="N12" s="1392"/>
      <c r="O12" s="1392"/>
      <c r="P12" s="1392"/>
    </row>
    <row r="13" spans="1:16">
      <c r="A13" s="2233"/>
      <c r="B13" s="2234"/>
      <c r="C13" s="48" t="s">
        <v>1917</v>
      </c>
      <c r="D13" s="48">
        <f t="shared" si="0"/>
        <v>0</v>
      </c>
      <c r="E13" s="51">
        <f>SUMPRODUCT(('数据-基础表'!BB10:BK10="地下")*('数据-基础表'!BB11:BK11="车库")*('数据-基础表'!BB5:BK5))</f>
        <v>0</v>
      </c>
      <c r="F13" s="1392"/>
      <c r="G13" s="2232"/>
      <c r="H13" s="2232"/>
      <c r="I13" s="1392"/>
      <c r="J13" s="1392"/>
      <c r="K13" s="1392"/>
      <c r="L13" s="1392"/>
      <c r="M13" s="1392"/>
      <c r="N13" s="1392"/>
      <c r="O13" s="1392"/>
      <c r="P13" s="1392"/>
    </row>
    <row r="14" spans="1:16">
      <c r="A14" s="2233"/>
      <c r="B14" s="2234"/>
      <c r="C14" s="48" t="s">
        <v>1929</v>
      </c>
      <c r="D14" s="48">
        <f t="shared" si="0"/>
        <v>0</v>
      </c>
      <c r="E14" s="51">
        <f>SUMPRODUCT(('数据-基础表'!BB10:BK10="地下")*('数据-基础表'!BB11:BK11="车库—商业")*('数据-基础表'!BB5:BK5))</f>
        <v>0</v>
      </c>
      <c r="F14" s="1392"/>
      <c r="G14" s="2232"/>
      <c r="H14" s="2232"/>
      <c r="I14" s="1392"/>
      <c r="J14" s="1392"/>
      <c r="K14" s="1392"/>
      <c r="L14" s="1392"/>
      <c r="M14" s="1392"/>
      <c r="N14" s="1392"/>
      <c r="O14" s="1392"/>
      <c r="P14" s="1392"/>
    </row>
    <row r="15" spans="1:16" ht="15" thickBot="1">
      <c r="A15" s="2233"/>
      <c r="B15" s="2234"/>
      <c r="C15" s="48" t="s">
        <v>1924</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1918</v>
      </c>
      <c r="D16" s="50">
        <f>SUM(D8:D15)</f>
        <v>21322.59</v>
      </c>
      <c r="E16" s="53">
        <f>SUM(E8:E15)</f>
        <v>53306.400000000001</v>
      </c>
      <c r="F16" s="1392"/>
      <c r="G16" s="2232"/>
      <c r="H16" s="2235" t="s">
        <v>1930</v>
      </c>
      <c r="I16" s="2236"/>
      <c r="J16" s="1392"/>
      <c r="K16" s="3057" t="s">
        <v>1930</v>
      </c>
      <c r="L16" s="3058"/>
      <c r="M16" s="3058"/>
      <c r="N16" s="3058"/>
      <c r="O16" s="3058"/>
      <c r="P16" s="3059"/>
    </row>
    <row r="17" spans="1:19" ht="15">
      <c r="A17" s="2237" t="s">
        <v>1931</v>
      </c>
      <c r="B17" s="2238" t="s">
        <v>1932</v>
      </c>
      <c r="C17" s="2239" t="s">
        <v>1933</v>
      </c>
      <c r="D17" s="2240" t="s">
        <v>1921</v>
      </c>
      <c r="E17" s="2241" t="s">
        <v>1922</v>
      </c>
      <c r="F17" s="2242"/>
      <c r="G17" s="2243"/>
      <c r="H17" s="2244" t="s">
        <v>1934</v>
      </c>
      <c r="I17" s="2245" t="s">
        <v>1919</v>
      </c>
      <c r="J17" s="1392"/>
      <c r="K17" s="3054" t="s">
        <v>1935</v>
      </c>
      <c r="L17" s="3055"/>
      <c r="M17" s="3056"/>
      <c r="N17" s="3054" t="s">
        <v>1936</v>
      </c>
      <c r="O17" s="3055"/>
      <c r="P17" s="3056"/>
      <c r="R17" s="2223" t="s">
        <v>1937</v>
      </c>
      <c r="S17" s="64"/>
    </row>
    <row r="18" spans="1:19" ht="15">
      <c r="A18" s="2233"/>
      <c r="B18" s="2246"/>
      <c r="C18" s="2247"/>
      <c r="D18" s="2248"/>
      <c r="E18" s="2249" t="s">
        <v>1938</v>
      </c>
      <c r="F18" s="2250" t="s">
        <v>1939</v>
      </c>
      <c r="G18" s="2251" t="s">
        <v>1940</v>
      </c>
      <c r="H18" s="1262" t="s">
        <v>1941</v>
      </c>
      <c r="I18" s="2252" t="s">
        <v>1942</v>
      </c>
      <c r="J18" s="1392"/>
      <c r="K18" s="1262" t="s">
        <v>1943</v>
      </c>
      <c r="L18" s="2253" t="s">
        <v>1944</v>
      </c>
      <c r="M18" s="1046" t="s">
        <v>1945</v>
      </c>
      <c r="N18" s="1262" t="s">
        <v>1943</v>
      </c>
      <c r="O18" s="2253" t="s">
        <v>1944</v>
      </c>
      <c r="P18" s="1046" t="s">
        <v>1945</v>
      </c>
      <c r="R18" s="1247" t="s">
        <v>1946</v>
      </c>
      <c r="S18" s="1247" t="s">
        <v>1947</v>
      </c>
    </row>
    <row r="19" spans="1:19">
      <c r="A19" s="2254"/>
      <c r="B19" s="50" t="s">
        <v>1920</v>
      </c>
      <c r="C19" s="2955" t="s">
        <v>3341</v>
      </c>
      <c r="D19" s="48">
        <f>ROUND($D$3*E19/$E$3,2)</f>
        <v>17058.07</v>
      </c>
      <c r="E19" s="56">
        <f t="shared" ref="E19:E26" si="1">SUM(F19:G19)</f>
        <v>42645.120000000003</v>
      </c>
      <c r="F19" s="57">
        <f>'数据-基础表'!I5</f>
        <v>42645.120000000003</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6"/>
      <c r="O19" s="2257"/>
      <c r="P19" s="1403">
        <f>N19+O19</f>
        <v>0</v>
      </c>
      <c r="R19" s="1247">
        <f t="shared" ref="R19:S26" si="5">D19+H19</f>
        <v>17058.07</v>
      </c>
      <c r="S19" s="1248">
        <f t="shared" si="5"/>
        <v>42645.120000000003</v>
      </c>
    </row>
    <row r="20" spans="1:19">
      <c r="A20" s="2258"/>
      <c r="B20" s="50" t="s">
        <v>1948</v>
      </c>
      <c r="C20" s="2955" t="s">
        <v>3402</v>
      </c>
      <c r="D20" s="48">
        <f t="shared" ref="D20:D26" si="6">ROUND($D$3*E20/$E$3,2)</f>
        <v>4264.5200000000004</v>
      </c>
      <c r="E20" s="56">
        <f t="shared" si="1"/>
        <v>10661.28</v>
      </c>
      <c r="F20" s="57">
        <f>'数据-基础表'!K5</f>
        <v>10661.28</v>
      </c>
      <c r="G20" s="58"/>
      <c r="H20" s="723">
        <f t="shared" ref="H20:H26" si="7">ROUND($D$3*I20/$E$3,2)</f>
        <v>0</v>
      </c>
      <c r="I20" s="51">
        <f t="shared" si="2"/>
        <v>0</v>
      </c>
      <c r="J20" s="1392"/>
      <c r="K20" s="1391">
        <f t="shared" si="3"/>
        <v>0</v>
      </c>
      <c r="L20" s="1247">
        <f t="shared" si="4"/>
        <v>0</v>
      </c>
      <c r="M20" s="1403">
        <f t="shared" ref="M20:M26" si="8">K20+L20</f>
        <v>0</v>
      </c>
      <c r="N20" s="2256"/>
      <c r="O20" s="2257"/>
      <c r="P20" s="1403">
        <f t="shared" ref="P20:P26" si="9">N20+O20</f>
        <v>0</v>
      </c>
      <c r="R20" s="1247">
        <f t="shared" si="5"/>
        <v>4264.5200000000004</v>
      </c>
      <c r="S20" s="1248">
        <f t="shared" si="5"/>
        <v>10661.28</v>
      </c>
    </row>
    <row r="21" spans="1:19">
      <c r="A21" s="2258"/>
      <c r="B21" s="50" t="s">
        <v>1948</v>
      </c>
      <c r="C21" s="2255"/>
      <c r="D21" s="48">
        <f t="shared" si="6"/>
        <v>0</v>
      </c>
      <c r="E21" s="56">
        <f t="shared" si="1"/>
        <v>0</v>
      </c>
      <c r="F21" s="57"/>
      <c r="G21" s="58"/>
      <c r="H21" s="723">
        <f t="shared" si="7"/>
        <v>0</v>
      </c>
      <c r="I21" s="51">
        <f t="shared" si="2"/>
        <v>0</v>
      </c>
      <c r="J21" s="1392"/>
      <c r="K21" s="1391">
        <f t="shared" si="3"/>
        <v>0</v>
      </c>
      <c r="L21" s="1247">
        <f t="shared" si="4"/>
        <v>0</v>
      </c>
      <c r="M21" s="1403">
        <f t="shared" si="8"/>
        <v>0</v>
      </c>
      <c r="N21" s="2256"/>
      <c r="O21" s="2257"/>
      <c r="P21" s="1403">
        <f t="shared" si="9"/>
        <v>0</v>
      </c>
      <c r="R21" s="1247">
        <f t="shared" si="5"/>
        <v>0</v>
      </c>
      <c r="S21" s="1248">
        <f t="shared" si="5"/>
        <v>0</v>
      </c>
    </row>
    <row r="22" spans="1:19">
      <c r="A22" s="2258"/>
      <c r="B22" s="50" t="s">
        <v>1948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6"/>
      <c r="O22" s="2257"/>
      <c r="P22" s="1403">
        <f t="shared" si="9"/>
        <v>0</v>
      </c>
      <c r="R22" s="1247">
        <f t="shared" si="5"/>
        <v>0</v>
      </c>
      <c r="S22" s="1248">
        <f t="shared" si="5"/>
        <v>0</v>
      </c>
    </row>
    <row r="23" spans="1:19">
      <c r="A23" s="2258"/>
      <c r="B23" s="50" t="s">
        <v>1948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6"/>
      <c r="O23" s="2257"/>
      <c r="P23" s="1403">
        <f t="shared" si="9"/>
        <v>0</v>
      </c>
      <c r="R23" s="1247">
        <f t="shared" si="5"/>
        <v>0</v>
      </c>
      <c r="S23" s="1248">
        <f t="shared" si="5"/>
        <v>0</v>
      </c>
    </row>
    <row r="24" spans="1:19">
      <c r="A24" s="2258"/>
      <c r="B24" s="50" t="s">
        <v>1948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1948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1948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15.75" thickBot="1">
      <c r="A27" s="2258"/>
      <c r="B27" s="48"/>
      <c r="C27" s="2261" t="s">
        <v>1949</v>
      </c>
      <c r="D27" s="1393">
        <f>SUM(D19:D26)</f>
        <v>21322.59</v>
      </c>
      <c r="E27" s="1394">
        <f>IF(SUM(E19:E26)='数据-基础表'!BA5,SUM(E19:E26),IF(F27="地上面积有误","面积有误","地下面积有误"))</f>
        <v>53306.400000000001</v>
      </c>
      <c r="F27" s="1393">
        <f>IF(SUM(F19:F26)=E8,SUM(F19:F26),"地上面积有误")</f>
        <v>53306.400000000001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21322.59</v>
      </c>
      <c r="S27" s="1247">
        <f>IF(SUM(S19:S26)=$E$3,SUM(S19:S26),SUM(S19:S26)&amp;"误差"&amp;ROUND(SUM(S19:S26)-E3,2))</f>
        <v>53306.400000000001</v>
      </c>
    </row>
    <row r="28" spans="1:19">
      <c r="A28" s="2258"/>
      <c r="B28" s="50" t="s">
        <v>1950</v>
      </c>
      <c r="C28" s="1259" t="s">
        <v>1951</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8"/>
      <c r="B29" s="50" t="s">
        <v>1950</v>
      </c>
      <c r="C29" s="2262" t="s">
        <v>1952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8"/>
      <c r="B30" s="50"/>
      <c r="C30" s="2263" t="s">
        <v>1949</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4"/>
      <c r="B31" s="2265"/>
      <c r="C31" s="1007" t="s">
        <v>1953</v>
      </c>
      <c r="D31" s="729">
        <f>D27+D30</f>
        <v>21322.59</v>
      </c>
      <c r="E31" s="729">
        <f>E27+E30</f>
        <v>53306.400000000001</v>
      </c>
      <c r="F31" s="730">
        <f>F27+F30</f>
        <v>53306.400000000001</v>
      </c>
      <c r="G31" s="731">
        <f>G27+G30</f>
        <v>0</v>
      </c>
      <c r="H31" s="1392"/>
      <c r="I31" s="1392"/>
      <c r="J31" s="1392"/>
      <c r="K31" s="1392"/>
      <c r="L31" s="1392"/>
      <c r="M31" s="1392"/>
      <c r="N31" s="1392"/>
      <c r="O31" s="1392"/>
      <c r="P31" s="1392"/>
    </row>
    <row r="32" spans="1:19">
      <c r="A32" s="2228"/>
      <c r="B32" s="2228" t="s">
        <v>1954</v>
      </c>
      <c r="C32" s="2228"/>
      <c r="D32" s="2228"/>
      <c r="E32" s="1274">
        <f>SUMIF(C19:C26,"*住宅*",E19:E26)</f>
        <v>42645.120000000003</v>
      </c>
      <c r="F32" s="2228"/>
      <c r="G32" s="2228"/>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27" sqref="H27"/>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1955</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1" t="s">
        <v>1956</v>
      </c>
      <c r="B2" s="1266">
        <f>项目基本情况!D3</f>
        <v>44018</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1957</v>
      </c>
      <c r="B4" s="2276"/>
      <c r="C4" s="2277"/>
      <c r="D4" s="2278"/>
      <c r="E4" s="2277" t="s">
        <v>1958</v>
      </c>
      <c r="F4" s="2277"/>
      <c r="G4" s="2277"/>
      <c r="H4" s="2277"/>
      <c r="I4" s="2277"/>
      <c r="J4" s="2279"/>
      <c r="K4" s="2280"/>
      <c r="L4" s="2281"/>
      <c r="M4" s="2277"/>
      <c r="N4" s="2277" t="s">
        <v>1959</v>
      </c>
      <c r="O4" s="2277"/>
      <c r="P4" s="2277"/>
      <c r="Q4" s="2277"/>
      <c r="R4" s="2277"/>
      <c r="S4" s="2279"/>
      <c r="T4" s="2282" t="str">
        <f>'数据-汇总表'!I17</f>
        <v>按面积比例</v>
      </c>
      <c r="U4" s="2276" t="s">
        <v>1960</v>
      </c>
      <c r="V4" s="2277"/>
      <c r="W4" s="2277"/>
      <c r="X4" s="2277"/>
      <c r="Y4" s="2279"/>
      <c r="Z4" s="2239" t="s">
        <v>1961</v>
      </c>
      <c r="AA4" s="2239"/>
      <c r="AB4" s="2239"/>
      <c r="AC4" s="2239"/>
      <c r="AD4" s="2239"/>
      <c r="AE4" s="2237" t="s">
        <v>1962</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1963</v>
      </c>
      <c r="B5" s="2285" t="s">
        <v>1964</v>
      </c>
      <c r="C5" s="2286" t="s">
        <v>1965</v>
      </c>
      <c r="D5" s="2287" t="s">
        <v>1966</v>
      </c>
      <c r="E5" s="1268" t="s">
        <v>1967</v>
      </c>
      <c r="F5" s="2288" t="s">
        <v>1968</v>
      </c>
      <c r="G5" s="1268" t="s">
        <v>1969</v>
      </c>
      <c r="H5" s="1268" t="s">
        <v>1970</v>
      </c>
      <c r="I5" s="1268" t="s">
        <v>1971</v>
      </c>
      <c r="J5" s="2289" t="s">
        <v>1972</v>
      </c>
      <c r="K5" s="2290" t="s">
        <v>1973</v>
      </c>
      <c r="L5" s="2291" t="s">
        <v>1974</v>
      </c>
      <c r="M5" s="2292" t="s">
        <v>1975</v>
      </c>
      <c r="N5" s="2293" t="s">
        <v>1976</v>
      </c>
      <c r="O5" s="2291" t="s">
        <v>1977</v>
      </c>
      <c r="P5" s="2294" t="s">
        <v>1978</v>
      </c>
      <c r="Q5" s="69" t="s">
        <v>1979</v>
      </c>
      <c r="R5" s="2295" t="s">
        <v>1980</v>
      </c>
      <c r="S5" s="2296" t="s">
        <v>1981</v>
      </c>
      <c r="T5" s="2297" t="s">
        <v>1982</v>
      </c>
      <c r="U5" s="1267" t="s">
        <v>1983</v>
      </c>
      <c r="V5" s="1268" t="s">
        <v>1984</v>
      </c>
      <c r="W5" s="1268" t="s">
        <v>1985</v>
      </c>
      <c r="X5" s="71"/>
      <c r="Y5" s="70" t="s">
        <v>1986</v>
      </c>
      <c r="Z5" s="2298" t="s">
        <v>1983</v>
      </c>
      <c r="AA5" s="1268" t="s">
        <v>1984</v>
      </c>
      <c r="AB5" s="1268" t="s">
        <v>1985</v>
      </c>
      <c r="AC5" s="71"/>
      <c r="AD5" s="71" t="s">
        <v>1986</v>
      </c>
      <c r="AE5" s="1267" t="s">
        <v>1987</v>
      </c>
      <c r="AF5" s="1268" t="s">
        <v>1988</v>
      </c>
      <c r="AG5" s="70" t="s">
        <v>1989</v>
      </c>
      <c r="AH5" s="1267" t="s">
        <v>1990</v>
      </c>
      <c r="AI5" s="2298" t="s">
        <v>1991</v>
      </c>
      <c r="AJ5" s="2298" t="s">
        <v>1992</v>
      </c>
      <c r="AK5" s="1268" t="s">
        <v>1993</v>
      </c>
      <c r="AL5" s="1268" t="s">
        <v>1994</v>
      </c>
      <c r="AM5" s="70" t="s">
        <v>1995</v>
      </c>
      <c r="AN5" s="2299" t="s">
        <v>1996</v>
      </c>
      <c r="AO5" s="2070" t="s">
        <v>1997</v>
      </c>
      <c r="AP5" s="1249" t="s">
        <v>1998</v>
      </c>
      <c r="AQ5" s="2300" t="s">
        <v>1999</v>
      </c>
      <c r="AR5" s="2300" t="s">
        <v>2000</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t="str">
        <f>'数据-汇总表'!C19</f>
        <v>住宅</v>
      </c>
      <c r="B6" s="2302" t="str">
        <f>IF(A6=0,"","经营性")</f>
        <v>经营性</v>
      </c>
      <c r="C6" s="2303" t="s">
        <v>3339</v>
      </c>
      <c r="D6" s="1051">
        <f>SUMIF(项目基本情况!D$12:I$12,C6,项目基本情况!D$14:I$14)</f>
        <v>70</v>
      </c>
      <c r="E6" s="1048">
        <f>IF(B6="","",SUMIF(项目基本情况!D$12:I$12,C6,项目基本情况!D$13:I$13))</f>
        <v>69509</v>
      </c>
      <c r="F6" s="72">
        <f>SUMIF(项目基本情况!D$12:I$12,C6,项目基本情况!D$15:I$15)</f>
        <v>69.83</v>
      </c>
      <c r="G6" s="73">
        <f>IF(ISERROR(ROUND(POWER(1+H6,D6-F6)*(POWER(1+H6,F6)-1)/(POWER(1+H6,D6)-1),3)),0,ROUND(POWER(1+H6,D6-F6)*(POWER(1+H6,F6)-1)/(POWER(1+H6,D6)-1),3))</f>
        <v>1</v>
      </c>
      <c r="H6" s="802">
        <v>4.4999999999999998E-2</v>
      </c>
      <c r="I6" s="802">
        <v>0.05</v>
      </c>
      <c r="J6" s="74">
        <v>8.5000000000000006E-2</v>
      </c>
      <c r="K6" s="1251">
        <f>SUMIF('数据-汇总表'!C$19:C$33,A6,'数据-汇总表'!E$19:E$33)</f>
        <v>42645.120000000003</v>
      </c>
      <c r="L6" s="803">
        <v>2500</v>
      </c>
      <c r="M6" s="75">
        <f t="shared" ref="M6:M14" si="0">ROUND(K6*L6/10000,0)</f>
        <v>10661</v>
      </c>
      <c r="N6" s="801">
        <v>0</v>
      </c>
      <c r="O6" s="75">
        <f>IF($N$5="成新度","——",ROUND(M6*N6,0))</f>
        <v>0</v>
      </c>
      <c r="P6" s="76">
        <f>IF($N$5="成新度","——",M6-O6)</f>
        <v>10661</v>
      </c>
      <c r="Q6" s="804">
        <v>0.1</v>
      </c>
      <c r="R6" s="77">
        <f ca="1">SUMIF('数据-汇总表'!C$19:C$33,A6,'数据-汇总表'!R$19:R$27)</f>
        <v>17058.07</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3"/>
      <c r="AG6" s="147">
        <f>IF(AF6="",0,AE6-AF6)</f>
        <v>0</v>
      </c>
      <c r="AH6" s="83"/>
      <c r="AI6" s="85"/>
      <c r="AJ6" s="86"/>
      <c r="AK6" s="87"/>
      <c r="AL6" s="88"/>
      <c r="AM6" s="89"/>
      <c r="AN6" s="2304"/>
      <c r="AO6" s="55" t="e">
        <f ca="1">SUMIF(INDIRECT("'"&amp;AN6&amp;"'"&amp;"!A:A"),"总价",INDIRECT("'"&amp;AN6&amp;"'"&amp;"!B:B"))</f>
        <v>#REF!</v>
      </c>
      <c r="AP6" s="2305">
        <f>IF(C6="住宅",K6*L6,0)</f>
        <v>106612800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商业</v>
      </c>
      <c r="B7" s="2302" t="str">
        <f t="shared" ref="B7:B13" si="1">IF(A7=0,"","经营性")</f>
        <v>经营性</v>
      </c>
      <c r="C7" s="2303" t="s">
        <v>1373</v>
      </c>
      <c r="D7" s="1051">
        <f>SUMIF(项目基本情况!D$12:I$12,C7,项目基本情况!D$14:I$14)</f>
        <v>40</v>
      </c>
      <c r="E7" s="1048">
        <f>IF(B7="","",SUMIF(项目基本情况!D$12:I$12,C7,项目基本情况!D$13:I$13))</f>
        <v>58552</v>
      </c>
      <c r="F7" s="72">
        <f>SUMIF(项目基本情况!D$12:I$12,C7,项目基本情况!D$15:I$15)</f>
        <v>39.81</v>
      </c>
      <c r="G7" s="73">
        <f t="shared" ref="G7:G11" si="2">IF(ISERROR(ROUND(POWER(1+H7,D7-F7)*(POWER(1+H7,F7)-1)/(POWER(1+H7,D7)-1),3)),0,ROUND(POWER(1+H7,D7-F7)*(POWER(1+H7,F7)-1)/(POWER(1+H7,D7)-1),3))</f>
        <v>0.999</v>
      </c>
      <c r="H7" s="802">
        <v>5.5E-2</v>
      </c>
      <c r="I7" s="802">
        <v>0.06</v>
      </c>
      <c r="J7" s="74">
        <v>8.5000000000000006E-2</v>
      </c>
      <c r="K7" s="1251">
        <f>SUMIF('数据-汇总表'!C$19:C$33,A7,'数据-汇总表'!E$19:E$33)</f>
        <v>10661.28</v>
      </c>
      <c r="L7" s="803">
        <v>2500</v>
      </c>
      <c r="M7" s="75">
        <f t="shared" si="0"/>
        <v>2665</v>
      </c>
      <c r="N7" s="801">
        <v>0</v>
      </c>
      <c r="O7" s="75">
        <f t="shared" ref="O7:O14" si="3">IF($N$5="成新度","——",ROUND(M7*N7,0))</f>
        <v>0</v>
      </c>
      <c r="P7" s="76">
        <f t="shared" ref="P7:P14" si="4">IF($N$5="成新度","——",M7-O7)</f>
        <v>2665</v>
      </c>
      <c r="Q7" s="804">
        <v>0.1</v>
      </c>
      <c r="R7" s="77">
        <f ca="1">SUMIF('数据-汇总表'!C$19:C$33,A7,'数据-汇总表'!R$19:R$27)</f>
        <v>4264.5200000000004</v>
      </c>
      <c r="S7" s="54">
        <f>IF('数据-汇总表'!$I$17="按面积比例",SUMIF('数据-汇总表'!C$19:C$33,A7,'数据-汇总表'!K$19:K$33),SUMIF('数据-汇总表'!C$19:C$33,A7,'数据-汇总表'!N$19:N$33))</f>
        <v>0</v>
      </c>
      <c r="T7" s="1443">
        <f t="shared" ref="T7:T13" si="5">ROUND($L$14*S7/10000,0)</f>
        <v>0</v>
      </c>
      <c r="U7" s="78">
        <v>1</v>
      </c>
      <c r="V7" s="79">
        <v>2.5000000000000001E-2</v>
      </c>
      <c r="W7" s="79">
        <v>0.1</v>
      </c>
      <c r="X7" s="1261"/>
      <c r="Y7" s="80">
        <v>1</v>
      </c>
      <c r="Z7" s="81"/>
      <c r="AA7" s="74"/>
      <c r="AB7" s="74"/>
      <c r="AC7" s="1261"/>
      <c r="AD7" s="82"/>
      <c r="AE7" s="1262">
        <f t="shared" ref="AE7:AE13" ca="1" si="6">IF(AN7="",0,SUMIF(INDIRECT("'"&amp;AN7&amp;"'"&amp;"!E:E"),$AE$5,INDIRECT("'"&amp;AN7&amp;"'"&amp;"!F:F")))</f>
        <v>37.81</v>
      </c>
      <c r="AF7" s="1803"/>
      <c r="AG7" s="147">
        <f t="shared" ref="AG7:AG13" si="7">IF(AF7="",0,AE7-AF7)</f>
        <v>0</v>
      </c>
      <c r="AH7" s="83"/>
      <c r="AI7" s="85">
        <v>365</v>
      </c>
      <c r="AJ7" s="86"/>
      <c r="AK7" s="87">
        <v>1.4999999999999999E-2</v>
      </c>
      <c r="AL7" s="88">
        <v>1.5E-3</v>
      </c>
      <c r="AM7" s="89">
        <v>1.4999999999999999E-2</v>
      </c>
      <c r="AN7" s="2304" t="s">
        <v>3404</v>
      </c>
      <c r="AO7" s="55">
        <f t="shared" ref="AO7:AO13" ca="1" si="8">SUMIF(INDIRECT("'"&amp;AN7&amp;"'"&amp;"!A:A"),"总价",INDIRECT("'"&amp;AN7&amp;"'"&amp;"!B:B"))</f>
        <v>4458</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2001</v>
      </c>
      <c r="B14" s="2302" t="s">
        <v>2002</v>
      </c>
      <c r="C14" s="2307" t="s">
        <v>2001</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2003</v>
      </c>
      <c r="B15" s="2302" t="s">
        <v>2002</v>
      </c>
      <c r="C15" s="2307" t="s">
        <v>2004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2005</v>
      </c>
      <c r="B16" s="97"/>
      <c r="C16" s="1005"/>
      <c r="D16" s="2309"/>
      <c r="E16" s="97"/>
      <c r="F16" s="97"/>
      <c r="G16" s="98">
        <f>ROUND(SUMPRODUCT(G6:G13,K6:K13)/SUMPRODUCT((G6:G13&gt;0)*(K6:K13)),3)</f>
        <v>1</v>
      </c>
      <c r="H16" s="99">
        <f>ROUND(SUMPRODUCT(H6:H13,K6:K13)/SUMPRODUCT((H6:H13&gt;0)*(K6:K13)),3)</f>
        <v>4.7E-2</v>
      </c>
      <c r="I16" s="100"/>
      <c r="J16" s="100"/>
      <c r="K16" s="101">
        <f>SUM(K6:K15)</f>
        <v>53306.400000000001</v>
      </c>
      <c r="L16" s="102">
        <f>ROUND(M16*10000/SUM(K6:K14),0)</f>
        <v>2500</v>
      </c>
      <c r="M16" s="102">
        <f>SUM(M6:M14)</f>
        <v>13326</v>
      </c>
      <c r="N16" s="103">
        <f>ROUND(SUMPRODUCT(M6:M14,N6:N14)/M16,3)</f>
        <v>0</v>
      </c>
      <c r="O16" s="102">
        <f>SUM(O6:O14)</f>
        <v>0</v>
      </c>
      <c r="P16" s="102">
        <f>SUM(P6:P14)</f>
        <v>13326</v>
      </c>
      <c r="Q16" s="104">
        <f>ROUND(SUMPRODUCT(Q6:Q13,K6:K13)/SUMPRODUCT((Q6:Q13&gt;0)*(K6:K13)),2)</f>
        <v>0.1</v>
      </c>
      <c r="R16" s="1255">
        <f ca="1">SUM(R6:R13)</f>
        <v>21322.59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0"/>
      <c r="D17" s="2268"/>
      <c r="E17" s="2268"/>
      <c r="F17" s="1580"/>
      <c r="G17" s="1580"/>
      <c r="H17" s="1580"/>
      <c r="I17" s="1580"/>
      <c r="J17" s="1580"/>
      <c r="K17" s="168"/>
      <c r="L17" s="168"/>
      <c r="M17" s="1580"/>
      <c r="N17" s="1580"/>
      <c r="O17" s="1580"/>
      <c r="P17" s="1580"/>
      <c r="Q17" s="1580"/>
      <c r="R17" s="1580"/>
      <c r="S17" s="1580"/>
      <c r="T17" s="1580"/>
      <c r="U17" s="2969" t="s">
        <v>3336</v>
      </c>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2006</v>
      </c>
      <c r="B18" s="2275"/>
      <c r="C18" s="2272"/>
      <c r="D18" s="2273"/>
      <c r="E18" s="2272"/>
      <c r="F18" s="2272"/>
      <c r="G18" s="2272"/>
      <c r="H18" s="2272"/>
      <c r="I18" s="2272"/>
      <c r="J18" s="2272"/>
      <c r="K18" s="168"/>
      <c r="L18" s="168"/>
      <c r="M18" s="1580"/>
      <c r="N18" s="1580"/>
      <c r="O18" s="1580"/>
      <c r="P18" s="1580"/>
      <c r="Q18" s="1580"/>
      <c r="R18" s="1580"/>
      <c r="S18" s="1580"/>
      <c r="T18" s="1580"/>
      <c r="U18" s="2969" t="s">
        <v>3338</v>
      </c>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2007</v>
      </c>
      <c r="B19" s="112">
        <v>0</v>
      </c>
      <c r="C19" s="2272" t="s">
        <v>2008</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2009</v>
      </c>
      <c r="B20" s="113">
        <v>2</v>
      </c>
      <c r="C20" s="2272" t="s">
        <v>2010</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2011</v>
      </c>
      <c r="B21" s="113">
        <f>ROUND(B20*N6,1)</f>
        <v>0</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2012</v>
      </c>
      <c r="B22" s="114">
        <f>B19+B20</f>
        <v>2</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2013</v>
      </c>
      <c r="B23" s="114">
        <f>B19+B21</f>
        <v>0</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2014</v>
      </c>
      <c r="B24" s="115">
        <f>B20-B21</f>
        <v>2</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2015</v>
      </c>
      <c r="B26" s="2315" t="s">
        <v>2016</v>
      </c>
      <c r="C26" s="2316" t="s">
        <v>2017</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2018</v>
      </c>
      <c r="B27" s="116">
        <v>50</v>
      </c>
      <c r="C27" s="1763" t="s">
        <v>2019</v>
      </c>
      <c r="D27" s="2318"/>
      <c r="E27" s="1427"/>
      <c r="F27" s="1427"/>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2020</v>
      </c>
      <c r="B28" s="119">
        <v>50</v>
      </c>
      <c r="C28" s="2321"/>
      <c r="D28" s="2318"/>
      <c r="E28" s="1427"/>
      <c r="F28" s="1427"/>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2021</v>
      </c>
      <c r="B29" s="121"/>
      <c r="C29" s="1763" t="s">
        <v>2022</v>
      </c>
      <c r="D29" s="2318"/>
      <c r="E29" s="1427"/>
      <c r="F29" s="1427"/>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2023</v>
      </c>
      <c r="B30" s="724">
        <v>150</v>
      </c>
      <c r="C30" s="2321"/>
      <c r="D30" s="2318"/>
      <c r="E30" s="1427"/>
      <c r="F30" s="1427"/>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2024</v>
      </c>
      <c r="B31" s="120">
        <f>B30-B32</f>
        <v>50</v>
      </c>
      <c r="C31" s="1763"/>
      <c r="D31" s="2318"/>
      <c r="E31" s="1427"/>
      <c r="F31" s="1427"/>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2025</v>
      </c>
      <c r="B32" s="725">
        <v>100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2026</v>
      </c>
      <c r="B33" s="726">
        <v>0.03</v>
      </c>
      <c r="C33" s="1762" t="s">
        <v>2027</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2028</v>
      </c>
      <c r="B34" s="122">
        <v>0.05</v>
      </c>
      <c r="C34" s="1762" t="s">
        <v>2029</v>
      </c>
      <c r="D34" s="2273" t="s">
        <v>2030</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2031</v>
      </c>
      <c r="B35" s="119">
        <f>B30</f>
        <v>150</v>
      </c>
      <c r="C35" s="1762" t="s">
        <v>2032</v>
      </c>
      <c r="D35" s="2318"/>
      <c r="E35" s="1427"/>
      <c r="F35" s="1427"/>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2033</v>
      </c>
      <c r="B36" s="123">
        <v>1.4999999999999999E-2</v>
      </c>
      <c r="C36" s="1762" t="s">
        <v>2034</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2035</v>
      </c>
      <c r="B37" s="124">
        <v>0.02</v>
      </c>
      <c r="C37" s="1762" t="s">
        <v>2036</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2037</v>
      </c>
      <c r="B38" s="122">
        <v>0.02</v>
      </c>
      <c r="C38" s="1762" t="s">
        <v>2036</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2038</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2039</v>
      </c>
      <c r="B40" s="1300">
        <f ca="1">存贷款利率!G1</f>
        <v>4.7500000000000001E-2</v>
      </c>
      <c r="C40" s="1762" t="s">
        <v>2040</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2041</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2042</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2043</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2044</v>
      </c>
      <c r="B44" s="128">
        <v>7.0000000000000007E-2</v>
      </c>
      <c r="C44" s="1762" t="s">
        <v>2045</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2046</v>
      </c>
      <c r="B45" s="126">
        <v>0.03</v>
      </c>
      <c r="C45" s="1763" t="s">
        <v>2047</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2048</v>
      </c>
      <c r="B46" s="126">
        <v>0.02</v>
      </c>
      <c r="C46" s="1763" t="s">
        <v>2049</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2050</v>
      </c>
      <c r="B47" s="129">
        <v>0</v>
      </c>
      <c r="C47" s="1763" t="s">
        <v>2051</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2052</v>
      </c>
      <c r="B48" s="130">
        <v>0.03</v>
      </c>
      <c r="C48" s="1770" t="s">
        <v>2053</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2054</v>
      </c>
      <c r="B49" s="126">
        <v>5.0000000000000001E-4</v>
      </c>
      <c r="C49" s="1770" t="s">
        <v>2055</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2056</v>
      </c>
      <c r="B50" s="131">
        <v>1.2E-2</v>
      </c>
      <c r="C50" s="1427"/>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2057</v>
      </c>
      <c r="B51" s="132">
        <v>0.12</v>
      </c>
      <c r="C51" s="1427"/>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2058</v>
      </c>
      <c r="B52" s="133">
        <f>SUMIF(A54:A63,B53,B54:B63)</f>
        <v>18</v>
      </c>
      <c r="C52" s="1427"/>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2059</v>
      </c>
      <c r="B53" s="2331" t="s">
        <v>269</v>
      </c>
      <c r="C53" s="1427" t="s">
        <v>2060</v>
      </c>
      <c r="D53" s="2332" t="s">
        <v>2061</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2062</v>
      </c>
      <c r="B54" s="84"/>
      <c r="C54" s="1427">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2063</v>
      </c>
      <c r="B55" s="84">
        <v>18</v>
      </c>
      <c r="C55" s="1427">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2064</v>
      </c>
      <c r="B56" s="84"/>
      <c r="C56" s="1427">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2065</v>
      </c>
      <c r="B57" s="84"/>
      <c r="C57" s="1427">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2066</v>
      </c>
      <c r="B58" s="84"/>
      <c r="C58" s="1427">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2067</v>
      </c>
      <c r="B59" s="84"/>
      <c r="C59" s="1427">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2068</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2069</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2070</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2071</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6"/>
      <c r="D64" s="2337"/>
      <c r="K64" s="798"/>
      <c r="L64" s="798"/>
    </row>
    <row r="65" spans="1:12" s="964" customFormat="1">
      <c r="A65" s="2336"/>
      <c r="D65" s="2337"/>
      <c r="K65" s="798"/>
      <c r="L65" s="798"/>
    </row>
    <row r="66" spans="1:12" s="964" customFormat="1">
      <c r="A66" s="2336"/>
      <c r="D66" s="2337"/>
      <c r="K66" s="798"/>
      <c r="L66" s="798"/>
    </row>
    <row r="67" spans="1:12" s="964" customFormat="1">
      <c r="A67" s="2336"/>
      <c r="D67" s="2337"/>
      <c r="K67" s="798"/>
      <c r="L67" s="798"/>
    </row>
    <row r="68" spans="1:12" s="964" customFormat="1">
      <c r="A68" s="2336"/>
      <c r="D68" s="2337"/>
      <c r="K68" s="798"/>
      <c r="L68" s="798"/>
    </row>
    <row r="69" spans="1:12" s="964" customFormat="1">
      <c r="A69" s="2336"/>
      <c r="D69" s="2337"/>
      <c r="K69" s="798"/>
      <c r="L69" s="798"/>
    </row>
    <row r="70" spans="1:12" s="964" customFormat="1">
      <c r="A70" s="2336"/>
      <c r="D70" s="2337"/>
      <c r="K70" s="798"/>
      <c r="L70" s="798"/>
    </row>
    <row r="71" spans="1:12" s="964" customFormat="1">
      <c r="A71" s="2336"/>
      <c r="D71" s="2337"/>
      <c r="K71" s="798"/>
      <c r="L71" s="798"/>
    </row>
    <row r="72" spans="1:12" s="964" customFormat="1">
      <c r="A72" s="2336"/>
      <c r="D72" s="2337"/>
      <c r="K72" s="798"/>
      <c r="L72" s="798"/>
    </row>
    <row r="73" spans="1:12" s="964" customFormat="1">
      <c r="A73" s="2336"/>
      <c r="D73" s="2337"/>
      <c r="K73" s="798"/>
      <c r="L73" s="798"/>
    </row>
    <row r="74" spans="1:12" s="964" customFormat="1">
      <c r="A74" s="2336"/>
      <c r="D74" s="2337"/>
      <c r="K74" s="798"/>
      <c r="L74" s="798"/>
    </row>
    <row r="75" spans="1:12" s="964" customFormat="1">
      <c r="A75" s="2336"/>
      <c r="D75" s="2337"/>
      <c r="K75" s="798"/>
      <c r="L75" s="798"/>
    </row>
    <row r="76" spans="1:12" s="964" customFormat="1">
      <c r="A76" s="2336"/>
      <c r="D76" s="2337"/>
      <c r="K76" s="798"/>
      <c r="L76" s="798"/>
    </row>
    <row r="77" spans="1:12" s="964" customFormat="1">
      <c r="A77" s="2336"/>
      <c r="D77" s="2337"/>
      <c r="K77" s="798"/>
      <c r="L77" s="798"/>
    </row>
    <row r="78" spans="1:12" s="964" customFormat="1">
      <c r="A78" s="2336"/>
      <c r="D78" s="2337"/>
      <c r="K78" s="798"/>
      <c r="L78" s="798"/>
    </row>
    <row r="79" spans="1:12" s="964" customFormat="1">
      <c r="A79" s="2336"/>
      <c r="D79" s="2337"/>
      <c r="K79" s="798"/>
      <c r="L79" s="798"/>
    </row>
    <row r="80" spans="1:12" s="964" customFormat="1">
      <c r="A80" s="2336"/>
      <c r="D80" s="2337"/>
      <c r="K80" s="798"/>
      <c r="L80" s="798"/>
    </row>
    <row r="81" spans="1:12" s="964" customFormat="1">
      <c r="A81" s="2336"/>
      <c r="D81" s="2337"/>
      <c r="K81" s="798"/>
      <c r="L81" s="798"/>
    </row>
    <row r="82" spans="1:12" s="964" customFormat="1">
      <c r="A82" s="2336"/>
      <c r="D82" s="2337"/>
      <c r="K82" s="798"/>
      <c r="L82" s="798"/>
    </row>
    <row r="83" spans="1:12" s="964" customFormat="1">
      <c r="A83" s="2336"/>
      <c r="D83" s="2337"/>
      <c r="K83" s="798"/>
      <c r="L83" s="798"/>
    </row>
    <row r="84" spans="1:12" s="964" customFormat="1">
      <c r="A84" s="2336"/>
      <c r="D84" s="2337"/>
      <c r="K84" s="798"/>
      <c r="L84" s="798"/>
    </row>
    <row r="85" spans="1:12" s="964" customFormat="1">
      <c r="A85" s="2336"/>
      <c r="D85" s="2337"/>
      <c r="K85" s="798"/>
      <c r="L85" s="798"/>
    </row>
    <row r="86" spans="1:12" s="964" customFormat="1">
      <c r="A86" s="2336"/>
      <c r="D86" s="2337"/>
      <c r="K86" s="798"/>
      <c r="L86" s="798"/>
    </row>
    <row r="87" spans="1:12" s="964" customFormat="1">
      <c r="A87" s="2336"/>
      <c r="D87" s="2337"/>
      <c r="K87" s="798"/>
      <c r="L87" s="798"/>
    </row>
    <row r="88" spans="1:12" s="964" customFormat="1">
      <c r="A88" s="2336"/>
      <c r="D88" s="2337"/>
      <c r="K88" s="798"/>
      <c r="L88" s="798"/>
    </row>
    <row r="89" spans="1:12" s="964" customFormat="1">
      <c r="A89" s="2336"/>
      <c r="D89" s="2337"/>
      <c r="K89" s="798"/>
      <c r="L89" s="798"/>
    </row>
    <row r="90" spans="1:12" s="964" customFormat="1">
      <c r="A90" s="2336"/>
      <c r="D90" s="2337"/>
      <c r="K90" s="798"/>
      <c r="L90" s="798"/>
    </row>
    <row r="91" spans="1:12" s="964" customFormat="1">
      <c r="A91" s="2336"/>
      <c r="D91" s="2337"/>
      <c r="K91" s="798"/>
      <c r="L91" s="798"/>
    </row>
    <row r="92" spans="1:12" s="964" customFormat="1">
      <c r="A92" s="2336"/>
      <c r="D92" s="2337"/>
      <c r="K92" s="798"/>
      <c r="L92" s="798"/>
    </row>
    <row r="93" spans="1:12" s="964" customFormat="1">
      <c r="A93" s="2336"/>
      <c r="D93" s="2337"/>
      <c r="K93" s="798"/>
      <c r="L93" s="798"/>
    </row>
    <row r="94" spans="1:12" s="964" customFormat="1">
      <c r="A94" s="2336"/>
      <c r="D94" s="2337"/>
      <c r="K94" s="798"/>
      <c r="L94" s="798"/>
    </row>
    <row r="95" spans="1:12" s="964" customFormat="1">
      <c r="A95" s="2336"/>
      <c r="D95" s="2337"/>
      <c r="K95" s="798"/>
      <c r="L95" s="798"/>
    </row>
    <row r="96" spans="1:12" s="964" customFormat="1">
      <c r="A96" s="2336"/>
      <c r="D96" s="2337"/>
      <c r="K96" s="798"/>
      <c r="L96" s="798"/>
    </row>
    <row r="97" spans="1:12" s="964" customFormat="1">
      <c r="A97" s="2336"/>
      <c r="D97" s="2337"/>
      <c r="K97" s="798"/>
      <c r="L97" s="798"/>
    </row>
    <row r="98" spans="1:12" s="964" customFormat="1">
      <c r="A98" s="2336"/>
      <c r="D98" s="2337"/>
      <c r="K98" s="798"/>
      <c r="L98" s="798"/>
    </row>
    <row r="99" spans="1:12" s="964" customFormat="1">
      <c r="A99" s="2336"/>
      <c r="D99" s="2337"/>
      <c r="K99" s="798"/>
      <c r="L99" s="798"/>
    </row>
    <row r="100" spans="1:12" s="964" customFormat="1">
      <c r="A100" s="2336"/>
      <c r="D100" s="2337"/>
      <c r="K100" s="798"/>
      <c r="L100" s="798"/>
    </row>
    <row r="101" spans="1:12" s="964" customFormat="1">
      <c r="A101" s="2336"/>
      <c r="D101" s="2337"/>
      <c r="K101" s="798"/>
      <c r="L101" s="798"/>
    </row>
    <row r="102" spans="1:12" s="964" customFormat="1">
      <c r="A102" s="2336"/>
      <c r="D102" s="2337"/>
      <c r="K102" s="798"/>
      <c r="L102" s="798"/>
    </row>
    <row r="103" spans="1:12" s="964" customFormat="1">
      <c r="A103" s="2336"/>
      <c r="D103" s="2337"/>
      <c r="K103" s="798"/>
      <c r="L103" s="798"/>
    </row>
    <row r="104" spans="1:12" s="964" customFormat="1">
      <c r="A104" s="2336"/>
      <c r="D104" s="2337"/>
      <c r="K104" s="798"/>
      <c r="L104" s="798"/>
    </row>
    <row r="105" spans="1:12" s="964" customFormat="1">
      <c r="A105" s="2336"/>
      <c r="D105" s="2337"/>
      <c r="K105" s="798"/>
      <c r="L105" s="798"/>
    </row>
    <row r="106" spans="1:12" s="964" customFormat="1">
      <c r="A106" s="2336"/>
      <c r="D106" s="2337"/>
      <c r="K106" s="798"/>
      <c r="L106" s="798"/>
    </row>
    <row r="107" spans="1:12" s="964" customFormat="1">
      <c r="A107" s="2336"/>
      <c r="D107" s="2337"/>
      <c r="K107" s="798"/>
      <c r="L107" s="798"/>
    </row>
    <row r="108" spans="1:12" s="964" customFormat="1">
      <c r="A108" s="2336"/>
      <c r="D108" s="2337"/>
      <c r="K108" s="798"/>
      <c r="L108" s="798"/>
    </row>
    <row r="109" spans="1:12" s="964" customFormat="1">
      <c r="A109" s="2336"/>
      <c r="D109" s="2337"/>
      <c r="K109" s="798"/>
      <c r="L109" s="798"/>
    </row>
    <row r="110" spans="1:12" s="964" customFormat="1">
      <c r="A110" s="2336"/>
      <c r="D110" s="2337"/>
      <c r="K110" s="798"/>
      <c r="L110" s="798"/>
    </row>
    <row r="111" spans="1:12" s="964" customFormat="1">
      <c r="A111" s="2336"/>
      <c r="D111" s="2337"/>
      <c r="K111" s="798"/>
      <c r="L111" s="798"/>
    </row>
    <row r="112" spans="1:12" s="964" customFormat="1">
      <c r="A112" s="2336"/>
      <c r="D112" s="2337"/>
      <c r="K112" s="798"/>
      <c r="L112" s="798"/>
    </row>
    <row r="113" spans="1:12" s="964" customFormat="1">
      <c r="A113" s="2336"/>
      <c r="D113" s="2337"/>
      <c r="K113" s="798"/>
      <c r="L113" s="798"/>
    </row>
    <row r="114" spans="1:12" s="964" customFormat="1">
      <c r="A114" s="2336"/>
      <c r="D114" s="2337"/>
      <c r="K114" s="798"/>
      <c r="L114" s="798"/>
    </row>
    <row r="115" spans="1:12" s="964" customFormat="1">
      <c r="A115" s="2336"/>
      <c r="D115" s="2337"/>
      <c r="K115" s="798"/>
      <c r="L115" s="798"/>
    </row>
    <row r="116" spans="1:12" s="964" customFormat="1">
      <c r="A116" s="2336"/>
      <c r="D116" s="2337"/>
      <c r="K116" s="798"/>
      <c r="L116" s="798"/>
    </row>
    <row r="117" spans="1:12" s="964" customFormat="1">
      <c r="A117" s="2336"/>
      <c r="D117" s="2337"/>
      <c r="K117" s="798"/>
      <c r="L117" s="798"/>
    </row>
    <row r="118" spans="1:12" s="964" customFormat="1">
      <c r="A118" s="2336"/>
      <c r="D118" s="2337"/>
      <c r="K118" s="798"/>
      <c r="L118" s="798"/>
    </row>
    <row r="119" spans="1:12" s="964" customFormat="1">
      <c r="A119" s="2336"/>
      <c r="D119" s="2337"/>
      <c r="K119" s="798"/>
      <c r="L119" s="798"/>
    </row>
    <row r="120" spans="1:12" s="964" customFormat="1">
      <c r="A120" s="2336"/>
      <c r="D120" s="2337"/>
      <c r="K120" s="798"/>
      <c r="L120" s="798"/>
    </row>
    <row r="121" spans="1:12" s="964" customFormat="1">
      <c r="A121" s="2336"/>
      <c r="D121" s="2337"/>
      <c r="K121" s="798"/>
      <c r="L121" s="798"/>
    </row>
    <row r="122" spans="1:12" s="964" customFormat="1">
      <c r="A122" s="2336"/>
      <c r="D122" s="2337"/>
      <c r="K122" s="798"/>
      <c r="L122" s="798"/>
    </row>
    <row r="123" spans="1:12" s="964" customFormat="1">
      <c r="A123" s="2336"/>
      <c r="D123" s="2337"/>
      <c r="K123" s="798"/>
      <c r="L123" s="798"/>
    </row>
    <row r="124" spans="1:12" s="964" customFormat="1">
      <c r="A124" s="2336"/>
      <c r="D124" s="2337"/>
      <c r="K124" s="798"/>
      <c r="L124" s="798"/>
    </row>
    <row r="125" spans="1:12" s="964" customFormat="1">
      <c r="A125" s="2336"/>
      <c r="D125" s="2337"/>
      <c r="K125" s="798"/>
      <c r="L125" s="798"/>
    </row>
    <row r="126" spans="1:12" s="964" customFormat="1">
      <c r="A126" s="2336"/>
      <c r="D126" s="2337"/>
      <c r="K126" s="798"/>
      <c r="L126" s="798"/>
    </row>
    <row r="127" spans="1:12" s="964" customFormat="1">
      <c r="A127" s="2336"/>
      <c r="D127" s="2337"/>
      <c r="K127" s="798"/>
      <c r="L127" s="798"/>
    </row>
    <row r="128" spans="1:12" s="964" customFormat="1">
      <c r="A128" s="2336"/>
      <c r="D128" s="2337"/>
      <c r="K128" s="798"/>
      <c r="L128" s="798"/>
    </row>
    <row r="129" spans="1:12" s="964" customFormat="1">
      <c r="A129" s="2336"/>
      <c r="D129" s="2337"/>
      <c r="K129" s="798"/>
      <c r="L129" s="798"/>
    </row>
    <row r="130" spans="1:12" s="964" customFormat="1">
      <c r="A130" s="2336"/>
      <c r="D130" s="2337"/>
      <c r="K130" s="798"/>
      <c r="L130" s="798"/>
    </row>
    <row r="131" spans="1:12" s="964" customFormat="1">
      <c r="A131" s="2336"/>
      <c r="D131" s="2337"/>
      <c r="K131" s="798"/>
      <c r="L131" s="798"/>
    </row>
    <row r="132" spans="1:12" s="964" customFormat="1">
      <c r="A132" s="2336"/>
      <c r="D132" s="2337"/>
      <c r="K132" s="798"/>
      <c r="L132" s="798"/>
    </row>
    <row r="133" spans="1:12" s="964"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069" t="s">
        <v>2072</v>
      </c>
      <c r="B1" s="3070"/>
      <c r="C1" s="3070"/>
      <c r="D1" s="3070"/>
      <c r="E1" s="3070"/>
      <c r="F1" s="3070"/>
      <c r="G1" s="3070"/>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2073</v>
      </c>
      <c r="D2" s="2361"/>
      <c r="E2" s="2362"/>
      <c r="F2" s="2281"/>
      <c r="G2" s="2360" t="s">
        <v>2074</v>
      </c>
      <c r="H2" s="2363"/>
      <c r="I2" s="2363"/>
      <c r="J2" s="2363"/>
      <c r="K2" s="2363"/>
      <c r="L2" s="2363"/>
      <c r="M2" s="2363"/>
      <c r="N2" s="2363"/>
      <c r="O2" s="2363"/>
      <c r="P2" s="2363"/>
      <c r="Q2" s="2363"/>
      <c r="R2" s="2363"/>
    </row>
    <row r="3" spans="1:29" ht="42.75">
      <c r="A3" s="415" t="s">
        <v>2075</v>
      </c>
      <c r="B3" s="1268" t="s">
        <v>2076</v>
      </c>
      <c r="C3" s="2970" t="s">
        <v>3394</v>
      </c>
      <c r="D3" s="2365"/>
      <c r="E3" s="431" t="s">
        <v>2075</v>
      </c>
      <c r="F3" s="2366" t="s">
        <v>2077</v>
      </c>
      <c r="G3" s="2367" t="s">
        <v>2078</v>
      </c>
      <c r="H3" s="2363"/>
      <c r="I3" s="2363"/>
      <c r="J3" s="2363"/>
      <c r="K3" s="2363"/>
      <c r="L3" s="2363"/>
      <c r="M3" s="2363"/>
      <c r="N3" s="2363"/>
      <c r="O3" s="2363"/>
      <c r="P3" s="2363"/>
      <c r="Q3" s="2363"/>
      <c r="R3" s="2363"/>
    </row>
    <row r="4" spans="1:29" ht="40.5">
      <c r="A4" s="431"/>
      <c r="B4" s="1794" t="s">
        <v>2079</v>
      </c>
      <c r="C4" s="2956" t="s">
        <v>3092</v>
      </c>
      <c r="D4" s="2365"/>
      <c r="E4" s="2368"/>
      <c r="F4" s="42" t="s">
        <v>2080</v>
      </c>
      <c r="G4" s="2369" t="s">
        <v>2081</v>
      </c>
      <c r="H4" s="2363"/>
      <c r="I4" s="2363"/>
      <c r="J4" s="2363"/>
      <c r="K4" s="2363"/>
      <c r="L4" s="2363"/>
      <c r="M4" s="2363"/>
      <c r="N4" s="2363"/>
      <c r="O4" s="2363"/>
      <c r="P4" s="2363"/>
      <c r="Q4" s="2363"/>
      <c r="R4" s="2363"/>
    </row>
    <row r="5" spans="1:29" ht="27">
      <c r="A5" s="431"/>
      <c r="B5" s="1794" t="s">
        <v>2082</v>
      </c>
      <c r="C5" s="2956" t="s">
        <v>3094</v>
      </c>
      <c r="D5" s="2365"/>
      <c r="E5" s="2368"/>
      <c r="F5" s="1794" t="s">
        <v>2083</v>
      </c>
      <c r="G5" s="2369" t="s">
        <v>2084</v>
      </c>
      <c r="H5" s="2363"/>
      <c r="I5" s="2363"/>
      <c r="J5" s="2363"/>
      <c r="K5" s="2363"/>
      <c r="L5" s="2363"/>
      <c r="M5" s="2363"/>
      <c r="N5" s="2363"/>
      <c r="O5" s="2363"/>
      <c r="P5" s="2363"/>
      <c r="Q5" s="2363"/>
      <c r="R5" s="2363"/>
    </row>
    <row r="6" spans="1:29" ht="15">
      <c r="A6" s="431"/>
      <c r="B6" s="1794" t="s">
        <v>2085</v>
      </c>
      <c r="C6" s="2957" t="s">
        <v>3095</v>
      </c>
      <c r="D6" s="2365"/>
      <c r="E6" s="2368"/>
      <c r="F6" s="1794" t="s">
        <v>2086</v>
      </c>
      <c r="G6" s="2369" t="s">
        <v>2087</v>
      </c>
      <c r="H6" s="2363"/>
      <c r="I6" s="2363"/>
      <c r="J6" s="2363"/>
      <c r="K6" s="2363"/>
      <c r="L6" s="2363"/>
      <c r="M6" s="2363"/>
      <c r="N6" s="2363"/>
      <c r="O6" s="2363"/>
      <c r="P6" s="2363"/>
      <c r="Q6" s="2363"/>
      <c r="R6" s="2363"/>
    </row>
    <row r="7" spans="1:29" ht="41.25" thickBot="1">
      <c r="A7" s="431"/>
      <c r="B7" s="1794" t="s">
        <v>2083</v>
      </c>
      <c r="C7" s="2957" t="s">
        <v>3096</v>
      </c>
      <c r="D7" s="2370"/>
      <c r="E7" s="2371"/>
      <c r="F7" s="2372" t="s">
        <v>2088</v>
      </c>
      <c r="G7" s="2373" t="s">
        <v>2089</v>
      </c>
      <c r="H7" s="2363"/>
      <c r="I7" s="2363"/>
      <c r="J7" s="2363"/>
      <c r="K7" s="2363"/>
      <c r="L7" s="2363"/>
      <c r="M7" s="2363"/>
      <c r="N7" s="2363"/>
      <c r="O7" s="2363"/>
      <c r="P7" s="2363"/>
      <c r="Q7" s="2363"/>
      <c r="R7" s="2363"/>
    </row>
    <row r="8" spans="1:29" ht="15">
      <c r="A8" s="431"/>
      <c r="B8" s="1794" t="s">
        <v>2086</v>
      </c>
      <c r="C8" s="2957" t="s">
        <v>3098</v>
      </c>
      <c r="D8" s="2370"/>
      <c r="E8" s="2370"/>
      <c r="F8" s="1133"/>
      <c r="G8" s="1133"/>
      <c r="H8" s="2363"/>
      <c r="I8" s="2363"/>
      <c r="J8" s="2363"/>
      <c r="K8" s="2363"/>
      <c r="L8" s="2363"/>
      <c r="M8" s="2363"/>
      <c r="N8" s="2363"/>
      <c r="O8" s="2363"/>
      <c r="P8" s="2363"/>
      <c r="Q8" s="2363"/>
      <c r="R8" s="2363"/>
    </row>
    <row r="9" spans="1:29" ht="15">
      <c r="A9" s="431"/>
      <c r="B9" s="1794" t="s">
        <v>2090</v>
      </c>
      <c r="C9" s="2956" t="s">
        <v>3096</v>
      </c>
      <c r="D9" s="2365"/>
      <c r="E9" s="2370"/>
      <c r="F9" s="1133"/>
      <c r="G9" s="1133"/>
      <c r="H9" s="2363"/>
      <c r="I9" s="2363"/>
      <c r="J9" s="2363"/>
      <c r="K9" s="2363"/>
      <c r="L9" s="2363"/>
      <c r="M9" s="2363"/>
      <c r="N9" s="2363"/>
      <c r="O9" s="2363"/>
      <c r="P9" s="2363"/>
      <c r="Q9" s="2363"/>
      <c r="R9" s="2363"/>
    </row>
    <row r="10" spans="1:29" s="117" customFormat="1" ht="15.75" thickBot="1">
      <c r="A10" s="2374"/>
      <c r="B10" s="2375" t="s">
        <v>2091</v>
      </c>
      <c r="C10" s="2376"/>
      <c r="D10" s="2365"/>
      <c r="E10" s="2365"/>
      <c r="F10" s="1133"/>
      <c r="G10" s="1133"/>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0"/>
      <c r="C11" s="2365"/>
      <c r="D11" s="2365"/>
      <c r="E11" s="2365"/>
      <c r="F11" s="2370"/>
      <c r="G11" s="1151"/>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0"/>
      <c r="C12" s="2365"/>
      <c r="D12" s="2381"/>
      <c r="E12" s="2365"/>
      <c r="F12" s="2370"/>
      <c r="G12" s="1151"/>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2092</v>
      </c>
      <c r="B13" s="2381"/>
      <c r="C13" s="2381"/>
      <c r="D13" s="2388"/>
      <c r="E13" s="2381"/>
      <c r="F13" s="2381"/>
      <c r="G13" s="2381"/>
    </row>
    <row r="14" spans="1:29" ht="15.75" thickBot="1">
      <c r="A14" s="2392"/>
      <c r="B14" s="2393"/>
      <c r="C14" s="2394" t="s">
        <v>2093</v>
      </c>
      <c r="D14" s="2365"/>
      <c r="E14" s="2395"/>
      <c r="F14" s="2395"/>
      <c r="G14" s="2360" t="s">
        <v>2094</v>
      </c>
    </row>
    <row r="15" spans="1:29" ht="42.75">
      <c r="A15" s="68" t="s">
        <v>2095</v>
      </c>
      <c r="B15" s="1267" t="s">
        <v>2076</v>
      </c>
      <c r="C15" s="2396" t="str">
        <f>C3</f>
        <v>一般</v>
      </c>
      <c r="D15" s="2365"/>
      <c r="E15" s="2397" t="s">
        <v>2096</v>
      </c>
      <c r="F15" s="1267" t="s">
        <v>2097</v>
      </c>
      <c r="G15" s="135" t="str">
        <f>G3</f>
        <v>估价对象位于XX开发区，园区建设成熟度XX，产业集聚程度XX</v>
      </c>
    </row>
    <row r="16" spans="1:29" ht="42.75">
      <c r="A16" s="645"/>
      <c r="B16" s="2398" t="s">
        <v>2079</v>
      </c>
      <c r="C16" s="2399" t="str">
        <f>C4</f>
        <v>较好</v>
      </c>
      <c r="D16" s="2365"/>
      <c r="E16" s="2400"/>
      <c r="F16" s="2401" t="s">
        <v>2080</v>
      </c>
      <c r="G16" s="136" t="str">
        <f>G4</f>
        <v>估价对象周边道路状况、公共交通通达情况、停车便捷程度，综合评价交通便捷度较好</v>
      </c>
    </row>
    <row r="17" spans="1:18" ht="15">
      <c r="A17" s="645"/>
      <c r="B17" s="2398" t="s">
        <v>2082</v>
      </c>
      <c r="C17" s="2399" t="str">
        <f>C5</f>
        <v>一般</v>
      </c>
      <c r="D17" s="2370"/>
      <c r="E17" s="2400"/>
      <c r="F17" s="2401" t="s">
        <v>2098</v>
      </c>
      <c r="G17" s="1568"/>
    </row>
    <row r="18" spans="1:18" ht="42.75">
      <c r="A18" s="645"/>
      <c r="B18" s="2401" t="s">
        <v>2085</v>
      </c>
      <c r="C18" s="136" t="str">
        <f>C6</f>
        <v>一般</v>
      </c>
      <c r="D18" s="2370"/>
      <c r="E18" s="2400"/>
      <c r="F18" s="2401" t="s">
        <v>2088</v>
      </c>
      <c r="G18" s="136" t="str">
        <f>G7</f>
        <v>该园区内是否有污染型企业，绿化情况，卫生条件，整体环境状况判断</v>
      </c>
    </row>
    <row r="19" spans="1:18" ht="28.5">
      <c r="A19" s="645"/>
      <c r="B19" s="2401" t="s">
        <v>2099</v>
      </c>
      <c r="C19" s="2958" t="s">
        <v>3099</v>
      </c>
      <c r="D19" s="2365"/>
      <c r="E19" s="2400"/>
      <c r="F19" s="1794" t="s">
        <v>2083</v>
      </c>
      <c r="G19" s="136" t="str">
        <f>G5</f>
        <v>估价对象所在区域公共配套设施齐备情况</v>
      </c>
    </row>
    <row r="20" spans="1:18" ht="15">
      <c r="A20" s="645"/>
      <c r="B20" s="2401" t="s">
        <v>2100</v>
      </c>
      <c r="C20" s="2399" t="str">
        <f>C9</f>
        <v>较好</v>
      </c>
      <c r="D20" s="2370"/>
      <c r="E20" s="2400"/>
      <c r="F20" s="1794" t="s">
        <v>2101</v>
      </c>
      <c r="G20" s="136" t="str">
        <f>G6</f>
        <v>估价对象所在区域基础设施水平</v>
      </c>
    </row>
    <row r="21" spans="1:18" ht="15">
      <c r="A21" s="645"/>
      <c r="B21" s="1794" t="s">
        <v>2083</v>
      </c>
      <c r="C21" s="136" t="str">
        <f>C7</f>
        <v>较好</v>
      </c>
      <c r="D21" s="2365"/>
      <c r="E21" s="2400"/>
      <c r="F21" s="2401" t="s">
        <v>2102</v>
      </c>
      <c r="G21" s="2402"/>
    </row>
    <row r="22" spans="1:18" ht="13.5" customHeight="1">
      <c r="A22" s="645"/>
      <c r="B22" s="1794" t="s">
        <v>2086</v>
      </c>
      <c r="C22" s="136" t="str">
        <f>C8</f>
        <v>六通</v>
      </c>
      <c r="D22" s="2365"/>
      <c r="E22" s="2400"/>
      <c r="F22" s="2401" t="s">
        <v>2091</v>
      </c>
      <c r="G22" s="1568"/>
    </row>
    <row r="23" spans="1:18" s="2363" customFormat="1" ht="15.75" thickBot="1">
      <c r="A23" s="645"/>
      <c r="B23" s="2401" t="s">
        <v>2102</v>
      </c>
      <c r="C23" s="2402"/>
      <c r="D23" s="2389"/>
      <c r="E23" s="2403"/>
      <c r="F23" s="2404" t="s">
        <v>2103</v>
      </c>
      <c r="G23" s="2405"/>
      <c r="H23" s="2389"/>
      <c r="I23" s="2390"/>
      <c r="J23" s="2389"/>
      <c r="K23" s="2389"/>
      <c r="L23" s="2390"/>
      <c r="M23" s="2389"/>
      <c r="N23" s="2389"/>
      <c r="O23" s="2390"/>
      <c r="P23" s="2389"/>
      <c r="Q23" s="2389"/>
      <c r="R23" s="2391"/>
    </row>
    <row r="24" spans="1:18" s="2363" customFormat="1" ht="15.75" thickBot="1">
      <c r="A24" s="2406"/>
      <c r="B24" s="2404" t="s">
        <v>2104</v>
      </c>
      <c r="C24" s="137">
        <f>C10</f>
        <v>0</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22" sqref="C22"/>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220779</v>
      </c>
      <c r="C1" s="1741"/>
      <c r="D1" s="1741"/>
      <c r="E1" s="1741"/>
      <c r="F1" s="1741"/>
      <c r="G1" s="1739"/>
    </row>
    <row r="2" spans="1:10" ht="16.5">
      <c r="A2" s="1742" t="s">
        <v>1349</v>
      </c>
      <c r="B2" s="1742">
        <f>SUM(C14:C23)</f>
        <v>77146.81</v>
      </c>
      <c r="C2" s="1741"/>
      <c r="D2" s="1741"/>
      <c r="E2" s="1741"/>
      <c r="F2" s="1741"/>
      <c r="G2" s="1739"/>
    </row>
    <row r="3" spans="1:10" ht="16.5">
      <c r="A3" s="1742" t="s">
        <v>1358</v>
      </c>
      <c r="B3" s="1743">
        <f>项目基本情况!D3</f>
        <v>44018</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18316</v>
      </c>
      <c r="C5" s="1742">
        <f ca="1">ROUND(B5*10000/$B$1,0)</f>
        <v>830</v>
      </c>
      <c r="D5" s="1742">
        <f ca="1">ROUND(B5*10000/$B$2,0)</f>
        <v>2374</v>
      </c>
      <c r="E5" s="1741"/>
      <c r="F5" s="1739"/>
      <c r="G5" s="1739"/>
    </row>
    <row r="6" spans="1:10" ht="16.5">
      <c r="A6" s="1742" t="s">
        <v>1352</v>
      </c>
      <c r="B6" s="1742">
        <f ca="1">SUM(G14:G23)</f>
        <v>18316</v>
      </c>
      <c r="C6" s="1742">
        <f ca="1">ROUND(B6*10000/$B$1,0)</f>
        <v>830</v>
      </c>
      <c r="D6" s="1742">
        <f ca="1">ROUND(B6*10000/$B$2,0)</f>
        <v>2374</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53306.400000000001</v>
      </c>
      <c r="C14" s="1740">
        <f>结果表!C118</f>
        <v>21322.59</v>
      </c>
      <c r="D14" s="1740">
        <f ca="1">结果表!H118</f>
        <v>4649</v>
      </c>
      <c r="E14" s="1740">
        <f ca="1">ROUND(D14*10000/B14,0)</f>
        <v>872</v>
      </c>
      <c r="F14" s="1740">
        <f ca="1">ROUND(D14*10000/C14,0)</f>
        <v>2180</v>
      </c>
      <c r="G14" s="1740">
        <f ca="1">结果表!D122</f>
        <v>4649</v>
      </c>
      <c r="H14" s="1740" t="str">
        <f>结果表!D124</f>
        <v>——</v>
      </c>
      <c r="I14" s="1740" t="str">
        <f>结果表!D126</f>
        <v>——</v>
      </c>
      <c r="J14" s="1739"/>
    </row>
    <row r="15" spans="1:10" ht="16.5">
      <c r="A15" s="1738" t="s">
        <v>1345</v>
      </c>
      <c r="B15" s="1745">
        <f>[1]系统读取表!$B$14</f>
        <v>167472.6</v>
      </c>
      <c r="C15" s="1745">
        <f>[1]系统读取表!$C$14</f>
        <v>55824.22</v>
      </c>
      <c r="D15" s="1745">
        <f ca="1">[1]系统读取表!$D$14</f>
        <v>13667</v>
      </c>
      <c r="E15" s="1740">
        <f t="shared" ref="E15:E23" ca="1" si="0">ROUND(D15*10000/B15,0)</f>
        <v>816</v>
      </c>
      <c r="F15" s="1740">
        <f t="shared" ref="F15:F23" ca="1" si="1">ROUND(D15*10000/C15,0)</f>
        <v>2448</v>
      </c>
      <c r="G15" s="1746">
        <f ca="1">D15</f>
        <v>13667</v>
      </c>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9" sqref="G29"/>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0" t="s">
        <v>2105</v>
      </c>
      <c r="B1" s="2412"/>
      <c r="C1" s="2413"/>
      <c r="D1" s="2412"/>
      <c r="E1" s="2412"/>
      <c r="F1" s="2414" t="s">
        <v>2106</v>
      </c>
      <c r="G1" s="2067" t="s">
        <v>3393</v>
      </c>
      <c r="H1" s="2415" t="str">
        <f>IF(G1="现房","——","估价对象范围")</f>
        <v>估价对象范围</v>
      </c>
      <c r="I1" s="2416"/>
    </row>
    <row r="2" spans="1:12" ht="21.75" customHeight="1" thickBot="1">
      <c r="A2" s="3143" t="str">
        <f>项目基本情况!S2</f>
        <v>贵州省六盘水市钟山区红桥大道南侧、双龙一路西侧、南干线北侧住宅用地出让国有建设用地使用权出让国有建设用地使用权</v>
      </c>
      <c r="B2" s="3144"/>
      <c r="C2" s="3144"/>
      <c r="D2" s="3144"/>
      <c r="E2" s="3144"/>
      <c r="F2" s="3144"/>
      <c r="G2" s="3144"/>
      <c r="H2" s="3144"/>
      <c r="I2" s="3145"/>
    </row>
    <row r="3" spans="1:12" ht="12.75">
      <c r="A3" s="3146" t="s">
        <v>2107</v>
      </c>
      <c r="B3" s="3147"/>
      <c r="C3" s="3147"/>
      <c r="D3" s="3147"/>
      <c r="E3" s="3147"/>
      <c r="F3" s="3147"/>
      <c r="G3" s="3147"/>
      <c r="H3" s="3147"/>
      <c r="I3" s="3147"/>
    </row>
    <row r="4" spans="1:12" ht="14.25">
      <c r="A4" s="2419" t="s">
        <v>2108</v>
      </c>
      <c r="B4" s="2420" t="s">
        <v>2109</v>
      </c>
      <c r="C4" s="2421" t="s">
        <v>3342</v>
      </c>
      <c r="D4" s="2421" t="s">
        <v>3328</v>
      </c>
      <c r="E4" s="3127" t="s">
        <v>2110</v>
      </c>
      <c r="F4" s="3140"/>
      <c r="G4" s="3140"/>
      <c r="H4" s="3140"/>
      <c r="I4" s="3128"/>
      <c r="K4" s="2422" t="str">
        <f>IF(ISNUMBER(FIND("比较法",结果表!C4)),"比较法",IF(ISNUMBER(FIND("成本法",结果表!C4)),"成本法",IF(ISNUMBER(FIND("假设开发法",结果表!C4)),"假设开发法",IF(ISNUMBER(FIND("收益法",结果表!C4)),"收益法","基准地价系数修正法"))))</f>
        <v>比较法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118" t="s">
        <v>2111</v>
      </c>
      <c r="B5" s="3044">
        <v>25</v>
      </c>
      <c r="C5" s="3148"/>
      <c r="D5" s="3136"/>
      <c r="E5" s="140" t="s">
        <v>2112</v>
      </c>
      <c r="F5" s="2423"/>
      <c r="G5" s="2423"/>
      <c r="H5" s="2423"/>
      <c r="I5" s="1830"/>
    </row>
    <row r="6" spans="1:12" ht="12.75">
      <c r="A6" s="3118"/>
      <c r="B6" s="3044"/>
      <c r="C6" s="3150"/>
      <c r="D6" s="3136"/>
      <c r="E6" s="140" t="s">
        <v>2113</v>
      </c>
      <c r="F6" s="2423"/>
      <c r="G6" s="2423"/>
      <c r="H6" s="2423"/>
      <c r="I6" s="1830"/>
    </row>
    <row r="7" spans="1:12" ht="12.75">
      <c r="A7" s="3118"/>
      <c r="B7" s="3044"/>
      <c r="C7" s="3149"/>
      <c r="D7" s="3136"/>
      <c r="E7" s="140" t="s">
        <v>2114</v>
      </c>
      <c r="F7" s="2423"/>
      <c r="G7" s="2423"/>
      <c r="H7" s="2423"/>
      <c r="I7" s="1830"/>
    </row>
    <row r="8" spans="1:12" ht="12.75">
      <c r="A8" s="3118" t="s">
        <v>2115</v>
      </c>
      <c r="B8" s="3044">
        <v>15</v>
      </c>
      <c r="C8" s="3148"/>
      <c r="D8" s="3136"/>
      <c r="E8" s="140" t="s">
        <v>2116</v>
      </c>
      <c r="F8" s="2423"/>
      <c r="G8" s="2423"/>
      <c r="H8" s="2423"/>
      <c r="I8" s="1830"/>
    </row>
    <row r="9" spans="1:12" ht="12.75">
      <c r="A9" s="3118"/>
      <c r="B9" s="3044"/>
      <c r="C9" s="3149"/>
      <c r="D9" s="3136"/>
      <c r="E9" s="140" t="s">
        <v>2117</v>
      </c>
      <c r="F9" s="2423"/>
      <c r="G9" s="2423"/>
      <c r="H9" s="2423"/>
      <c r="I9" s="1830"/>
    </row>
    <row r="10" spans="1:12" ht="12.75">
      <c r="A10" s="3118" t="s">
        <v>2118</v>
      </c>
      <c r="B10" s="3044">
        <v>15</v>
      </c>
      <c r="C10" s="3148"/>
      <c r="D10" s="3136"/>
      <c r="E10" s="140" t="s">
        <v>2119</v>
      </c>
      <c r="F10" s="2423"/>
      <c r="G10" s="2423"/>
      <c r="H10" s="2423"/>
      <c r="I10" s="1830"/>
    </row>
    <row r="11" spans="1:12" ht="12.75">
      <c r="A11" s="3118"/>
      <c r="B11" s="3044"/>
      <c r="C11" s="3149"/>
      <c r="D11" s="3136"/>
      <c r="E11" s="140" t="s">
        <v>2120</v>
      </c>
      <c r="F11" s="2423"/>
      <c r="G11" s="2423"/>
      <c r="H11" s="2423"/>
      <c r="I11" s="1830"/>
    </row>
    <row r="12" spans="1:12" ht="12.75">
      <c r="A12" s="3118" t="s">
        <v>2121</v>
      </c>
      <c r="B12" s="3044">
        <v>15</v>
      </c>
      <c r="C12" s="3148"/>
      <c r="D12" s="3136"/>
      <c r="E12" s="140" t="s">
        <v>2122</v>
      </c>
      <c r="F12" s="2423"/>
      <c r="G12" s="2423"/>
      <c r="H12" s="2423"/>
      <c r="I12" s="1830"/>
    </row>
    <row r="13" spans="1:12" ht="12.75">
      <c r="A13" s="3118"/>
      <c r="B13" s="3044"/>
      <c r="C13" s="3149"/>
      <c r="D13" s="3136"/>
      <c r="E13" s="140" t="s">
        <v>2123</v>
      </c>
      <c r="F13" s="2423"/>
      <c r="G13" s="2423"/>
      <c r="H13" s="2423"/>
      <c r="I13" s="1830"/>
    </row>
    <row r="14" spans="1:12" ht="12.75">
      <c r="A14" s="3118" t="s">
        <v>2124</v>
      </c>
      <c r="B14" s="3044">
        <v>30</v>
      </c>
      <c r="C14" s="3148">
        <v>5</v>
      </c>
      <c r="D14" s="3136">
        <v>5</v>
      </c>
      <c r="E14" s="140" t="s">
        <v>2125</v>
      </c>
      <c r="F14" s="2423"/>
      <c r="G14" s="2423"/>
      <c r="H14" s="2423"/>
      <c r="I14" s="1830"/>
    </row>
    <row r="15" spans="1:12" ht="12.75">
      <c r="A15" s="3118"/>
      <c r="B15" s="3044"/>
      <c r="C15" s="3150"/>
      <c r="D15" s="3136"/>
      <c r="E15" s="140" t="s">
        <v>2126</v>
      </c>
      <c r="F15" s="2423"/>
      <c r="G15" s="2423"/>
      <c r="H15" s="2423"/>
      <c r="I15" s="1830"/>
    </row>
    <row r="16" spans="1:12" ht="12.75">
      <c r="A16" s="3118"/>
      <c r="B16" s="3044"/>
      <c r="C16" s="3149"/>
      <c r="D16" s="3136"/>
      <c r="E16" s="140" t="s">
        <v>2127</v>
      </c>
      <c r="F16" s="2423"/>
      <c r="G16" s="2423"/>
      <c r="H16" s="2423"/>
      <c r="I16" s="1830"/>
    </row>
    <row r="17" spans="1:35" ht="15">
      <c r="A17" s="2424" t="s">
        <v>2128</v>
      </c>
      <c r="B17" s="64"/>
      <c r="C17" s="141">
        <f>SUM(C5:C16)</f>
        <v>5</v>
      </c>
      <c r="D17" s="141">
        <f>SUM(D5:D16)</f>
        <v>5</v>
      </c>
      <c r="E17" s="138"/>
      <c r="F17" s="138"/>
      <c r="G17" s="138"/>
      <c r="H17" s="138"/>
      <c r="I17" s="138"/>
      <c r="K17" s="2422"/>
      <c r="L17" s="2425" t="s">
        <v>2129</v>
      </c>
      <c r="M17" s="2425" t="s">
        <v>2130</v>
      </c>
    </row>
    <row r="18" spans="1:35" ht="15.75" thickBot="1">
      <c r="A18" s="2426" t="s">
        <v>2131</v>
      </c>
      <c r="B18" s="2427"/>
      <c r="C18" s="142">
        <f>ROUND(C17/SUM(C17:D17),2)</f>
        <v>0.5</v>
      </c>
      <c r="D18" s="142">
        <f>1-C18</f>
        <v>0.5</v>
      </c>
      <c r="E18" s="138"/>
      <c r="F18" s="138"/>
      <c r="G18" s="138"/>
      <c r="H18" s="138"/>
      <c r="I18" s="138"/>
      <c r="K18" s="2422" t="s">
        <v>2132</v>
      </c>
      <c r="L18" s="2422">
        <f>IF(C1="",'数据-汇总表'!E3,SUMIF(项目类型,C1,'数据-汇总表'!E17:E26)+SUMIF(项目类型,C1,'数据-汇总表'!I17:I26))</f>
        <v>53306.400000000001</v>
      </c>
      <c r="M18" s="2422">
        <f>IF(C1="",'数据-汇总表'!E3,SUMIF(项目类型,C1,'数据-汇总表'!E17:E26))</f>
        <v>53306.400000000001</v>
      </c>
    </row>
    <row r="19" spans="1:35" ht="15">
      <c r="A19" s="2428" t="s">
        <v>2133</v>
      </c>
      <c r="B19" s="2429" t="s">
        <v>2134</v>
      </c>
      <c r="C19" s="143">
        <f ca="1">SUMIF(INDIRECT("'"&amp;C4&amp;"'"&amp;"!A:A"),结果表!B19,INDIRECT("'"&amp;C4&amp;"'"&amp;"!B:B"))</f>
        <v>4456</v>
      </c>
      <c r="D19" s="144">
        <f ca="1">SUMIF(INDIRECT("'"&amp;D4&amp;"'"&amp;"!A:A"),结果表!B19,INDIRECT("'"&amp;D4&amp;"'"&amp;"!B:B"))</f>
        <v>4841</v>
      </c>
      <c r="E19" s="2428" t="s">
        <v>2135</v>
      </c>
      <c r="F19" s="2429" t="s">
        <v>2134</v>
      </c>
      <c r="G19" s="145">
        <f ca="1">ROUND(C19*$C$18+D19*$D$18,0)</f>
        <v>4649</v>
      </c>
      <c r="H19" s="2430" t="s">
        <v>2136</v>
      </c>
      <c r="I19" s="138"/>
      <c r="K19" s="2422" t="s">
        <v>2137</v>
      </c>
      <c r="L19" s="2422">
        <f>IF(C1="",'数据-汇总表'!D3,SUMIF(项目类型,C1,'数据-汇总表'!D17:D26)+SUMIF(项目类型,C1,'数据-汇总表'!H17:H27))</f>
        <v>21322.59</v>
      </c>
      <c r="M19" s="2422">
        <f>IF(C1="",'数据-汇总表'!D3,SUMIF(项目类型,C1,'数据-汇总表'!D17:D26))</f>
        <v>21322.59</v>
      </c>
    </row>
    <row r="20" spans="1:35" ht="15">
      <c r="A20" s="2431"/>
      <c r="B20" s="1247" t="s">
        <v>2138</v>
      </c>
      <c r="C20" s="146">
        <f ca="1">SUMIF(INDIRECT("'"&amp;C4&amp;"'"&amp;"!A:A"),结果表!B20,INDIRECT("'"&amp;C4&amp;"'"&amp;"!B:B"))</f>
        <v>836</v>
      </c>
      <c r="D20" s="147">
        <f ca="1">SUMIF(INDIRECT("'"&amp;D4&amp;"'"&amp;"!A:A"),结果表!B20,INDIRECT("'"&amp;D4&amp;"'"&amp;"!B:B"))</f>
        <v>908</v>
      </c>
      <c r="E20" s="2431"/>
      <c r="F20" s="1247" t="s">
        <v>2138</v>
      </c>
      <c r="G20" s="148">
        <f ca="1">ROUND(C20*$C$18+D20*$D$18,0)</f>
        <v>872</v>
      </c>
      <c r="H20" s="980" t="s">
        <v>2139</v>
      </c>
      <c r="I20" s="138"/>
    </row>
    <row r="21" spans="1:35" ht="15" customHeight="1" thickBot="1">
      <c r="A21" s="1000"/>
      <c r="B21" s="2432" t="s">
        <v>2140</v>
      </c>
      <c r="C21" s="789">
        <f ca="1">ROUND(C19*10000/L19,0)</f>
        <v>2090</v>
      </c>
      <c r="D21" s="790">
        <f ca="1">ROUND(D19*10000/L19,0)</f>
        <v>2270</v>
      </c>
      <c r="E21" s="1000"/>
      <c r="F21" s="2432" t="s">
        <v>2140</v>
      </c>
      <c r="G21" s="149">
        <f ca="1">ROUND(G19*10000/L19,0)</f>
        <v>2180</v>
      </c>
      <c r="H21" s="2433" t="s">
        <v>2139</v>
      </c>
      <c r="I21" s="138"/>
    </row>
    <row r="22" spans="1:35" ht="15" thickBot="1">
      <c r="A22" s="2276" t="s">
        <v>2141</v>
      </c>
      <c r="B22" s="2434"/>
      <c r="C22" s="2435"/>
      <c r="D22" s="791">
        <f ca="1">IF(C19&lt;D19,D19/C19-1,C19/D19-1)</f>
        <v>8.640035906642729E-2</v>
      </c>
      <c r="E22" s="138"/>
      <c r="F22" s="138"/>
      <c r="G22" s="138"/>
      <c r="H22" s="138"/>
      <c r="I22" s="138"/>
    </row>
    <row r="23" spans="1:35" ht="13.5" thickBot="1">
      <c r="A23" s="2412"/>
      <c r="B23" s="2412"/>
      <c r="C23" s="2412"/>
      <c r="D23" s="2412"/>
      <c r="E23" s="138"/>
      <c r="F23" s="138"/>
      <c r="G23" s="138"/>
      <c r="H23" s="138"/>
      <c r="I23" s="138"/>
    </row>
    <row r="24" spans="1:35" ht="14.25">
      <c r="A24" s="3157" t="s">
        <v>2142</v>
      </c>
      <c r="B24" s="2429" t="s">
        <v>2134</v>
      </c>
      <c r="C24" s="145">
        <f>IF(B30=0,0,D30)</f>
        <v>0</v>
      </c>
      <c r="D24" s="2436"/>
      <c r="E24" s="138"/>
      <c r="F24" s="138"/>
      <c r="G24" s="138"/>
      <c r="H24" s="138"/>
      <c r="I24" s="138"/>
    </row>
    <row r="25" spans="1:35" ht="14.25">
      <c r="A25" s="3158"/>
      <c r="B25" s="1247" t="s">
        <v>2138</v>
      </c>
      <c r="C25" s="150">
        <f>IF(B30=0,0,C30)</f>
        <v>0</v>
      </c>
      <c r="D25" s="2437"/>
      <c r="E25" s="138"/>
      <c r="F25" s="138"/>
      <c r="G25" s="138"/>
      <c r="H25" s="138"/>
      <c r="I25" s="138"/>
    </row>
    <row r="26" spans="1:35" ht="13.5" customHeight="1">
      <c r="A26" s="2438" t="s">
        <v>2143</v>
      </c>
      <c r="B26" s="151" t="s">
        <v>2144</v>
      </c>
      <c r="C26" s="151" t="s">
        <v>2145</v>
      </c>
      <c r="D26" s="152" t="s">
        <v>2146</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2147</v>
      </c>
      <c r="B30" s="151"/>
      <c r="C30" s="151"/>
      <c r="D30" s="151"/>
      <c r="E30" s="2909" t="s">
        <v>3021</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2148</v>
      </c>
      <c r="B32" s="2442"/>
      <c r="C32" s="153">
        <f ca="1">IF(D32="总价",G19-C24,G20-C25)</f>
        <v>4649</v>
      </c>
      <c r="D32" s="2443" t="s">
        <v>2149</v>
      </c>
      <c r="E32" s="138"/>
      <c r="F32" s="138"/>
      <c r="G32" s="138"/>
      <c r="H32" s="138"/>
      <c r="I32" s="138"/>
    </row>
    <row r="33" spans="1:15" ht="15">
      <c r="A33" s="957" t="s">
        <v>2150</v>
      </c>
      <c r="B33" s="2444"/>
      <c r="C33" s="2445" t="s">
        <v>3337</v>
      </c>
      <c r="D33" s="2446" t="s">
        <v>3327</v>
      </c>
      <c r="E33" s="2447" t="s">
        <v>2151</v>
      </c>
      <c r="F33" s="2448" t="str">
        <f>IF(D32="楼面单价","取值（单价）","取值（总价）")</f>
        <v>取值（总价）</v>
      </c>
      <c r="G33" s="138"/>
      <c r="H33" s="138"/>
      <c r="I33" s="138"/>
    </row>
    <row r="34" spans="1:15" ht="15">
      <c r="A34" s="2449"/>
      <c r="B34" s="2450" t="s">
        <v>2152</v>
      </c>
      <c r="C34" s="157">
        <f ca="1">IF(C33="自定义",F34,C32-C35)</f>
        <v>4649</v>
      </c>
      <c r="D34" s="1055">
        <f ca="1">IF(C33="自定义",ROUND(C34/C32,3),IF(C33="收益比率",SUMIF(INDIRECT("'"&amp;D33&amp;"'"&amp;"!b:b"),"土地收益比率",INDIRECT("'"&amp;D33&amp;"'"&amp;"!c:c")),SUMIF(INDIRECT("'"&amp;D33&amp;"'"&amp;"!b:b"),"土地成本比率",INDIRECT("'"&amp;D33&amp;"'"&amp;"!c:c"))))</f>
        <v>1</v>
      </c>
      <c r="E34" s="2451" t="s">
        <v>2153</v>
      </c>
      <c r="F34" s="1735"/>
      <c r="G34" s="138"/>
      <c r="H34" s="138"/>
      <c r="I34" s="138"/>
    </row>
    <row r="35" spans="1:15" ht="15.75" thickBot="1">
      <c r="A35" s="2452"/>
      <c r="B35" s="2453" t="s">
        <v>2154</v>
      </c>
      <c r="C35" s="1441">
        <f ca="1">IF(C33="自定义",F35,ROUND(C32*D35,0))</f>
        <v>0</v>
      </c>
      <c r="D35" s="1442">
        <f ca="1">IF(C33="自定义",ROUND(C35/C32,3),IF(C33="收益比率",SUMIF(INDIRECT("'"&amp;D33&amp;"'"&amp;"!b:b"),"建筑物收益比率",INDIRECT("'"&amp;D33&amp;"'"&amp;"!c:c")),SUMIF(INDIRECT("'"&amp;D33&amp;"'"&amp;"!b:b"),"建筑物成本比率",INDIRECT("'"&amp;D33&amp;"'"&amp;"!c:c"))))</f>
        <v>0</v>
      </c>
      <c r="E35" s="2454" t="s">
        <v>2155</v>
      </c>
      <c r="F35" s="163"/>
      <c r="G35" s="138"/>
      <c r="H35" s="138"/>
      <c r="I35" s="138"/>
    </row>
    <row r="36" spans="1:15" ht="15.75" thickBot="1">
      <c r="A36" s="3137" t="s">
        <v>2156</v>
      </c>
      <c r="B36" s="2455" t="s">
        <v>2157</v>
      </c>
      <c r="C36" s="154"/>
      <c r="D36" s="2456"/>
      <c r="E36" s="2457"/>
      <c r="F36" s="2458"/>
      <c r="G36" s="138"/>
      <c r="H36" s="138"/>
      <c r="I36" s="138"/>
    </row>
    <row r="37" spans="1:15" ht="15.75" thickBot="1">
      <c r="A37" s="3138"/>
      <c r="B37" s="2262" t="s">
        <v>2158</v>
      </c>
      <c r="C37" s="156"/>
      <c r="D37" s="1392"/>
      <c r="E37" s="1392"/>
      <c r="F37" s="2458"/>
      <c r="G37" s="138"/>
      <c r="H37" s="138"/>
      <c r="I37" s="138"/>
    </row>
    <row r="38" spans="1:15" ht="15.75" thickBot="1">
      <c r="A38" s="3139"/>
      <c r="B38" s="2459" t="s">
        <v>2159</v>
      </c>
      <c r="C38" s="727"/>
      <c r="D38" s="2460" t="s">
        <v>2160</v>
      </c>
      <c r="E38" s="1392"/>
      <c r="F38" s="2458"/>
      <c r="G38" s="138"/>
      <c r="H38" s="138"/>
      <c r="I38" s="138"/>
    </row>
    <row r="39" spans="1:15" ht="15">
      <c r="A39" s="2431" t="s">
        <v>2161</v>
      </c>
      <c r="B39" s="2461" t="s">
        <v>2162</v>
      </c>
      <c r="C39" s="2462" t="s">
        <v>2163</v>
      </c>
      <c r="D39" s="2462" t="s">
        <v>2164</v>
      </c>
      <c r="E39" s="2463" t="s">
        <v>2165</v>
      </c>
      <c r="F39" s="2458"/>
      <c r="G39" s="138"/>
      <c r="H39" s="138"/>
      <c r="I39" s="138"/>
    </row>
    <row r="40" spans="1:15" ht="14.25">
      <c r="A40" s="2464" t="s">
        <v>2166</v>
      </c>
      <c r="B40" s="158"/>
      <c r="C40" s="159"/>
      <c r="D40" s="159"/>
      <c r="E40" s="160"/>
      <c r="F40" s="2458"/>
      <c r="G40" s="138"/>
      <c r="H40" s="138"/>
      <c r="I40" s="138"/>
    </row>
    <row r="41" spans="1:15" ht="14.25">
      <c r="A41" s="2464" t="s">
        <v>2167</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hidden="1">
      <c r="A44" s="2468" t="s">
        <v>2168</v>
      </c>
      <c r="B44" s="2469"/>
      <c r="C44" s="2469"/>
      <c r="D44" s="2470"/>
      <c r="E44" s="2470"/>
      <c r="F44" s="2471"/>
      <c r="G44" s="2471"/>
      <c r="H44" s="2471"/>
      <c r="I44" s="2471"/>
      <c r="J44" s="2472" t="s">
        <v>2169</v>
      </c>
      <c r="K44" s="2473"/>
      <c r="L44" s="2473"/>
      <c r="M44" s="2473"/>
      <c r="N44" s="2473"/>
      <c r="O44" s="2473"/>
    </row>
    <row r="45" spans="1:15" ht="14.25" hidden="1" customHeight="1" thickBot="1">
      <c r="A45" s="3154" t="s">
        <v>2170</v>
      </c>
      <c r="B45" s="3155"/>
      <c r="C45" s="3156"/>
      <c r="D45" s="164">
        <f ca="1">ROUND(H101*F45,0)</f>
        <v>4649</v>
      </c>
      <c r="E45" s="165" t="s">
        <v>2171</v>
      </c>
      <c r="F45" s="166">
        <v>1</v>
      </c>
      <c r="G45" s="167" t="s">
        <v>2172</v>
      </c>
      <c r="H45" s="138"/>
      <c r="I45" s="138"/>
      <c r="J45" s="3073" t="s">
        <v>2173</v>
      </c>
      <c r="K45" s="3073"/>
      <c r="L45" s="3073"/>
      <c r="M45" s="3073"/>
      <c r="N45" s="3073"/>
      <c r="O45" s="3073"/>
    </row>
    <row r="46" spans="1:15" ht="14.25" hidden="1" customHeight="1">
      <c r="A46" s="3151" t="s">
        <v>2174</v>
      </c>
      <c r="B46" s="3152"/>
      <c r="C46" s="3152"/>
      <c r="D46" s="3152"/>
      <c r="E46" s="3152"/>
      <c r="F46" s="3152"/>
      <c r="G46" s="3153"/>
      <c r="H46" s="2474"/>
      <c r="I46" s="168"/>
      <c r="J46" s="1808">
        <v>1</v>
      </c>
      <c r="K46" s="3073" t="s">
        <v>2175</v>
      </c>
      <c r="L46" s="3073"/>
      <c r="M46" s="3074"/>
      <c r="N46" s="3074"/>
      <c r="O46" s="3074"/>
    </row>
    <row r="47" spans="1:15" ht="12" hidden="1" customHeight="1">
      <c r="A47" s="169" t="s">
        <v>2176</v>
      </c>
      <c r="B47" s="170"/>
      <c r="C47" s="171"/>
      <c r="D47" s="172" t="s">
        <v>2177</v>
      </c>
      <c r="E47" s="24" t="s">
        <v>2178</v>
      </c>
      <c r="F47" s="173" t="s">
        <v>2179</v>
      </c>
      <c r="G47" s="174" t="s">
        <v>2180</v>
      </c>
      <c r="H47" s="2474"/>
      <c r="I47" s="168"/>
      <c r="J47" s="1808">
        <v>2</v>
      </c>
      <c r="K47" s="3073" t="s">
        <v>2181</v>
      </c>
      <c r="L47" s="3073"/>
      <c r="M47" s="3075">
        <f>'数据-取费表'!B2</f>
        <v>44018</v>
      </c>
      <c r="N47" s="3075"/>
      <c r="O47" s="3075"/>
    </row>
    <row r="48" spans="1:15" ht="25.5" hidden="1">
      <c r="A48" s="3141" t="s">
        <v>2182</v>
      </c>
      <c r="B48" s="3142"/>
      <c r="C48" s="3142"/>
      <c r="D48" s="140">
        <f>IF(H48="情况1",0,IF(H48="情况2",D52,IF(H48="情况3",D53,IF(H48="情况4",D54))))</f>
        <v>0</v>
      </c>
      <c r="E48" s="1797" t="str">
        <f>IF(H48="情况4","(销售额-原购置价)×税（费）率","销售额×税（费）率")</f>
        <v>销售额×税（费）率</v>
      </c>
      <c r="F48" s="175" t="str">
        <f>IF(H48="情况1","免征",'数据-取费表'!B41)</f>
        <v>免征</v>
      </c>
      <c r="G48" s="2475" t="s">
        <v>2183</v>
      </c>
      <c r="H48" s="2476" t="s">
        <v>2184</v>
      </c>
      <c r="I48" s="2474"/>
      <c r="J48" s="1808">
        <v>3</v>
      </c>
      <c r="K48" s="3073" t="s">
        <v>2185</v>
      </c>
      <c r="L48" s="3073"/>
      <c r="M48" s="3076">
        <f ca="1">H101</f>
        <v>4649</v>
      </c>
      <c r="N48" s="3076"/>
      <c r="O48" s="3076"/>
    </row>
    <row r="49" spans="1:35" ht="25.5" hidden="1" customHeight="1">
      <c r="A49" s="176" t="s">
        <v>2186</v>
      </c>
      <c r="B49" s="3121" t="s">
        <v>2187</v>
      </c>
      <c r="C49" s="3121"/>
      <c r="D49" s="177">
        <v>0</v>
      </c>
      <c r="E49" s="23" t="s">
        <v>2188</v>
      </c>
      <c r="F49" s="28" t="s">
        <v>34</v>
      </c>
      <c r="G49" s="3102"/>
      <c r="H49" s="138"/>
      <c r="I49" s="2477"/>
      <c r="J49" s="1808">
        <v>4</v>
      </c>
      <c r="K49" s="3073" t="str">
        <f>IF(项目基本情况!E8="房地产抵押价值","房地产抵押价值","抵押担保权已注销时的房地产抵押价值")</f>
        <v>房地产抵押价值</v>
      </c>
      <c r="L49" s="3073"/>
      <c r="M49" s="3076">
        <f ca="1">IF(项目基本情况!E8="房地产抵押价值",H107,H109)</f>
        <v>4649</v>
      </c>
      <c r="N49" s="3076"/>
      <c r="O49" s="3076"/>
    </row>
    <row r="50" spans="1:35" ht="25.5" hidden="1" customHeight="1">
      <c r="A50" s="178"/>
      <c r="B50" s="3121" t="s">
        <v>2189</v>
      </c>
      <c r="C50" s="3121"/>
      <c r="D50" s="179"/>
      <c r="E50" s="31"/>
      <c r="F50" s="180"/>
      <c r="G50" s="3103"/>
      <c r="H50" s="138"/>
      <c r="I50" s="2477"/>
      <c r="J50" s="3073" t="s">
        <v>2190</v>
      </c>
      <c r="K50" s="3073"/>
      <c r="L50" s="3073"/>
      <c r="M50" s="3073"/>
      <c r="N50" s="3073"/>
      <c r="O50" s="3073"/>
    </row>
    <row r="51" spans="1:35" ht="12" hidden="1" customHeight="1">
      <c r="A51" s="181"/>
      <c r="B51" s="3121" t="s">
        <v>2191</v>
      </c>
      <c r="C51" s="3121"/>
      <c r="D51" s="182"/>
      <c r="E51" s="30"/>
      <c r="F51" s="180"/>
      <c r="G51" s="3104"/>
      <c r="H51" s="138"/>
      <c r="I51" s="2477"/>
      <c r="J51" s="2478" t="s">
        <v>2192</v>
      </c>
      <c r="K51" s="3073" t="s">
        <v>2193</v>
      </c>
      <c r="L51" s="3073"/>
      <c r="M51" s="2478" t="s">
        <v>2194</v>
      </c>
      <c r="N51" s="2478" t="s">
        <v>2195</v>
      </c>
      <c r="O51" s="2478" t="s">
        <v>2196</v>
      </c>
    </row>
    <row r="52" spans="1:35" ht="24" hidden="1" customHeight="1">
      <c r="A52" s="183" t="s">
        <v>2197</v>
      </c>
      <c r="B52" s="3121" t="s">
        <v>2198</v>
      </c>
      <c r="C52" s="3121"/>
      <c r="D52" s="182">
        <f ca="1">ROUND(D45*'数据-取费表'!B41/(1+'数据-取费表'!C42),0)</f>
        <v>248</v>
      </c>
      <c r="E52" s="11" t="s">
        <v>2199</v>
      </c>
      <c r="F52" s="184">
        <f>'数据-取费表'!B41</f>
        <v>5.6000000000000001E-2</v>
      </c>
      <c r="G52" s="2479"/>
      <c r="H52" s="138"/>
      <c r="I52" s="2477"/>
      <c r="J52" s="1808">
        <v>1</v>
      </c>
      <c r="K52" s="3096" t="s">
        <v>2200</v>
      </c>
      <c r="L52" s="3096"/>
      <c r="M52" s="1750">
        <f>D48</f>
        <v>0</v>
      </c>
      <c r="N52" s="1808" t="str">
        <f>E48</f>
        <v>销售额×税（费）率</v>
      </c>
      <c r="O52" s="1751" t="str">
        <f>F48</f>
        <v>免征</v>
      </c>
    </row>
    <row r="53" spans="1:35" ht="12" hidden="1" customHeight="1">
      <c r="A53" s="183" t="s">
        <v>2201</v>
      </c>
      <c r="B53" s="3122" t="s">
        <v>2202</v>
      </c>
      <c r="C53" s="3123"/>
      <c r="D53" s="182">
        <f ca="1">ROUND(D45*'数据-取费表'!B41/(1+'数据-取费表'!C42),0)</f>
        <v>248</v>
      </c>
      <c r="E53" s="11" t="s">
        <v>2199</v>
      </c>
      <c r="F53" s="184">
        <f>'数据-取费表'!B41</f>
        <v>5.6000000000000001E-2</v>
      </c>
      <c r="G53" s="2479"/>
      <c r="H53" s="138"/>
      <c r="I53" s="2477"/>
      <c r="J53" s="1808">
        <v>2</v>
      </c>
      <c r="K53" s="3096" t="s">
        <v>2203</v>
      </c>
      <c r="L53" s="3096"/>
      <c r="M53" s="1750">
        <f t="shared" ref="M53:O54" ca="1" si="0">D55</f>
        <v>2</v>
      </c>
      <c r="N53" s="1808" t="str">
        <f t="shared" si="0"/>
        <v>销售额×税（费）率</v>
      </c>
      <c r="O53" s="1751">
        <f t="shared" si="0"/>
        <v>5.0000000000000001E-4</v>
      </c>
    </row>
    <row r="54" spans="1:35" ht="12" hidden="1" customHeight="1">
      <c r="A54" s="183" t="s">
        <v>2204</v>
      </c>
      <c r="B54" s="3122" t="s">
        <v>2205</v>
      </c>
      <c r="C54" s="3123"/>
      <c r="D54" s="182">
        <f ca="1">C68</f>
        <v>248</v>
      </c>
      <c r="E54" s="30" t="s">
        <v>2206</v>
      </c>
      <c r="F54" s="184">
        <f>'数据-取费表'!B41</f>
        <v>5.6000000000000001E-2</v>
      </c>
      <c r="G54" s="2479"/>
      <c r="H54" s="2480"/>
      <c r="I54" s="2477"/>
      <c r="J54" s="1808">
        <v>3</v>
      </c>
      <c r="K54" s="3096" t="s">
        <v>2207</v>
      </c>
      <c r="L54" s="3096"/>
      <c r="M54" s="1750">
        <f t="shared" ca="1" si="0"/>
        <v>2631</v>
      </c>
      <c r="N54" s="1808" t="str">
        <f t="shared" si="0"/>
        <v>增值额×税（费）率</v>
      </c>
      <c r="O54" s="1752" t="str">
        <f t="shared" si="0"/>
        <v>——</v>
      </c>
    </row>
    <row r="55" spans="1:35" ht="24" hidden="1" customHeight="1">
      <c r="A55" s="3160" t="s">
        <v>2208</v>
      </c>
      <c r="B55" s="3142"/>
      <c r="C55" s="3142"/>
      <c r="D55" s="185">
        <f ca="1">IF(H55="个人住宅",0,ROUND(D45*I55,0))</f>
        <v>2</v>
      </c>
      <c r="E55" s="11" t="s">
        <v>2209</v>
      </c>
      <c r="F55" s="184">
        <f>IF(H55="正常",I55,"免征")</f>
        <v>5.0000000000000001E-4</v>
      </c>
      <c r="G55" s="2479"/>
      <c r="H55" s="2476" t="s">
        <v>2210</v>
      </c>
      <c r="I55" s="186">
        <f>'数据-取费表'!B49</f>
        <v>5.0000000000000001E-4</v>
      </c>
      <c r="J55" s="1808" t="str">
        <f>IF(H59="非个人房产","",4)</f>
        <v/>
      </c>
      <c r="K55" s="3096" t="str">
        <f>IF(H59="非个人房产","——","个人所得税")</f>
        <v>——</v>
      </c>
      <c r="L55" s="3096"/>
      <c r="M55" s="1753" t="str">
        <f>D59</f>
        <v>——</v>
      </c>
      <c r="N55" s="1806" t="str">
        <f>E59</f>
        <v>——</v>
      </c>
      <c r="O55" s="1754" t="str">
        <f>F59</f>
        <v>——</v>
      </c>
    </row>
    <row r="56" spans="1:35" ht="24.75" hidden="1">
      <c r="A56" s="3160" t="s">
        <v>2211</v>
      </c>
      <c r="B56" s="3142"/>
      <c r="C56" s="3142"/>
      <c r="D56" s="185">
        <f ca="1">IF(H56="个人住宅",D57,D58)</f>
        <v>2631</v>
      </c>
      <c r="E56" s="11" t="s">
        <v>2212</v>
      </c>
      <c r="F56" s="184" t="str">
        <f>IF(H56="正常",F58,"免征")</f>
        <v>——</v>
      </c>
      <c r="G56" s="2481" t="s">
        <v>2213</v>
      </c>
      <c r="H56" s="2482" t="s">
        <v>2210</v>
      </c>
      <c r="I56" s="2483"/>
      <c r="J56" s="1808" t="str">
        <f>IF(项目基本情况!K6="上海银行",IF(J55="",4,J55+1),"")</f>
        <v/>
      </c>
      <c r="K56" s="3079" t="str">
        <f>IF(项目基本情况!K6="上海银行","其他处置费用","")</f>
        <v/>
      </c>
      <c r="L56" s="3080"/>
      <c r="M56" s="1750" t="str">
        <f>IF(项目基本情况!K6="上海银行",M69,"")</f>
        <v/>
      </c>
      <c r="N56" s="3082" t="str">
        <f>IF(项目基本情况!K6="上海银行","包含处置中涉及的律师、诉讼、拍卖、评估等费用","")</f>
        <v/>
      </c>
      <c r="O56" s="3083"/>
    </row>
    <row r="57" spans="1:35" ht="12.75" hidden="1">
      <c r="A57" s="183" t="s">
        <v>2186</v>
      </c>
      <c r="B57" s="3127" t="s">
        <v>2214</v>
      </c>
      <c r="C57" s="3128"/>
      <c r="D57" s="187">
        <v>0</v>
      </c>
      <c r="E57" s="23" t="s">
        <v>2188</v>
      </c>
      <c r="F57" s="155"/>
      <c r="G57" s="2479"/>
      <c r="H57" s="2483"/>
      <c r="I57" s="2483"/>
      <c r="J57" s="3096">
        <f>IF(AND(J55="",J56=""),4,IF(项目基本情况!K6="上海银行",结果表!J56+1,结果表!J55+1))</f>
        <v>4</v>
      </c>
      <c r="K57" s="3096" t="s">
        <v>2215</v>
      </c>
      <c r="L57" s="2484" t="s">
        <v>2216</v>
      </c>
      <c r="M57" s="1755"/>
      <c r="N57" s="1756">
        <f ca="1">SUMIF(M52:M56,"&lt;9e307")</f>
        <v>2633</v>
      </c>
      <c r="O57" s="2485"/>
      <c r="P57" s="1749">
        <f ca="1">N57/M49</f>
        <v>0.56635835663583567</v>
      </c>
    </row>
    <row r="58" spans="1:35" ht="24.75" hidden="1">
      <c r="A58" s="183" t="s">
        <v>2197</v>
      </c>
      <c r="B58" s="3127" t="s">
        <v>2217</v>
      </c>
      <c r="C58" s="3140"/>
      <c r="D58" s="185">
        <f ca="1">IF(H58="转让取得",C81,C97)</f>
        <v>2631</v>
      </c>
      <c r="E58" s="11" t="s">
        <v>2212</v>
      </c>
      <c r="F58" s="24" t="s">
        <v>34</v>
      </c>
      <c r="G58" s="2479"/>
      <c r="H58" s="2482" t="s">
        <v>2218</v>
      </c>
      <c r="I58" s="2483"/>
      <c r="J58" s="3096"/>
      <c r="K58" s="3096"/>
      <c r="L58" s="2484" t="s">
        <v>2219</v>
      </c>
      <c r="M58" s="1757"/>
      <c r="N58" s="2486" t="str">
        <f ca="1">NUMBERSTRING(INT(N57*10000),2)&amp;"元整"</f>
        <v>贰仟陆佰叁拾叁万元整</v>
      </c>
      <c r="O58" s="2487"/>
    </row>
    <row r="59" spans="1:35" ht="24.75" hidden="1" thickBot="1">
      <c r="A59" s="3100" t="s">
        <v>2220</v>
      </c>
      <c r="B59" s="3101"/>
      <c r="C59" s="3101"/>
      <c r="D59" s="188" t="str">
        <f>IF(H59="非个人房产","——",IF(H59="个人住宅",0,ROUND(D45*I59,0)))</f>
        <v>——</v>
      </c>
      <c r="E59" s="189" t="str">
        <f>IF(H59="非个人房产","——","销售额×税（费）率")</f>
        <v>——</v>
      </c>
      <c r="F59" s="190" t="str">
        <f>IF(H59="非个人房产","——",IF(H59="个人住宅","免征",I59))</f>
        <v>——</v>
      </c>
      <c r="G59" s="2488" t="s">
        <v>2213</v>
      </c>
      <c r="H59" s="2482" t="s">
        <v>2221</v>
      </c>
      <c r="I59" s="191">
        <v>0.01</v>
      </c>
      <c r="J59" s="3098">
        <f>J57+1</f>
        <v>5</v>
      </c>
      <c r="K59" s="3096" t="s">
        <v>2222</v>
      </c>
      <c r="L59" s="1808" t="s">
        <v>2216</v>
      </c>
      <c r="M59" s="1758"/>
      <c r="N59" s="1759">
        <f ca="1">M49-N57</f>
        <v>2016</v>
      </c>
      <c r="O59" s="2489"/>
    </row>
    <row r="60" spans="1:35" ht="12" hidden="1" customHeight="1">
      <c r="A60" s="2490"/>
      <c r="B60" s="2412"/>
      <c r="C60" s="2412"/>
      <c r="D60" s="2412"/>
      <c r="E60" s="2161"/>
      <c r="F60" s="2483"/>
      <c r="G60" s="2483"/>
      <c r="H60" s="2491"/>
      <c r="I60" s="138"/>
      <c r="J60" s="3099"/>
      <c r="K60" s="3096"/>
      <c r="L60" s="2484" t="s">
        <v>2219</v>
      </c>
      <c r="M60" s="1757"/>
      <c r="N60" s="2486" t="str">
        <f ca="1">NUMBERSTRING(INT(N59*10000),2)&amp;"元整"</f>
        <v>贰仟零壹拾陆万元整</v>
      </c>
      <c r="O60" s="2487"/>
    </row>
    <row r="61" spans="1:35" ht="13.5" hidden="1" thickBot="1">
      <c r="A61" s="3159" t="s">
        <v>2223</v>
      </c>
      <c r="B61" s="3159"/>
      <c r="C61" s="3159"/>
      <c r="D61" s="3159"/>
      <c r="E61" s="3159"/>
      <c r="F61" s="2483"/>
      <c r="G61" s="2483"/>
      <c r="H61" s="2491"/>
      <c r="I61" s="138"/>
      <c r="J61" s="1808">
        <f>J59+1</f>
        <v>6</v>
      </c>
      <c r="K61" s="3096" t="s">
        <v>2224</v>
      </c>
      <c r="L61" s="3096"/>
      <c r="M61" s="1760"/>
      <c r="N61" s="1761">
        <f ca="1">ROUND(N59*10000/'数据-汇总表'!E3,0)</f>
        <v>378</v>
      </c>
      <c r="O61" s="2492"/>
    </row>
    <row r="62" spans="1:35" ht="12.75" hidden="1">
      <c r="A62" s="3116" t="s">
        <v>2225</v>
      </c>
      <c r="B62" s="3117"/>
      <c r="C62" s="1800"/>
      <c r="D62" s="1800" t="s">
        <v>2226</v>
      </c>
      <c r="E62" s="192" t="s">
        <v>2227</v>
      </c>
      <c r="F62" s="2483"/>
      <c r="G62" s="2483"/>
      <c r="H62" s="2491"/>
      <c r="I62" s="138"/>
    </row>
    <row r="63" spans="1:35" ht="12.75" hidden="1">
      <c r="A63" s="203" t="s">
        <v>775</v>
      </c>
      <c r="B63" s="193" t="s">
        <v>2228</v>
      </c>
      <c r="C63" s="194">
        <f ca="1">ROUND((C64+C65)/(1+'数据-取费表'!C42),0)</f>
        <v>4428</v>
      </c>
      <c r="D63" s="195"/>
      <c r="E63" s="196"/>
      <c r="F63" s="2483"/>
      <c r="G63" s="2483"/>
      <c r="H63" s="2491"/>
      <c r="I63" s="138"/>
      <c r="J63" s="3081" t="s">
        <v>2229</v>
      </c>
      <c r="K63" s="2493" t="s">
        <v>2230</v>
      </c>
      <c r="L63" s="1748">
        <f ca="1">IF(M49&gt;10000,M49*0.5%,IF(AND(M49&gt;1000,M49&lt;=10000),M49*1%,IF(AND(M49&gt;100,M49&lt;=1000),M49*3%,IF(AND(M49&gt;10,M49&lt;=100),M49*5%,M49*8%))))</f>
        <v>46.49</v>
      </c>
      <c r="M63" s="24">
        <f ca="1">ROUND(L63,1)</f>
        <v>46.5</v>
      </c>
      <c r="Z63" s="2417"/>
      <c r="AI63" s="2418"/>
    </row>
    <row r="64" spans="1:35" ht="14.25" hidden="1" customHeight="1">
      <c r="A64" s="197" t="s">
        <v>770</v>
      </c>
      <c r="B64" s="198" t="s">
        <v>2231</v>
      </c>
      <c r="C64" s="199">
        <f ca="1">D45</f>
        <v>4649</v>
      </c>
      <c r="D64" s="200" t="s">
        <v>32</v>
      </c>
      <c r="E64" s="201"/>
      <c r="F64" s="2483"/>
      <c r="G64" s="2483"/>
      <c r="H64" s="2491"/>
      <c r="I64" s="138"/>
      <c r="J64" s="3081"/>
      <c r="K64" s="2493" t="s">
        <v>2232</v>
      </c>
      <c r="L64" s="1748">
        <f ca="1">IF(M49&gt;2000,M49*0.5%,IF(AND(M49&gt;1000,M49&lt;=2000),M49*0.6%,IF(AND(M49&gt;500,M49&lt;=1000),M49*0.7%,IF(AND(M49&gt;200,M49&lt;=500),M49*0.8%,IF(AND(M49&gt;100,M49&lt;=200),M49*0.9%,IF(AND(M49&gt;50,M49&lt;=100),M49*1%,IF(AND(M49&gt;20,M49&lt;=50),M49*1.5%,IF(AND(M49&gt;10,M49&lt;=20),M49*2%,IF(AND(M49&gt;1,M49&lt;=10),M49*2.5%)))))))))</f>
        <v>23.245000000000001</v>
      </c>
      <c r="M64" s="24">
        <f t="shared" ref="M64:M65" ca="1" si="1">ROUND(L64,1)</f>
        <v>23.2</v>
      </c>
      <c r="N64" s="138" t="s">
        <v>2233</v>
      </c>
      <c r="Z64" s="2417"/>
      <c r="AI64" s="2418"/>
    </row>
    <row r="65" spans="1:35" ht="14.25" hidden="1" customHeight="1">
      <c r="A65" s="197" t="s">
        <v>771</v>
      </c>
      <c r="B65" s="198" t="s">
        <v>2234</v>
      </c>
      <c r="C65" s="202"/>
      <c r="D65" s="200"/>
      <c r="E65" s="201"/>
      <c r="F65" s="2483"/>
      <c r="G65" s="2483"/>
      <c r="H65" s="2491"/>
      <c r="I65" s="138"/>
      <c r="J65" s="3081"/>
      <c r="K65" s="2493" t="s">
        <v>2235</v>
      </c>
      <c r="L65" s="1748">
        <f ca="1">IF(M49&gt;1000,M49*0.1%,IF(AND(M49&gt;500,M49&lt;=1000),M49*0.5%,IF(AND(M49&gt;50,M49&lt;=500),M49*1%,IF(AND(M49&gt;1,M49&lt;=50),M49*1.5%))))</f>
        <v>4.649</v>
      </c>
      <c r="M65" s="24">
        <f t="shared" ca="1" si="1"/>
        <v>4.5999999999999996</v>
      </c>
      <c r="N65" s="138" t="s">
        <v>2233</v>
      </c>
      <c r="Z65" s="2417"/>
      <c r="AI65" s="2418"/>
    </row>
    <row r="66" spans="1:35" ht="14.25" hidden="1" customHeight="1">
      <c r="A66" s="203" t="s">
        <v>772</v>
      </c>
      <c r="B66" s="204" t="s">
        <v>2236</v>
      </c>
      <c r="C66" s="205"/>
      <c r="D66" s="206" t="s">
        <v>32</v>
      </c>
      <c r="E66" s="1772" t="s">
        <v>1367</v>
      </c>
      <c r="F66" s="2483"/>
      <c r="G66" s="2483"/>
      <c r="H66" s="2491"/>
      <c r="I66" s="138"/>
      <c r="J66" s="3081"/>
      <c r="K66" s="2493" t="s">
        <v>2237</v>
      </c>
      <c r="L66" s="1748">
        <f ca="1">M49*0.5%</f>
        <v>23.245000000000001</v>
      </c>
      <c r="M66" s="24">
        <f ca="1">IF(L66&gt;0.5,0.5,ROUND(L66,0))</f>
        <v>0.5</v>
      </c>
      <c r="N66" s="138" t="s">
        <v>2238</v>
      </c>
      <c r="Z66" s="2417"/>
      <c r="AI66" s="2418"/>
    </row>
    <row r="67" spans="1:35" ht="14.25" hidden="1" customHeight="1">
      <c r="A67" s="203" t="s">
        <v>773</v>
      </c>
      <c r="B67" s="204" t="s">
        <v>2239</v>
      </c>
      <c r="C67" s="207">
        <f ca="1">C63-C66</f>
        <v>4428</v>
      </c>
      <c r="D67" s="200" t="s">
        <v>32</v>
      </c>
      <c r="E67" s="201"/>
      <c r="F67" s="2483"/>
      <c r="G67" s="2483"/>
      <c r="H67" s="2491"/>
      <c r="I67" s="138"/>
      <c r="J67" s="3081"/>
      <c r="K67" s="2493" t="s">
        <v>2240</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7"/>
      <c r="AI67" s="2418"/>
    </row>
    <row r="68" spans="1:35" ht="14.25" hidden="1" customHeight="1" thickBot="1">
      <c r="A68" s="208" t="s">
        <v>774</v>
      </c>
      <c r="B68" s="209" t="s">
        <v>2241</v>
      </c>
      <c r="C68" s="210">
        <f ca="1">IF(C67&lt;=0,0,ROUND(C67*D68,0))</f>
        <v>248</v>
      </c>
      <c r="D68" s="211">
        <f>'数据-取费表'!B41</f>
        <v>5.6000000000000001E-2</v>
      </c>
      <c r="E68" s="212"/>
      <c r="F68" s="2483"/>
      <c r="G68" s="2483"/>
      <c r="H68" s="2491"/>
      <c r="I68" s="138"/>
      <c r="J68" s="3081"/>
      <c r="K68" s="2493" t="s">
        <v>2242</v>
      </c>
      <c r="L68" s="1748">
        <f ca="1">IF(M49&gt;10000,M49*0.5%,IF(AND(M49&gt;5000,M49&lt;=10000),M49*1%,IF(AND(M49&gt;1000,M49&lt;=5000),M49*2%,IF(AND(M49&gt;200,M49&lt;=1000),M49*3%,M49*5%))))</f>
        <v>92.98</v>
      </c>
      <c r="M68" s="24">
        <f ca="1">ROUND(L68,1)</f>
        <v>93</v>
      </c>
      <c r="Z68" s="2417"/>
      <c r="AI68" s="2418"/>
    </row>
    <row r="69" spans="1:35" s="2440" customFormat="1" ht="16.5" hidden="1" customHeight="1">
      <c r="A69" s="2494"/>
      <c r="B69" s="2495"/>
      <c r="C69" s="2496"/>
      <c r="D69" s="2497"/>
      <c r="E69" s="2498"/>
      <c r="F69" s="2161"/>
      <c r="G69" s="2161"/>
      <c r="H69" s="2160"/>
      <c r="I69" s="2412"/>
      <c r="J69" s="3081"/>
      <c r="K69" s="2493" t="s">
        <v>2243</v>
      </c>
      <c r="L69" s="2499"/>
      <c r="M69" s="24">
        <f ca="1">ROUND(SUM(M63:M68),0)</f>
        <v>170</v>
      </c>
      <c r="N69" s="1749">
        <f ca="1">M69/M49</f>
        <v>3.6567003656700368E-2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hidden="1" thickBot="1">
      <c r="A70" s="3125" t="s">
        <v>2244</v>
      </c>
      <c r="B70" s="3126"/>
      <c r="C70" s="3126"/>
      <c r="D70" s="3126"/>
      <c r="E70" s="3126"/>
      <c r="F70" s="3126"/>
      <c r="G70" s="3126"/>
      <c r="H70" s="3126"/>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116" t="s">
        <v>2225</v>
      </c>
      <c r="B71" s="3117"/>
      <c r="C71" s="1800"/>
      <c r="D71" s="1800" t="s">
        <v>2226</v>
      </c>
      <c r="E71" s="213" t="s">
        <v>2227</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3" t="s">
        <v>775</v>
      </c>
      <c r="B72" s="204" t="s">
        <v>2245</v>
      </c>
      <c r="C72" s="207">
        <f ca="1">ROUND(D45/(1+'数据-取费表'!C42),0)</f>
        <v>4428</v>
      </c>
      <c r="D72" s="200" t="s">
        <v>32</v>
      </c>
      <c r="E72" s="1799"/>
      <c r="F72" s="1793"/>
      <c r="G72" s="1793"/>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3" t="s">
        <v>772</v>
      </c>
      <c r="B73" s="173" t="s">
        <v>2246</v>
      </c>
      <c r="C73" s="207">
        <f ca="1">C74+C78</f>
        <v>27</v>
      </c>
      <c r="D73" s="200" t="s">
        <v>32</v>
      </c>
      <c r="E73" s="1799"/>
      <c r="F73" s="1793"/>
      <c r="G73" s="1793"/>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7" t="s">
        <v>770</v>
      </c>
      <c r="B74" s="198" t="s">
        <v>2247</v>
      </c>
      <c r="C74" s="200">
        <f>ROUND(IF(G77="2016年5月1日后购买",C75/(1+'数据-取费表'!C42)+C76+C77,C75+C76+C77),0)</f>
        <v>0</v>
      </c>
      <c r="D74" s="200" t="s">
        <v>32</v>
      </c>
      <c r="E74" s="1799"/>
      <c r="F74" s="1793"/>
      <c r="G74" s="1793"/>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7" t="s">
        <v>776</v>
      </c>
      <c r="B75" s="198" t="s">
        <v>2248</v>
      </c>
      <c r="C75" s="218"/>
      <c r="D75" s="200" t="s">
        <v>32</v>
      </c>
      <c r="E75" s="219" t="s">
        <v>2249</v>
      </c>
      <c r="F75" s="2505" t="s">
        <v>2250</v>
      </c>
      <c r="G75" s="219" t="s">
        <v>2251</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7" t="s">
        <v>777</v>
      </c>
      <c r="B76" s="221" t="s">
        <v>2252</v>
      </c>
      <c r="C76" s="200">
        <f>IF(F75="购房发票",ROUND(C75*H75*D76,0),0)</f>
        <v>0</v>
      </c>
      <c r="D76" s="222">
        <v>0.05</v>
      </c>
      <c r="E76" s="3122" t="s">
        <v>2253</v>
      </c>
      <c r="F76" s="3121"/>
      <c r="G76" s="3121"/>
      <c r="H76" s="3124"/>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507" t="s">
        <v>2256</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7" t="s">
        <v>771</v>
      </c>
      <c r="B78" s="198" t="s">
        <v>2257</v>
      </c>
      <c r="C78" s="225">
        <f ca="1">ROUND(D45*D78/(1+'数据-取费表'!C42),0)</f>
        <v>27</v>
      </c>
      <c r="D78" s="226">
        <f>'数据-取费表'!B43</f>
        <v>6.000000000000001E-3</v>
      </c>
      <c r="E78" s="3113" t="s">
        <v>2258</v>
      </c>
      <c r="F78" s="3114"/>
      <c r="G78" s="3114"/>
      <c r="H78" s="3115"/>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779</v>
      </c>
      <c r="B79" s="204" t="s">
        <v>2259</v>
      </c>
      <c r="C79" s="207">
        <f ca="1">C72-C73</f>
        <v>4401</v>
      </c>
      <c r="D79" s="200" t="s">
        <v>32</v>
      </c>
      <c r="E79" s="1799"/>
      <c r="F79" s="1793"/>
      <c r="G79" s="1793"/>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4" t="s">
        <v>2260</v>
      </c>
      <c r="C80" s="227">
        <f ca="1">IF(C79&lt;=0,0,C79/C73)</f>
        <v>163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9" t="s">
        <v>2261</v>
      </c>
      <c r="C81" s="228">
        <f ca="1">ROUND(IF(C79&lt;=0,0,IF(C80&gt;=200%,C79*60%-C73*35%,IF(C80&gt;=100%,C79*50%-C73*15%,IF(C80&gt;=50%,C79*40%-C73*5%,IF(C80&lt;50%,C79*30%,0))))),0)</f>
        <v>2631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hidden="1" thickBot="1">
      <c r="A83" s="3125" t="s">
        <v>2262</v>
      </c>
      <c r="B83" s="3126"/>
      <c r="C83" s="3126"/>
      <c r="D83" s="3126"/>
      <c r="E83" s="3126"/>
      <c r="F83" s="3126"/>
      <c r="G83" s="3126"/>
      <c r="H83" s="3126"/>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116" t="s">
        <v>2225</v>
      </c>
      <c r="B84" s="3117"/>
      <c r="C84" s="1800"/>
      <c r="D84" s="1800" t="s">
        <v>2226</v>
      </c>
      <c r="E84" s="213" t="s">
        <v>2227</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3" t="s">
        <v>775</v>
      </c>
      <c r="B85" s="204" t="s">
        <v>2245</v>
      </c>
      <c r="C85" s="207">
        <f ca="1">ROUND(D45/(1+'数据-取费表'!C42),0)</f>
        <v>4428</v>
      </c>
      <c r="D85" s="200" t="s">
        <v>32</v>
      </c>
      <c r="E85" s="1799"/>
      <c r="F85" s="1793"/>
      <c r="G85" s="1793"/>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3" t="s">
        <v>772</v>
      </c>
      <c r="B86" s="173" t="s">
        <v>2246</v>
      </c>
      <c r="C86" s="207">
        <f ca="1">IF(H88="仅含出让金",C87+C90+C91+C92+C93+C94,C87+C91+C92+C93+C94)</f>
        <v>27</v>
      </c>
      <c r="D86" s="235"/>
      <c r="E86" s="1799"/>
      <c r="F86" s="1793"/>
      <c r="G86" s="1793"/>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7" t="s">
        <v>770</v>
      </c>
      <c r="B87" s="198" t="s">
        <v>2263</v>
      </c>
      <c r="C87" s="225">
        <f>C88+C89</f>
        <v>0</v>
      </c>
      <c r="D87" s="226"/>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7" t="s">
        <v>776</v>
      </c>
      <c r="B88" s="198" t="s">
        <v>2264</v>
      </c>
      <c r="C88" s="236"/>
      <c r="D88" s="226"/>
      <c r="E88" s="237" t="s">
        <v>2265</v>
      </c>
      <c r="F88" s="1796"/>
      <c r="G88" s="238" t="s">
        <v>2266</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7" t="s">
        <v>777</v>
      </c>
      <c r="B89" s="198" t="s">
        <v>2254</v>
      </c>
      <c r="C89" s="225">
        <f>ROUND(C88*D89,0)</f>
        <v>0</v>
      </c>
      <c r="D89" s="226">
        <f>'数据-取费表'!B48+'数据-取费表'!B49</f>
        <v>3.0499999999999999E-2</v>
      </c>
      <c r="E89" s="237" t="s">
        <v>2267</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7" t="s">
        <v>771</v>
      </c>
      <c r="B90" s="198" t="s">
        <v>2268</v>
      </c>
      <c r="C90" s="236"/>
      <c r="D90" s="226"/>
      <c r="E90" s="237"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7" t="s">
        <v>2269</v>
      </c>
      <c r="B91" s="198" t="s">
        <v>2270</v>
      </c>
      <c r="C91" s="225">
        <f>IF(H91="——",成本法!C33,I91)</f>
        <v>0</v>
      </c>
      <c r="D91" s="226"/>
      <c r="E91" s="3113" t="s">
        <v>2271</v>
      </c>
      <c r="F91" s="3114"/>
      <c r="G91" s="3114"/>
      <c r="H91" s="2512" t="s">
        <v>2272</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7" t="s">
        <v>2273</v>
      </c>
      <c r="B92" s="198" t="s">
        <v>2274</v>
      </c>
      <c r="C92" s="225">
        <f>ROUND((C87+C90+C91)*D92,0)</f>
        <v>0</v>
      </c>
      <c r="D92" s="226">
        <v>0.1</v>
      </c>
      <c r="E92" s="3113" t="s">
        <v>2275</v>
      </c>
      <c r="F92" s="3114"/>
      <c r="G92" s="3114"/>
      <c r="H92" s="3115"/>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7" t="s">
        <v>2276</v>
      </c>
      <c r="B93" s="198" t="s">
        <v>2257</v>
      </c>
      <c r="C93" s="225">
        <f ca="1">ROUND(D45*D93/(1+'数据-取费表'!C42),0)</f>
        <v>27</v>
      </c>
      <c r="D93" s="226">
        <f>'数据-取费表'!B43</f>
        <v>6.000000000000001E-3</v>
      </c>
      <c r="E93" s="3113" t="s">
        <v>2258</v>
      </c>
      <c r="F93" s="3114"/>
      <c r="G93" s="3114"/>
      <c r="H93" s="3115"/>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7" t="s">
        <v>2277</v>
      </c>
      <c r="B94" s="198" t="s">
        <v>2278</v>
      </c>
      <c r="C94" s="236">
        <f>ROUND((C87+C90+C91)*D94,0)</f>
        <v>0</v>
      </c>
      <c r="D94" s="226">
        <v>0.2</v>
      </c>
      <c r="E94" s="3161" t="s">
        <v>2279</v>
      </c>
      <c r="F94" s="3162"/>
      <c r="G94" s="3162"/>
      <c r="H94" s="3163"/>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779</v>
      </c>
      <c r="B95" s="204" t="s">
        <v>2259</v>
      </c>
      <c r="C95" s="207">
        <f ca="1">ROUND(C85-C86,0)</f>
        <v>4401</v>
      </c>
      <c r="D95" s="200" t="s">
        <v>32</v>
      </c>
      <c r="E95" s="1799"/>
      <c r="F95" s="1793"/>
      <c r="G95" s="1793"/>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4" t="s">
        <v>2260</v>
      </c>
      <c r="C96" s="227">
        <f ca="1">IF(C95&lt;=0,0,C95/C86)</f>
        <v>163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9" t="s">
        <v>2261</v>
      </c>
      <c r="C97" s="228">
        <f ca="1">ROUND(IF(C95&lt;=0,0,IF(C96&gt;=200%,C95*60%-C86*35%,IF(C96&gt;=100%,C95*50%-C86*15%,IF(C96&gt;=50%,C95*40%-C86*5%,IF(C96&lt;50%,C95*30%,0))))),0)</f>
        <v>2631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hidden="1" customHeight="1">
      <c r="A98" s="2490"/>
      <c r="B98" s="2412"/>
      <c r="C98" s="2412"/>
      <c r="D98" s="2412"/>
      <c r="E98" s="2161"/>
      <c r="F98" s="2161"/>
      <c r="G98" s="2161"/>
      <c r="H98" s="2160"/>
      <c r="I98" s="138"/>
    </row>
    <row r="99" spans="1:35" ht="21.75" customHeight="1" thickBot="1">
      <c r="A99" s="2468" t="s">
        <v>2280</v>
      </c>
      <c r="B99" s="2412"/>
      <c r="C99" s="2412"/>
      <c r="D99" s="2412"/>
      <c r="E99" s="2161"/>
      <c r="F99" s="2161"/>
      <c r="G99" s="2161"/>
      <c r="H99" s="2160"/>
      <c r="I99" s="138"/>
    </row>
    <row r="100" spans="1:35" ht="18.75" customHeight="1">
      <c r="A100" s="3065" t="s">
        <v>2281</v>
      </c>
      <c r="B100" s="3066"/>
      <c r="C100" s="3066"/>
      <c r="D100" s="3097"/>
      <c r="E100" s="3066" t="s">
        <v>2282</v>
      </c>
      <c r="F100" s="3066"/>
      <c r="G100" s="3066"/>
      <c r="H100" s="3097"/>
      <c r="I100" s="138"/>
    </row>
    <row r="101" spans="1:35" ht="18.75" customHeight="1">
      <c r="A101" s="3105" t="s">
        <v>2283</v>
      </c>
      <c r="B101" s="3106"/>
      <c r="C101" s="736" t="str">
        <f>C4</f>
        <v>土地比较法-住宅、综合</v>
      </c>
      <c r="D101" s="737" t="str">
        <f>D4</f>
        <v>假设开发法</v>
      </c>
      <c r="E101" s="3077" t="s">
        <v>2284</v>
      </c>
      <c r="F101" s="3078"/>
      <c r="G101" s="2514" t="s">
        <v>2285</v>
      </c>
      <c r="H101" s="1045">
        <f ca="1">H118</f>
        <v>4649</v>
      </c>
      <c r="I101" s="138"/>
    </row>
    <row r="102" spans="1:35" ht="18.75" customHeight="1">
      <c r="A102" s="3107" t="s">
        <v>2286</v>
      </c>
      <c r="B102" s="2514" t="s">
        <v>2285</v>
      </c>
      <c r="C102" s="736">
        <f ca="1">C19</f>
        <v>4456</v>
      </c>
      <c r="D102" s="737">
        <f ca="1">D19</f>
        <v>4841</v>
      </c>
      <c r="E102" s="3077"/>
      <c r="F102" s="3078"/>
      <c r="G102" s="2514" t="s">
        <v>2287</v>
      </c>
      <c r="H102" s="371">
        <f ca="1">I118</f>
        <v>872</v>
      </c>
      <c r="I102" s="138"/>
    </row>
    <row r="103" spans="1:35" ht="42.75" customHeight="1">
      <c r="A103" s="3107"/>
      <c r="B103" s="2514" t="s">
        <v>2287</v>
      </c>
      <c r="C103" s="738">
        <f ca="1">C20</f>
        <v>836</v>
      </c>
      <c r="D103" s="739">
        <f ca="1">D20</f>
        <v>908</v>
      </c>
      <c r="E103" s="3071" t="s">
        <v>2288</v>
      </c>
      <c r="F103" s="3072"/>
      <c r="G103" s="2515" t="s">
        <v>2289</v>
      </c>
      <c r="H103" s="1045">
        <f>IF(D36="正常操作",H104+H105+H106,H105+H106)</f>
        <v>0</v>
      </c>
      <c r="I103" s="138"/>
    </row>
    <row r="104" spans="1:35" ht="18.75" customHeight="1">
      <c r="A104" s="3107" t="s">
        <v>2290</v>
      </c>
      <c r="B104" s="2516" t="s">
        <v>2285</v>
      </c>
      <c r="C104" s="740">
        <f ca="1">H118</f>
        <v>4649</v>
      </c>
      <c r="D104" s="741"/>
      <c r="E104" s="2262" t="s">
        <v>2291</v>
      </c>
      <c r="F104" s="2253"/>
      <c r="G104" s="2515" t="s">
        <v>2289</v>
      </c>
      <c r="H104" s="1046">
        <f>IF(D36="同一抵押权人同一抵押物续贷",C36&amp;"（未扣减，详见特别提示）",C36)</f>
        <v>0</v>
      </c>
      <c r="I104" s="138"/>
    </row>
    <row r="105" spans="1:35" ht="18.75" customHeight="1" thickBot="1">
      <c r="A105" s="3119"/>
      <c r="B105" s="2517" t="s">
        <v>2287</v>
      </c>
      <c r="C105" s="742">
        <f ca="1">I118</f>
        <v>872</v>
      </c>
      <c r="D105" s="743"/>
      <c r="E105" s="2262" t="s">
        <v>2292</v>
      </c>
      <c r="F105" s="2253"/>
      <c r="G105" s="2515" t="s">
        <v>2289</v>
      </c>
      <c r="H105" s="1046">
        <f>C37</f>
        <v>0</v>
      </c>
      <c r="I105" s="138"/>
    </row>
    <row r="106" spans="1:35" ht="18.75" customHeight="1">
      <c r="A106" s="2412" t="s">
        <v>2293</v>
      </c>
      <c r="B106" s="2412"/>
      <c r="C106" s="2412"/>
      <c r="D106" s="2412"/>
      <c r="E106" s="2518" t="s">
        <v>2294</v>
      </c>
      <c r="F106" s="2253"/>
      <c r="G106" s="2515" t="s">
        <v>2289</v>
      </c>
      <c r="H106" s="1046">
        <f>C38</f>
        <v>0</v>
      </c>
      <c r="I106" s="138"/>
    </row>
    <row r="107" spans="1:35" ht="18.75" customHeight="1">
      <c r="A107" s="138"/>
      <c r="B107" s="138"/>
      <c r="C107" s="138"/>
      <c r="D107" s="138"/>
      <c r="E107" s="3108" t="str">
        <f>IF(项目基本情况!E8="已注销","——","3.房地产抵押价值")</f>
        <v>3.房地产抵押价值</v>
      </c>
      <c r="F107" s="3078"/>
      <c r="G107" s="2514" t="s">
        <v>2285</v>
      </c>
      <c r="H107" s="1045">
        <f ca="1">IF(E107="——","——",H101-H103)</f>
        <v>4649</v>
      </c>
      <c r="I107" s="138"/>
    </row>
    <row r="108" spans="1:35" ht="18.75" customHeight="1">
      <c r="A108" s="138"/>
      <c r="B108" s="138"/>
      <c r="C108" s="138"/>
      <c r="D108" s="138"/>
      <c r="E108" s="3108"/>
      <c r="F108" s="3078"/>
      <c r="G108" s="2514" t="s">
        <v>2287</v>
      </c>
      <c r="H108" s="371">
        <f ca="1">ROUND(H107*10000/'数据-汇总表'!E3,0)</f>
        <v>872</v>
      </c>
      <c r="I108" s="138"/>
    </row>
    <row r="109" spans="1:35" ht="18.75" customHeight="1">
      <c r="A109" s="138"/>
      <c r="B109" s="138"/>
      <c r="C109" s="138"/>
      <c r="D109" s="138"/>
      <c r="E109" s="3108" t="str">
        <f>IF(项目基本情况!E8="已注销及未注销","4.抵押担保权已注销时的房地产抵押价值",IF(项目基本情况!E8="已注销","3.抵押担保权已注销时的房地产抵押价值","——"))</f>
        <v>——</v>
      </c>
      <c r="F109" s="3078"/>
      <c r="G109" s="2514" t="s">
        <v>2285</v>
      </c>
      <c r="H109" s="348" t="str">
        <f>IF(E109="——","——",H101-H105-H106)</f>
        <v>——</v>
      </c>
      <c r="I109" s="138"/>
    </row>
    <row r="110" spans="1:35" ht="18.75" customHeight="1">
      <c r="A110" s="138"/>
      <c r="B110" s="138"/>
      <c r="C110" s="138"/>
      <c r="D110" s="138"/>
      <c r="E110" s="3108"/>
      <c r="F110" s="3078"/>
      <c r="G110" s="2514" t="s">
        <v>2287</v>
      </c>
      <c r="H110" s="371" t="str">
        <f>IF(H109="——","——",ROUND(H109*10000/'数据-汇总表'!E3,0))</f>
        <v>——</v>
      </c>
      <c r="I110" s="138"/>
    </row>
    <row r="111" spans="1:35" ht="18.75" customHeight="1">
      <c r="A111" s="138"/>
      <c r="B111" s="138"/>
      <c r="C111" s="138"/>
      <c r="D111" s="138"/>
      <c r="E111" s="3109" t="str">
        <f>IF(项目基本情况!E9="抵押净值",IF(OR(项目基本情况!E8="已注销",项目基本情况!E8="房地产抵押价值"),"4.抵押净值","5.抵押净值"),"——")</f>
        <v>——</v>
      </c>
      <c r="F111" s="3110"/>
      <c r="G111" s="2514" t="s">
        <v>2285</v>
      </c>
      <c r="H111" s="1045" t="str">
        <f>IF(E111="——","——",N59)</f>
        <v>——</v>
      </c>
      <c r="I111" s="138"/>
    </row>
    <row r="112" spans="1:35" ht="18.75" customHeight="1" thickBot="1">
      <c r="A112" s="138"/>
      <c r="B112" s="138"/>
      <c r="C112" s="138"/>
      <c r="D112" s="138"/>
      <c r="E112" s="3111"/>
      <c r="F112" s="3112"/>
      <c r="G112" s="2519" t="s">
        <v>2287</v>
      </c>
      <c r="H112" s="790" t="str">
        <f>IF(E111="——","——",N61)</f>
        <v>——</v>
      </c>
      <c r="I112" s="138"/>
    </row>
    <row r="113" spans="1:11" ht="18.75" customHeight="1">
      <c r="A113" s="138"/>
      <c r="B113" s="138"/>
      <c r="C113" s="138"/>
      <c r="D113" s="138"/>
      <c r="E113" s="3120" t="s">
        <v>2293</v>
      </c>
      <c r="F113" s="3120"/>
      <c r="G113" s="3120"/>
      <c r="H113" s="3120"/>
      <c r="I113" s="138"/>
    </row>
    <row r="114" spans="1:11" ht="3.75" customHeight="1">
      <c r="A114" s="2412"/>
      <c r="B114" s="2412"/>
      <c r="C114" s="2412"/>
      <c r="D114" s="2412"/>
      <c r="E114" s="2490"/>
      <c r="F114" s="2490"/>
      <c r="G114" s="2490"/>
      <c r="H114" s="2490"/>
      <c r="I114" s="2412"/>
    </row>
    <row r="115" spans="1:11" ht="18.75" customHeight="1">
      <c r="A115" s="3133" t="s">
        <v>2295</v>
      </c>
      <c r="B115" s="3134"/>
      <c r="C115" s="3134"/>
      <c r="D115" s="3134"/>
      <c r="E115" s="3134"/>
      <c r="F115" s="3134"/>
      <c r="G115" s="3134"/>
      <c r="H115" s="3134"/>
      <c r="I115" s="3135"/>
    </row>
    <row r="116" spans="1:11" ht="27" customHeight="1">
      <c r="A116" s="3044" t="s">
        <v>2296</v>
      </c>
      <c r="B116" s="3087" t="s">
        <v>2297</v>
      </c>
      <c r="C116" s="3087" t="s">
        <v>2298</v>
      </c>
      <c r="D116" s="3093" t="s">
        <v>2299</v>
      </c>
      <c r="E116" s="3094"/>
      <c r="F116" s="3129" t="s">
        <v>2300</v>
      </c>
      <c r="G116" s="3129"/>
      <c r="H116" s="3044" t="s">
        <v>2301</v>
      </c>
      <c r="I116" s="3044"/>
    </row>
    <row r="117" spans="1:11" ht="18.75" customHeight="1">
      <c r="A117" s="3044"/>
      <c r="B117" s="3088"/>
      <c r="C117" s="3088"/>
      <c r="D117" s="1794" t="s">
        <v>2302</v>
      </c>
      <c r="E117" s="1794" t="s">
        <v>2303</v>
      </c>
      <c r="F117" s="1794" t="s">
        <v>2302</v>
      </c>
      <c r="G117" s="1794" t="s">
        <v>2304</v>
      </c>
      <c r="H117" s="1794" t="s">
        <v>2302</v>
      </c>
      <c r="I117" s="1794" t="s">
        <v>2304</v>
      </c>
    </row>
    <row r="118" spans="1:11" ht="24.75" customHeight="1">
      <c r="A118" s="2520" t="str">
        <f>项目基本情况!S2</f>
        <v>贵州省六盘水市钟山区红桥大道南侧、双龙一路西侧、南干线北侧住宅用地出让国有建设用地使用权出让国有建设用地使用权</v>
      </c>
      <c r="B118" s="1794">
        <f>M18</f>
        <v>53306.400000000001</v>
      </c>
      <c r="C118" s="1794">
        <f>M19</f>
        <v>21322.59</v>
      </c>
      <c r="D118" s="1794">
        <f ca="1">ROUND(IF(D32="总价",C34,E118*B118/10000),0)</f>
        <v>4649</v>
      </c>
      <c r="E118" s="1794">
        <f ca="1">ROUND(IF(C33="自定义",IF(D32="楼面单价",C34,D118*10000/B118),I118-G118),0)</f>
        <v>872</v>
      </c>
      <c r="F118" s="1794">
        <f ca="1">ROUND(IF(D32="总价",C35,G118*B118/10000),0)</f>
        <v>0</v>
      </c>
      <c r="G118" s="1794">
        <f ca="1">ROUND(IF(D32="楼面单价",C35,F118*10000/B118),0)</f>
        <v>0</v>
      </c>
      <c r="H118" s="1794">
        <f ca="1">ROUND(IF(D32="总价",C32,I118*B118/10000),0)</f>
        <v>4649</v>
      </c>
      <c r="I118" s="1794">
        <f ca="1">ROUND(IF(D32="楼面单价",C32,H118*10000/B118),0)</f>
        <v>872</v>
      </c>
    </row>
    <row r="119" spans="1:11" ht="18.75" customHeight="1">
      <c r="A119" s="3044" t="s">
        <v>2305</v>
      </c>
      <c r="B119" s="3044"/>
      <c r="C119" s="3044"/>
      <c r="D119" s="3089" t="str">
        <f ca="1">NUMBERSTRING(INT(D118*10000),2)&amp;"元整"</f>
        <v>肆仟陆佰肆拾玖万元整</v>
      </c>
      <c r="E119" s="3090"/>
      <c r="F119" s="3089" t="str">
        <f ca="1">NUMBERSTRING(INT(F118*10000),2)&amp;"元整"</f>
        <v>零元整</v>
      </c>
      <c r="G119" s="3090"/>
      <c r="H119" s="3089" t="str">
        <f ca="1">NUMBERSTRING(INT(H118*10000),2)&amp;"元整"</f>
        <v>肆仟陆佰肆拾玖万元整</v>
      </c>
      <c r="I119" s="3090"/>
    </row>
    <row r="120" spans="1:11" ht="18.75" customHeight="1">
      <c r="A120" s="3084" t="str">
        <f>IF(项目基本情况!B9="房地产市场价值","",MID(E103,3,LEN(E103)-2))</f>
        <v>估价师知悉的法定优先受偿款</v>
      </c>
      <c r="B120" s="3085"/>
      <c r="C120" s="3086"/>
      <c r="D120" s="3084">
        <f>H103</f>
        <v>0</v>
      </c>
      <c r="E120" s="3085"/>
      <c r="F120" s="3085"/>
      <c r="G120" s="3085"/>
      <c r="H120" s="3085"/>
      <c r="I120" s="3086"/>
      <c r="K120" s="2417" t="str">
        <f>IF(D120=0,"故，本次评估不存在"&amp;A120,"故，本次评估"&amp;A120&amp;"为人民币"&amp;D120&amp;"万元整。")</f>
        <v>故，本次评估不存在估价师知悉的法定优先受偿款</v>
      </c>
    </row>
    <row r="121" spans="1:11" ht="18.75" customHeight="1">
      <c r="A121" s="3130" t="s">
        <v>2305</v>
      </c>
      <c r="B121" s="3131"/>
      <c r="C121" s="3132"/>
      <c r="D121" s="3089" t="str">
        <f>IF(D120=0,"零元整",NUMBERSTRING(INT(D120*10000),2)&amp;"元整")</f>
        <v>零元整</v>
      </c>
      <c r="E121" s="3091"/>
      <c r="F121" s="3091"/>
      <c r="G121" s="3091"/>
      <c r="H121" s="3091"/>
      <c r="I121" s="3090"/>
    </row>
    <row r="122" spans="1:11" ht="18.75" customHeight="1">
      <c r="A122" s="3095" t="str">
        <f>IF(项目基本情况!B9="房地产市场价值","",MID(E107,3,LEN(E107)-2))</f>
        <v>房地产抵押价值</v>
      </c>
      <c r="B122" s="3095"/>
      <c r="C122" s="3095"/>
      <c r="D122" s="3084">
        <f ca="1">H107</f>
        <v>4649</v>
      </c>
      <c r="E122" s="3085"/>
      <c r="F122" s="3085"/>
      <c r="G122" s="3085"/>
      <c r="H122" s="3085"/>
      <c r="I122" s="3086"/>
    </row>
    <row r="123" spans="1:11" ht="18.75" customHeight="1">
      <c r="A123" s="3044" t="s">
        <v>2305</v>
      </c>
      <c r="B123" s="3044"/>
      <c r="C123" s="3044"/>
      <c r="D123" s="3089" t="str">
        <f ca="1">NUMBERSTRING(INT(D122*10000),2)&amp;"元整"</f>
        <v>肆仟陆佰肆拾玖万元整</v>
      </c>
      <c r="E123" s="3091"/>
      <c r="F123" s="3091"/>
      <c r="G123" s="3091"/>
      <c r="H123" s="3091"/>
      <c r="I123" s="3090"/>
    </row>
    <row r="124" spans="1:11" ht="18.75" customHeight="1">
      <c r="A124" s="3095" t="str">
        <f>IF(项目基本情况!B9="房地产市场价值","",MID(E109,3,LEN(E109)-2))</f>
        <v/>
      </c>
      <c r="B124" s="3095"/>
      <c r="C124" s="3095"/>
      <c r="D124" s="3084" t="str">
        <f>H109</f>
        <v>——</v>
      </c>
      <c r="E124" s="3085"/>
      <c r="F124" s="3085"/>
      <c r="G124" s="3085"/>
      <c r="H124" s="3085"/>
      <c r="I124" s="3086"/>
    </row>
    <row r="125" spans="1:11" ht="18.75" customHeight="1">
      <c r="A125" s="3044" t="s">
        <v>2305</v>
      </c>
      <c r="B125" s="3044"/>
      <c r="C125" s="3044"/>
      <c r="D125" s="3089" t="e">
        <f>NUMBERSTRING(INT(D124*10000),2)&amp;"元整"</f>
        <v>#VALUE!</v>
      </c>
      <c r="E125" s="3091"/>
      <c r="F125" s="3091"/>
      <c r="G125" s="3091"/>
      <c r="H125" s="3091"/>
      <c r="I125" s="3090"/>
    </row>
    <row r="126" spans="1:11" ht="18.75" customHeight="1">
      <c r="A126" s="3095" t="str">
        <f>IF(项目基本情况!B9="房地产市场价值","",MID(E111,3,LEN(E111)-2))</f>
        <v/>
      </c>
      <c r="B126" s="3095"/>
      <c r="C126" s="3095"/>
      <c r="D126" s="3084" t="str">
        <f>H111</f>
        <v>——</v>
      </c>
      <c r="E126" s="3085"/>
      <c r="F126" s="3085"/>
      <c r="G126" s="3085"/>
      <c r="H126" s="3085"/>
      <c r="I126" s="3086"/>
    </row>
    <row r="127" spans="1:11" ht="18.75" customHeight="1">
      <c r="A127" s="3044" t="s">
        <v>2305</v>
      </c>
      <c r="B127" s="3044"/>
      <c r="C127" s="3044"/>
      <c r="D127" s="3089" t="e">
        <f>NUMBERSTRING(INT(D126*10000),2)&amp;"元整"</f>
        <v>#VALUE!</v>
      </c>
      <c r="E127" s="3091"/>
      <c r="F127" s="3091"/>
      <c r="G127" s="3091"/>
      <c r="H127" s="3091"/>
      <c r="I127" s="3090"/>
    </row>
    <row r="128" spans="1:11" ht="21.75" customHeight="1">
      <c r="A128" s="3092" t="s">
        <v>2306</v>
      </c>
      <c r="B128" s="3092"/>
      <c r="C128" s="3092"/>
      <c r="D128" s="3092"/>
      <c r="E128" s="3092"/>
      <c r="F128" s="3092"/>
      <c r="G128" s="3092"/>
      <c r="H128" s="3092"/>
      <c r="I128" s="3092"/>
    </row>
    <row r="129" spans="1:35" ht="21.75" customHeight="1">
      <c r="A129" s="2521" t="s">
        <v>2307</v>
      </c>
      <c r="B129" s="2522"/>
      <c r="C129" s="2523" t="s">
        <v>2308</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2309</v>
      </c>
      <c r="G135" s="2538"/>
      <c r="H135" s="2538"/>
      <c r="I135" s="2539" t="s">
        <v>2310</v>
      </c>
    </row>
    <row r="136" spans="1:35" ht="21.75" customHeight="1">
      <c r="A136" s="795"/>
      <c r="B136" s="2540"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2312</v>
      </c>
    </row>
    <row r="139" spans="1:35" ht="21.75" customHeight="1">
      <c r="A139" s="795"/>
      <c r="B139" s="2540" t="s">
        <v>2313</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2312</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C1" zoomScale="80" zoomScaleNormal="80" workbookViewId="0">
      <selection activeCell="H48" sqref="H48"/>
    </sheetView>
  </sheetViews>
  <sheetFormatPr defaultColWidth="9" defaultRowHeight="14.25"/>
  <cols>
    <col min="1" max="1" width="14.375" style="403" customWidth="1"/>
    <col min="2" max="2" width="15.75" style="403" customWidth="1"/>
    <col min="3" max="3" width="16.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2729</v>
      </c>
      <c r="B1" s="395"/>
      <c r="C1" s="396" t="s">
        <v>2730</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f>F66</f>
        <v>4456</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2317</v>
      </c>
      <c r="B3" s="609">
        <f>ROUND(IF(D3="",B2*10000/'数据-汇总表'!E3,B2*10000/D3),0)</f>
        <v>836</v>
      </c>
      <c r="C3" s="247" t="s">
        <v>2731</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2630</v>
      </c>
      <c r="B4" s="402"/>
      <c r="C4" s="3182" t="s">
        <v>2631</v>
      </c>
      <c r="D4" s="3183"/>
      <c r="E4" s="3184" t="s">
        <v>2632</v>
      </c>
      <c r="F4" s="3185"/>
      <c r="G4" s="3182" t="s">
        <v>2633</v>
      </c>
      <c r="H4" s="3183"/>
      <c r="I4" s="3182" t="s">
        <v>2634</v>
      </c>
      <c r="J4" s="3183"/>
      <c r="K4" s="610" t="s">
        <v>2635</v>
      </c>
      <c r="L4" s="1130"/>
      <c r="M4" s="1131"/>
      <c r="N4" s="1131"/>
      <c r="O4" s="1131"/>
      <c r="P4" s="3186" t="s">
        <v>2636</v>
      </c>
      <c r="Q4" s="3187"/>
      <c r="R4" s="3169" t="s">
        <v>2632</v>
      </c>
      <c r="S4" s="3170"/>
      <c r="T4" s="3169" t="s">
        <v>2633</v>
      </c>
      <c r="U4" s="3170"/>
      <c r="V4" s="3194" t="s">
        <v>2634</v>
      </c>
      <c r="W4" s="3194"/>
      <c r="X4" s="1812"/>
      <c r="Y4" s="3169" t="s">
        <v>2636</v>
      </c>
      <c r="Z4" s="3170"/>
      <c r="AA4" s="3164" t="s">
        <v>2632</v>
      </c>
      <c r="AB4" s="3165" t="s">
        <v>2633</v>
      </c>
      <c r="AC4" s="3164" t="s">
        <v>2634</v>
      </c>
    </row>
    <row r="5" spans="1:30" ht="15">
      <c r="A5" s="404"/>
      <c r="B5" s="405"/>
      <c r="C5" s="3175" t="s">
        <v>2527</v>
      </c>
      <c r="D5" s="3176"/>
      <c r="E5" s="3173" t="str">
        <f>土地!A4</f>
        <v>钟山片区明湖路以东、纬十路南侧</v>
      </c>
      <c r="F5" s="3174"/>
      <c r="G5" s="3175" t="str">
        <f>土地!A5</f>
        <v>规划环山一号路南侧、规划凤仙路北侧、规划凤一路西侧</v>
      </c>
      <c r="H5" s="3176"/>
      <c r="I5" s="3175" t="str">
        <f>土地!A6</f>
        <v>规划环山一号路南侧、规划凤仙路北侧、规划凤一路西侧</v>
      </c>
      <c r="J5" s="3176"/>
      <c r="K5" s="610"/>
      <c r="L5" s="1130"/>
      <c r="M5" s="1131"/>
      <c r="N5" s="1131"/>
      <c r="O5" s="1131"/>
      <c r="P5" s="3188"/>
      <c r="Q5" s="3189"/>
      <c r="R5" s="3171"/>
      <c r="S5" s="3172"/>
      <c r="T5" s="3171"/>
      <c r="U5" s="3172"/>
      <c r="V5" s="3194"/>
      <c r="W5" s="3194"/>
      <c r="X5" s="1812"/>
      <c r="Y5" s="3171"/>
      <c r="Z5" s="3172"/>
      <c r="AA5" s="3165"/>
      <c r="AB5" s="3165"/>
      <c r="AC5" s="3165"/>
    </row>
    <row r="6" spans="1:30" ht="15.75" thickBot="1">
      <c r="A6" s="406"/>
      <c r="B6" s="407"/>
      <c r="C6" s="3177" t="s">
        <v>2531</v>
      </c>
      <c r="D6" s="3178"/>
      <c r="E6" s="3179" t="s">
        <v>2531</v>
      </c>
      <c r="F6" s="3180"/>
      <c r="G6" s="3177" t="s">
        <v>2531</v>
      </c>
      <c r="H6" s="3178"/>
      <c r="I6" s="3177" t="s">
        <v>2531</v>
      </c>
      <c r="J6" s="3178"/>
      <c r="K6" s="610" t="s">
        <v>2532</v>
      </c>
      <c r="L6" s="1130"/>
      <c r="M6" s="1131"/>
      <c r="N6" s="1131"/>
      <c r="O6" s="1131"/>
      <c r="P6" s="3190"/>
      <c r="Q6" s="3191"/>
      <c r="R6" s="3171"/>
      <c r="S6" s="3172"/>
      <c r="T6" s="3192"/>
      <c r="U6" s="3193"/>
      <c r="V6" s="3194"/>
      <c r="W6" s="3194"/>
      <c r="X6" s="1812"/>
      <c r="Y6" s="3192"/>
      <c r="Z6" s="3193"/>
      <c r="AA6" s="3166"/>
      <c r="AB6" s="3166"/>
      <c r="AC6" s="3166"/>
    </row>
    <row r="7" spans="1:30" s="117" customFormat="1" ht="15.75" thickBot="1">
      <c r="A7" s="408" t="s">
        <v>2533</v>
      </c>
      <c r="B7" s="409"/>
      <c r="C7" s="410">
        <f>'数据-取费表'!B2</f>
        <v>44018</v>
      </c>
      <c r="D7" s="411">
        <v>100</v>
      </c>
      <c r="E7" s="412" t="str">
        <f>土地!AA4</f>
        <v>2020-05-29</v>
      </c>
      <c r="F7" s="413">
        <f>SUMIF(70:70,YEAR(E7)&amp;"-"&amp;INT((MONTH(E7)+2)/3),71:71)</f>
        <v>99.5</v>
      </c>
      <c r="G7" s="2690" t="str">
        <f>土地!AA5</f>
        <v>2020-04-07</v>
      </c>
      <c r="H7" s="411">
        <f>SUMIF(70:70,YEAR(G7)&amp;"-"&amp;INT((MONTH(G7)+2)/3),71:71)</f>
        <v>99.5</v>
      </c>
      <c r="I7" s="2690" t="str">
        <f>土地!AA6</f>
        <v>2020-04-07</v>
      </c>
      <c r="J7" s="411">
        <f>SUMIF(70:70,YEAR(I7)&amp;"-"&amp;INT((MONTH(I7)+2)/3),71:71)</f>
        <v>99.5</v>
      </c>
      <c r="K7" s="611"/>
      <c r="L7" s="1132"/>
      <c r="M7" s="1133"/>
      <c r="N7" s="1133"/>
      <c r="O7" s="1133"/>
      <c r="P7" s="3167" t="s">
        <v>2534</v>
      </c>
      <c r="Q7" s="3195"/>
      <c r="R7" s="770" t="s">
        <v>17</v>
      </c>
      <c r="S7" s="771">
        <f t="shared" ref="S7:S15" si="0">F7</f>
        <v>99.5</v>
      </c>
      <c r="T7" s="770" t="s">
        <v>17</v>
      </c>
      <c r="U7" s="771">
        <f t="shared" ref="U7:U15" si="1">H7</f>
        <v>99.5</v>
      </c>
      <c r="V7" s="770" t="s">
        <v>17</v>
      </c>
      <c r="W7" s="771">
        <f t="shared" ref="W7:W15" si="2">J7</f>
        <v>99.5</v>
      </c>
      <c r="X7" s="772"/>
      <c r="Y7" s="3167" t="s">
        <v>2534</v>
      </c>
      <c r="Z7" s="3168"/>
      <c r="AA7" s="773">
        <f>D7/F7</f>
        <v>1.0050251256281406</v>
      </c>
      <c r="AB7" s="773">
        <f>D7/H7</f>
        <v>1.0050251256281406</v>
      </c>
      <c r="AC7" s="773">
        <f>D7/J7</f>
        <v>1.0050251256281406</v>
      </c>
    </row>
    <row r="8" spans="1:30" s="117" customFormat="1" ht="15.75" thickBot="1">
      <c r="A8" s="408" t="s">
        <v>2535</v>
      </c>
      <c r="B8" s="409"/>
      <c r="C8" s="414" t="s">
        <v>2536</v>
      </c>
      <c r="D8" s="411">
        <v>100</v>
      </c>
      <c r="E8" s="414" t="s">
        <v>2536</v>
      </c>
      <c r="F8" s="413">
        <f>SUMIF(73:73,E8,74:74)-SUMIF(73:73,C8,74:74)+100</f>
        <v>100</v>
      </c>
      <c r="G8" s="414" t="s">
        <v>2536</v>
      </c>
      <c r="H8" s="411">
        <f>SUMIF(73:73,G8,74:74)-SUMIF(73:73,C8,74:74)+100</f>
        <v>100</v>
      </c>
      <c r="I8" s="414" t="s">
        <v>2536</v>
      </c>
      <c r="J8" s="411">
        <f>SUMIF(73:73,I8,74:74)-SUMIF(73:73,C8,74:74)+100</f>
        <v>100</v>
      </c>
      <c r="K8" s="611"/>
      <c r="L8" s="1132"/>
      <c r="M8" s="1133"/>
      <c r="N8" s="1133"/>
      <c r="O8" s="1133"/>
      <c r="P8" s="3167" t="s">
        <v>2537</v>
      </c>
      <c r="Q8" s="3168"/>
      <c r="R8" s="770" t="s">
        <v>17</v>
      </c>
      <c r="S8" s="771">
        <f t="shared" si="0"/>
        <v>100</v>
      </c>
      <c r="T8" s="770" t="s">
        <v>17</v>
      </c>
      <c r="U8" s="771">
        <f t="shared" si="1"/>
        <v>100</v>
      </c>
      <c r="V8" s="770" t="s">
        <v>17</v>
      </c>
      <c r="W8" s="771">
        <f t="shared" si="2"/>
        <v>100</v>
      </c>
      <c r="X8" s="772"/>
      <c r="Y8" s="3167" t="s">
        <v>2537</v>
      </c>
      <c r="Z8" s="3168"/>
      <c r="AA8" s="773">
        <f t="shared" ref="AA8:AA45" si="3">D8/F8</f>
        <v>1</v>
      </c>
      <c r="AB8" s="773">
        <f t="shared" ref="AB8:AB45" si="4">D8/H8</f>
        <v>1</v>
      </c>
      <c r="AC8" s="773">
        <f t="shared" ref="AC8:AC45" si="5">D8/J8</f>
        <v>1</v>
      </c>
    </row>
    <row r="9" spans="1:30" s="117" customFormat="1">
      <c r="A9" s="415" t="s">
        <v>2538</v>
      </c>
      <c r="B9" s="71" t="s">
        <v>2539</v>
      </c>
      <c r="C9" s="2693" t="s">
        <v>1373</v>
      </c>
      <c r="D9" s="135">
        <v>100</v>
      </c>
      <c r="E9" s="2693" t="s">
        <v>1373</v>
      </c>
      <c r="F9" s="135">
        <f>SUMIF(75:75,E9,76:76)-SUMIF(75:75,C9,76:76)+100</f>
        <v>100</v>
      </c>
      <c r="G9" s="2693" t="s">
        <v>1373</v>
      </c>
      <c r="H9" s="135">
        <f>SUMIF(75:75,G9,76:76)-SUMIF(75:75,C9,76:76)+100</f>
        <v>100</v>
      </c>
      <c r="I9" s="2693" t="s">
        <v>1373</v>
      </c>
      <c r="J9" s="135">
        <f>SUMIF(75:75,I9,76:76)-SUMIF(75:75,C9,76:76)+100</f>
        <v>100</v>
      </c>
      <c r="K9" s="611"/>
      <c r="L9" s="1132"/>
      <c r="M9" s="1133"/>
      <c r="N9" s="1133"/>
      <c r="O9" s="1134"/>
      <c r="P9" s="3181" t="s">
        <v>2540</v>
      </c>
      <c r="Q9" s="1794" t="str">
        <f t="shared" ref="Q9:Q15" si="6">B9</f>
        <v>用途</v>
      </c>
      <c r="R9" s="770" t="s">
        <v>17</v>
      </c>
      <c r="S9" s="771">
        <f t="shared" si="0"/>
        <v>100</v>
      </c>
      <c r="T9" s="770" t="s">
        <v>17</v>
      </c>
      <c r="U9" s="771">
        <f t="shared" si="1"/>
        <v>100</v>
      </c>
      <c r="V9" s="770" t="s">
        <v>17</v>
      </c>
      <c r="W9" s="771">
        <f t="shared" si="2"/>
        <v>100</v>
      </c>
      <c r="X9" s="772"/>
      <c r="Y9" s="3044" t="s">
        <v>2541</v>
      </c>
      <c r="Z9" s="55" t="str">
        <f t="shared" ref="Z9:Z15" si="7">Q9</f>
        <v>用途</v>
      </c>
      <c r="AA9" s="773">
        <f t="shared" si="3"/>
        <v>1</v>
      </c>
      <c r="AB9" s="773">
        <f t="shared" si="4"/>
        <v>1</v>
      </c>
      <c r="AC9" s="773">
        <f t="shared" si="5"/>
        <v>1</v>
      </c>
    </row>
    <row r="10" spans="1:30" s="427" customFormat="1" ht="27">
      <c r="A10" s="421"/>
      <c r="B10" s="422" t="s">
        <v>2542</v>
      </c>
      <c r="C10" s="432">
        <f>'数据-取费表'!F6</f>
        <v>69.83</v>
      </c>
      <c r="D10" s="136">
        <v>100</v>
      </c>
      <c r="E10" s="465" t="s">
        <v>3392</v>
      </c>
      <c r="F10" s="136">
        <f>ROUND(100/'数据-取费表'!G16,0)</f>
        <v>100</v>
      </c>
      <c r="G10" s="465" t="s">
        <v>3392</v>
      </c>
      <c r="H10" s="136">
        <f>ROUND(100/'数据-取费表'!G16,0)</f>
        <v>100</v>
      </c>
      <c r="I10" s="465" t="s">
        <v>3392</v>
      </c>
      <c r="J10" s="136">
        <f>ROUND(100/'数据-取费表'!G16,0)</f>
        <v>100</v>
      </c>
      <c r="K10" s="672"/>
      <c r="L10" s="1135"/>
      <c r="M10" s="1136"/>
      <c r="N10" s="1136"/>
      <c r="O10" s="1137"/>
      <c r="P10" s="3181"/>
      <c r="Q10" s="1794"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30" ht="15.75" thickBot="1">
      <c r="A11" s="428"/>
      <c r="B11" s="422" t="s">
        <v>2543</v>
      </c>
      <c r="C11" s="429">
        <f>'数据-汇总表'!I6</f>
        <v>2.5</v>
      </c>
      <c r="D11" s="136">
        <v>100</v>
      </c>
      <c r="E11" s="429">
        <v>4</v>
      </c>
      <c r="F11" s="136">
        <f>LOOKUP(E11,80:80,81:81)-LOOKUP(C11,80:80,81:81)+100</f>
        <v>91</v>
      </c>
      <c r="G11" s="430">
        <v>2.5</v>
      </c>
      <c r="H11" s="136">
        <f>LOOKUP(G11,80:80,81:81)-LOOKUP(C11,80:80,81:81)+100</f>
        <v>100</v>
      </c>
      <c r="I11" s="429">
        <v>2.5</v>
      </c>
      <c r="J11" s="136">
        <f>LOOKUP(I11,80:80,81:81)-LOOKUP(C11,80:80,81:81)+100</f>
        <v>100</v>
      </c>
      <c r="K11" s="673">
        <v>3</v>
      </c>
      <c r="L11" s="1138"/>
      <c r="M11" s="1131"/>
      <c r="N11" s="1131"/>
      <c r="O11" s="1139"/>
      <c r="P11" s="3181"/>
      <c r="Q11" s="1794" t="str">
        <f t="shared" si="6"/>
        <v>容积率</v>
      </c>
      <c r="R11" s="770" t="s">
        <v>17</v>
      </c>
      <c r="S11" s="771">
        <f t="shared" si="0"/>
        <v>91</v>
      </c>
      <c r="T11" s="770" t="s">
        <v>17</v>
      </c>
      <c r="U11" s="771">
        <f t="shared" si="1"/>
        <v>100</v>
      </c>
      <c r="V11" s="770" t="s">
        <v>17</v>
      </c>
      <c r="W11" s="771">
        <f t="shared" si="2"/>
        <v>100</v>
      </c>
      <c r="X11" s="772"/>
      <c r="Y11" s="3044"/>
      <c r="Z11" s="55" t="str">
        <f t="shared" si="7"/>
        <v>容积率</v>
      </c>
      <c r="AA11" s="773">
        <f t="shared" si="3"/>
        <v>1.098901098901099</v>
      </c>
      <c r="AB11" s="773">
        <f t="shared" si="4"/>
        <v>1</v>
      </c>
      <c r="AC11" s="773">
        <f t="shared" si="5"/>
        <v>1</v>
      </c>
    </row>
    <row r="12" spans="1:30" s="117" customFormat="1" ht="15" hidden="1">
      <c r="A12" s="431"/>
      <c r="B12" s="2596" t="s">
        <v>2732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1"/>
      <c r="Q12" s="1794" t="str">
        <f t="shared" si="6"/>
        <v>配建</v>
      </c>
      <c r="R12" s="770" t="s">
        <v>17</v>
      </c>
      <c r="S12" s="771">
        <f t="shared" si="0"/>
        <v>100</v>
      </c>
      <c r="T12" s="770" t="s">
        <v>17</v>
      </c>
      <c r="U12" s="771">
        <f t="shared" si="1"/>
        <v>100</v>
      </c>
      <c r="V12" s="770" t="s">
        <v>17</v>
      </c>
      <c r="W12" s="771">
        <f t="shared" si="2"/>
        <v>100</v>
      </c>
      <c r="X12" s="772"/>
      <c r="Y12" s="3044"/>
      <c r="Z12" s="55" t="str">
        <f t="shared" si="7"/>
        <v>配建</v>
      </c>
      <c r="AA12" s="773">
        <f>D12/F12</f>
        <v>1</v>
      </c>
      <c r="AB12" s="773">
        <f>D12/H12</f>
        <v>1</v>
      </c>
      <c r="AC12" s="773">
        <f>D12/J12</f>
        <v>1</v>
      </c>
    </row>
    <row r="13" spans="1:30" ht="15" hidden="1">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1"/>
      <c r="Q13" s="1794">
        <f t="shared" si="6"/>
        <v>111</v>
      </c>
      <c r="R13" s="770" t="s">
        <v>17</v>
      </c>
      <c r="S13" s="771">
        <f t="shared" si="0"/>
        <v>100</v>
      </c>
      <c r="T13" s="770" t="s">
        <v>17</v>
      </c>
      <c r="U13" s="771">
        <f t="shared" si="1"/>
        <v>100</v>
      </c>
      <c r="V13" s="770" t="s">
        <v>17</v>
      </c>
      <c r="W13" s="771">
        <f t="shared" si="2"/>
        <v>100</v>
      </c>
      <c r="X13" s="772"/>
      <c r="Y13" s="3044"/>
      <c r="Z13" s="55">
        <f t="shared" si="7"/>
        <v>111</v>
      </c>
      <c r="AA13" s="773">
        <f>D13/F13</f>
        <v>1</v>
      </c>
      <c r="AB13" s="773">
        <f>D13/H13</f>
        <v>1</v>
      </c>
      <c r="AC13" s="773">
        <f>D13/J13</f>
        <v>1</v>
      </c>
    </row>
    <row r="14" spans="1:30" ht="15.75" hidden="1"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1"/>
      <c r="Q14" s="1794">
        <f t="shared" si="6"/>
        <v>111</v>
      </c>
      <c r="R14" s="770" t="s">
        <v>17</v>
      </c>
      <c r="S14" s="771">
        <f t="shared" si="0"/>
        <v>100</v>
      </c>
      <c r="T14" s="770" t="s">
        <v>17</v>
      </c>
      <c r="U14" s="771">
        <f t="shared" si="1"/>
        <v>100</v>
      </c>
      <c r="V14" s="770" t="s">
        <v>17</v>
      </c>
      <c r="W14" s="771">
        <f t="shared" si="2"/>
        <v>100</v>
      </c>
      <c r="X14" s="772"/>
      <c r="Y14" s="3044"/>
      <c r="Z14" s="55">
        <f t="shared" si="7"/>
        <v>111</v>
      </c>
      <c r="AA14" s="773">
        <f>D14/F14</f>
        <v>1</v>
      </c>
      <c r="AB14" s="773">
        <f>D14/H14</f>
        <v>1</v>
      </c>
      <c r="AC14" s="773">
        <f>D14/J14</f>
        <v>1</v>
      </c>
    </row>
    <row r="15" spans="1:30" ht="15">
      <c r="A15" s="440" t="s">
        <v>2544</v>
      </c>
      <c r="B15" s="69" t="s">
        <v>2076</v>
      </c>
      <c r="C15" s="2599" t="str">
        <f>估价对象房地状况!C15</f>
        <v>一般</v>
      </c>
      <c r="D15" s="441">
        <v>100</v>
      </c>
      <c r="E15" s="442"/>
      <c r="F15" s="441">
        <f>SUMIF(88:88,E16,89:89)-SUMIF(88:88,C16,89:89)+100</f>
        <v>106</v>
      </c>
      <c r="G15" s="442"/>
      <c r="H15" s="441">
        <f>SUMIF(88:88,G16,89:89)-SUMIF(88:88,C16,89:89)+100</f>
        <v>106</v>
      </c>
      <c r="I15" s="444"/>
      <c r="J15" s="441">
        <f>SUMIF(88:88,I16,89:89)-SUMIF(88:88,C16,89:89)+100</f>
        <v>106</v>
      </c>
      <c r="K15" s="673">
        <v>6</v>
      </c>
      <c r="L15" s="1140"/>
      <c r="M15" s="1131"/>
      <c r="N15" s="1131"/>
      <c r="O15" s="1139"/>
      <c r="P15" s="3196" t="s">
        <v>2545</v>
      </c>
      <c r="Q15" s="1809" t="str">
        <f t="shared" si="6"/>
        <v>居住社区成熟度</v>
      </c>
      <c r="R15" s="774" t="s">
        <v>17</v>
      </c>
      <c r="S15" s="775">
        <f t="shared" si="0"/>
        <v>106</v>
      </c>
      <c r="T15" s="774" t="s">
        <v>17</v>
      </c>
      <c r="U15" s="775">
        <f t="shared" si="1"/>
        <v>106</v>
      </c>
      <c r="V15" s="774" t="s">
        <v>17</v>
      </c>
      <c r="W15" s="775">
        <f t="shared" si="2"/>
        <v>106</v>
      </c>
      <c r="X15" s="1812"/>
      <c r="Y15" s="3196" t="s">
        <v>2545</v>
      </c>
      <c r="Z15" s="1813" t="str">
        <f t="shared" si="7"/>
        <v>居住社区成熟度</v>
      </c>
      <c r="AA15" s="1810">
        <f t="shared" si="3"/>
        <v>0.94339622641509435</v>
      </c>
      <c r="AB15" s="1810">
        <f t="shared" si="4"/>
        <v>0.94339622641509435</v>
      </c>
      <c r="AC15" s="1810">
        <f t="shared" si="5"/>
        <v>0.94339622641509435</v>
      </c>
    </row>
    <row r="16" spans="1:30" ht="15">
      <c r="A16" s="428"/>
      <c r="B16" s="446"/>
      <c r="C16" s="447" t="s">
        <v>3093</v>
      </c>
      <c r="D16" s="448"/>
      <c r="E16" s="447" t="s">
        <v>3091</v>
      </c>
      <c r="F16" s="448"/>
      <c r="G16" s="447" t="s">
        <v>3091</v>
      </c>
      <c r="H16" s="450"/>
      <c r="I16" s="447" t="s">
        <v>3091</v>
      </c>
      <c r="J16" s="448"/>
      <c r="K16" s="672"/>
      <c r="L16" s="1140"/>
      <c r="M16" s="1131"/>
      <c r="N16" s="1131"/>
      <c r="O16" s="1139"/>
      <c r="P16" s="3197"/>
      <c r="Q16" s="1809"/>
      <c r="R16" s="774"/>
      <c r="S16" s="775"/>
      <c r="T16" s="774"/>
      <c r="U16" s="775"/>
      <c r="V16" s="774"/>
      <c r="W16" s="775"/>
      <c r="X16" s="1812"/>
      <c r="Y16" s="3197"/>
      <c r="Z16" s="1813"/>
      <c r="AA16" s="1810">
        <v>1</v>
      </c>
      <c r="AB16" s="1810">
        <v>1</v>
      </c>
      <c r="AC16" s="1810">
        <v>1</v>
      </c>
    </row>
    <row r="17" spans="1:29" ht="15" hidden="1">
      <c r="A17" s="428"/>
      <c r="B17" s="451" t="s">
        <v>2638</v>
      </c>
      <c r="C17" s="2658" t="str">
        <f>估价对象房地状况!C16</f>
        <v>较好</v>
      </c>
      <c r="D17" s="450">
        <v>100</v>
      </c>
      <c r="E17" s="452"/>
      <c r="F17" s="450">
        <f>SUMIF(90:90,E18,91:91)-SUMIF(90:90,C18,91:91)+100</f>
        <v>100</v>
      </c>
      <c r="G17" s="452"/>
      <c r="H17" s="455">
        <f>SUMIF(90:90,G18,91:91)-SUMIF(90:90,C18,91:91)+100</f>
        <v>100</v>
      </c>
      <c r="I17" s="452"/>
      <c r="J17" s="455">
        <f>SUMIF(90:90,I18,91:91)-SUMIF(90:90,C18,91:91)+100</f>
        <v>100</v>
      </c>
      <c r="K17" s="673">
        <v>2</v>
      </c>
      <c r="L17" s="1140"/>
      <c r="M17" s="1131"/>
      <c r="N17" s="1131"/>
      <c r="O17" s="1139"/>
      <c r="P17" s="3197"/>
      <c r="Q17" s="1809" t="str">
        <f>B17</f>
        <v>商业繁华度</v>
      </c>
      <c r="R17" s="774" t="s">
        <v>17</v>
      </c>
      <c r="S17" s="775">
        <f>F17</f>
        <v>100</v>
      </c>
      <c r="T17" s="774" t="s">
        <v>17</v>
      </c>
      <c r="U17" s="775">
        <f>H17</f>
        <v>100</v>
      </c>
      <c r="V17" s="774" t="s">
        <v>17</v>
      </c>
      <c r="W17" s="775">
        <f>J17</f>
        <v>100</v>
      </c>
      <c r="X17" s="1812"/>
      <c r="Y17" s="3197"/>
      <c r="Z17" s="1813" t="str">
        <f>Q17</f>
        <v>商业繁华度</v>
      </c>
      <c r="AA17" s="1810">
        <f t="shared" si="3"/>
        <v>1</v>
      </c>
      <c r="AB17" s="1810">
        <f t="shared" si="4"/>
        <v>1</v>
      </c>
      <c r="AC17" s="1810">
        <f t="shared" si="5"/>
        <v>1</v>
      </c>
    </row>
    <row r="18" spans="1:29" ht="15" hidden="1">
      <c r="A18" s="428"/>
      <c r="B18" s="456"/>
      <c r="C18" s="2604" t="s">
        <v>3091</v>
      </c>
      <c r="D18" s="450"/>
      <c r="E18" s="2604" t="s">
        <v>3091</v>
      </c>
      <c r="F18" s="450"/>
      <c r="G18" s="2604" t="s">
        <v>3091</v>
      </c>
      <c r="H18" s="448"/>
      <c r="I18" s="2604" t="s">
        <v>3091</v>
      </c>
      <c r="J18" s="448"/>
      <c r="K18" s="672"/>
      <c r="L18" s="1140"/>
      <c r="M18" s="1131"/>
      <c r="N18" s="1131"/>
      <c r="O18" s="1139"/>
      <c r="P18" s="3197"/>
      <c r="Q18" s="1809"/>
      <c r="R18" s="774"/>
      <c r="S18" s="775"/>
      <c r="T18" s="774"/>
      <c r="U18" s="775"/>
      <c r="V18" s="774"/>
      <c r="W18" s="775"/>
      <c r="X18" s="1812"/>
      <c r="Y18" s="3197"/>
      <c r="Z18" s="1813"/>
      <c r="AA18" s="1810">
        <v>1</v>
      </c>
      <c r="AB18" s="1810">
        <v>1</v>
      </c>
      <c r="AC18" s="1810">
        <v>1</v>
      </c>
    </row>
    <row r="19" spans="1:29" ht="15" hidden="1">
      <c r="A19" s="428"/>
      <c r="B19" s="451" t="s">
        <v>2672</v>
      </c>
      <c r="C19" s="2658" t="str">
        <f>估价对象房地状况!C17</f>
        <v>一般</v>
      </c>
      <c r="D19" s="455">
        <v>100</v>
      </c>
      <c r="E19" s="457"/>
      <c r="F19" s="455">
        <f>SUMIF(92:92,E20,93:93)-SUMIF(92:92,C20,93:93)+100</f>
        <v>100</v>
      </c>
      <c r="G19" s="457"/>
      <c r="H19" s="450">
        <f>SUMIF(92:92,G20,93:93)-SUMIF(92:92,C20,93:93)+100</f>
        <v>100</v>
      </c>
      <c r="I19" s="457"/>
      <c r="J19" s="450">
        <f>SUMIF(92:92,I20,93:93)-SUMIF(92:92,C20,93:93)+100</f>
        <v>100</v>
      </c>
      <c r="K19" s="673">
        <v>2</v>
      </c>
      <c r="L19" s="1140"/>
      <c r="M19" s="1131"/>
      <c r="N19" s="1131"/>
      <c r="O19" s="1139"/>
      <c r="P19" s="3197"/>
      <c r="Q19" s="1809" t="str">
        <f>B19</f>
        <v>办公集聚程度</v>
      </c>
      <c r="R19" s="774" t="s">
        <v>17</v>
      </c>
      <c r="S19" s="775">
        <f>F19</f>
        <v>100</v>
      </c>
      <c r="T19" s="774" t="s">
        <v>17</v>
      </c>
      <c r="U19" s="775">
        <f>H19</f>
        <v>100</v>
      </c>
      <c r="V19" s="774" t="s">
        <v>17</v>
      </c>
      <c r="W19" s="775">
        <f>J19</f>
        <v>100</v>
      </c>
      <c r="X19" s="1812"/>
      <c r="Y19" s="3197"/>
      <c r="Z19" s="1813" t="str">
        <f>Q19</f>
        <v>办公集聚程度</v>
      </c>
      <c r="AA19" s="1810">
        <f t="shared" si="3"/>
        <v>1</v>
      </c>
      <c r="AB19" s="1810">
        <f t="shared" si="4"/>
        <v>1</v>
      </c>
      <c r="AC19" s="1810">
        <f t="shared" si="5"/>
        <v>1</v>
      </c>
    </row>
    <row r="20" spans="1:29" ht="15" hidden="1">
      <c r="A20" s="428"/>
      <c r="B20" s="456"/>
      <c r="C20" s="447" t="s">
        <v>3093</v>
      </c>
      <c r="D20" s="448"/>
      <c r="E20" s="447" t="s">
        <v>3093</v>
      </c>
      <c r="F20" s="448"/>
      <c r="G20" s="447" t="s">
        <v>3093</v>
      </c>
      <c r="H20" s="448"/>
      <c r="I20" s="447" t="s">
        <v>3093</v>
      </c>
      <c r="J20" s="448"/>
      <c r="K20" s="672"/>
      <c r="L20" s="1140"/>
      <c r="M20" s="1131"/>
      <c r="N20" s="1131"/>
      <c r="O20" s="1139"/>
      <c r="P20" s="3197"/>
      <c r="Q20" s="1809"/>
      <c r="R20" s="774"/>
      <c r="S20" s="775"/>
      <c r="T20" s="774"/>
      <c r="U20" s="775"/>
      <c r="V20" s="774"/>
      <c r="W20" s="775"/>
      <c r="X20" s="1812"/>
      <c r="Y20" s="3197"/>
      <c r="Z20" s="1813"/>
      <c r="AA20" s="1810">
        <v>1</v>
      </c>
      <c r="AB20" s="1810">
        <v>1</v>
      </c>
      <c r="AC20" s="1810">
        <v>1</v>
      </c>
    </row>
    <row r="21" spans="1:29" ht="15">
      <c r="A21" s="428"/>
      <c r="B21" s="451" t="s">
        <v>2694</v>
      </c>
      <c r="C21" s="2603" t="str">
        <f>估价对象房地状况!C18</f>
        <v>一般</v>
      </c>
      <c r="D21" s="450">
        <v>100</v>
      </c>
      <c r="E21" s="452"/>
      <c r="F21" s="455">
        <f>SUMIF(94:94,E22,95:95)-SUMIF(94:94,C22,95:95)+100</f>
        <v>105</v>
      </c>
      <c r="G21" s="452"/>
      <c r="H21" s="450">
        <f>SUMIF(94:94,G22,95:95)-SUMIF(94:94,C22,95:95)+100</f>
        <v>105</v>
      </c>
      <c r="I21" s="452"/>
      <c r="J21" s="450">
        <f>SUMIF(94:94,I22,95:95)-SUMIF(94:94,C22,95:95)+100</f>
        <v>105</v>
      </c>
      <c r="K21" s="673">
        <v>5</v>
      </c>
      <c r="L21" s="1140"/>
      <c r="M21" s="1131"/>
      <c r="N21" s="1131"/>
      <c r="O21" s="1139"/>
      <c r="P21" s="3197"/>
      <c r="Q21" s="1809" t="str">
        <f>B21</f>
        <v>交通便捷度</v>
      </c>
      <c r="R21" s="774" t="s">
        <v>17</v>
      </c>
      <c r="S21" s="775">
        <f>F21</f>
        <v>105</v>
      </c>
      <c r="T21" s="774" t="s">
        <v>17</v>
      </c>
      <c r="U21" s="775">
        <f>H21</f>
        <v>105</v>
      </c>
      <c r="V21" s="774" t="s">
        <v>17</v>
      </c>
      <c r="W21" s="775">
        <f>J21</f>
        <v>105</v>
      </c>
      <c r="X21" s="1812"/>
      <c r="Y21" s="3197"/>
      <c r="Z21" s="1813" t="str">
        <f>Q21</f>
        <v>交通便捷度</v>
      </c>
      <c r="AA21" s="1810">
        <f t="shared" si="3"/>
        <v>0.95238095238095233</v>
      </c>
      <c r="AB21" s="1810">
        <f t="shared" si="4"/>
        <v>0.95238095238095233</v>
      </c>
      <c r="AC21" s="1810">
        <f t="shared" si="5"/>
        <v>0.95238095238095233</v>
      </c>
    </row>
    <row r="22" spans="1:29" ht="15">
      <c r="A22" s="428"/>
      <c r="B22" s="1384"/>
      <c r="C22" s="447" t="s">
        <v>3093</v>
      </c>
      <c r="D22" s="450"/>
      <c r="E22" s="447" t="s">
        <v>3091</v>
      </c>
      <c r="F22" s="448"/>
      <c r="G22" s="447" t="s">
        <v>3091</v>
      </c>
      <c r="H22" s="448"/>
      <c r="I22" s="447" t="s">
        <v>3091</v>
      </c>
      <c r="J22" s="448"/>
      <c r="K22" s="672"/>
      <c r="L22" s="1140"/>
      <c r="M22" s="1131"/>
      <c r="N22" s="1131"/>
      <c r="O22" s="1139"/>
      <c r="P22" s="3197"/>
      <c r="Q22" s="1809"/>
      <c r="R22" s="774"/>
      <c r="S22" s="775"/>
      <c r="T22" s="774"/>
      <c r="U22" s="775"/>
      <c r="V22" s="774"/>
      <c r="W22" s="775"/>
      <c r="X22" s="1812"/>
      <c r="Y22" s="3197"/>
      <c r="Z22" s="1813"/>
      <c r="AA22" s="1810">
        <v>1</v>
      </c>
      <c r="AB22" s="1810">
        <v>1</v>
      </c>
      <c r="AC22" s="1810">
        <v>1</v>
      </c>
    </row>
    <row r="23" spans="1:29" ht="15">
      <c r="A23" s="404"/>
      <c r="B23" s="451" t="s">
        <v>2733</v>
      </c>
      <c r="C23" s="1389" t="str">
        <f>估价对象房地状况!C19</f>
        <v>较好</v>
      </c>
      <c r="D23" s="455">
        <v>100</v>
      </c>
      <c r="E23" s="452"/>
      <c r="F23" s="455">
        <f>SUMIF(96:96,E24,97:97)-SUMIF(96:96,C24,97:97)+100</f>
        <v>100</v>
      </c>
      <c r="G23" s="452"/>
      <c r="H23" s="455">
        <f>SUMIF(96:96,G24,97:97)-SUMIF(96:96,C24,97:97)+100</f>
        <v>100</v>
      </c>
      <c r="I23" s="452"/>
      <c r="J23" s="455">
        <f>SUMIF(96:96,I24,97:97)-SUMIF(96:96,C24,97:97)+100</f>
        <v>100</v>
      </c>
      <c r="K23" s="673">
        <v>2</v>
      </c>
      <c r="L23" s="1140"/>
      <c r="M23" s="1131"/>
      <c r="N23" s="1131"/>
      <c r="O23" s="1139"/>
      <c r="P23" s="3197"/>
      <c r="Q23" s="1809" t="str">
        <f t="shared" ref="Q23:Q37" si="8">B23</f>
        <v>区域土地利用方向</v>
      </c>
      <c r="R23" s="774" t="s">
        <v>17</v>
      </c>
      <c r="S23" s="775">
        <f>F23</f>
        <v>100</v>
      </c>
      <c r="T23" s="774" t="s">
        <v>17</v>
      </c>
      <c r="U23" s="775">
        <f>H23</f>
        <v>100</v>
      </c>
      <c r="V23" s="774" t="s">
        <v>17</v>
      </c>
      <c r="W23" s="775">
        <f>J23</f>
        <v>100</v>
      </c>
      <c r="X23" s="1812"/>
      <c r="Y23" s="3197"/>
      <c r="Z23" s="1813" t="str">
        <f>Q23</f>
        <v>区域土地利用方向</v>
      </c>
      <c r="AA23" s="1810">
        <f t="shared" si="3"/>
        <v>1</v>
      </c>
      <c r="AB23" s="1810">
        <f t="shared" si="4"/>
        <v>1</v>
      </c>
      <c r="AC23" s="1810">
        <f t="shared" si="5"/>
        <v>1</v>
      </c>
    </row>
    <row r="24" spans="1:29" ht="15">
      <c r="A24" s="404"/>
      <c r="B24" s="456"/>
      <c r="C24" s="616" t="s">
        <v>3091</v>
      </c>
      <c r="D24" s="448"/>
      <c r="E24" s="616" t="s">
        <v>3091</v>
      </c>
      <c r="F24" s="448"/>
      <c r="G24" s="616" t="s">
        <v>3091</v>
      </c>
      <c r="H24" s="448"/>
      <c r="I24" s="616" t="s">
        <v>3091</v>
      </c>
      <c r="J24" s="448"/>
      <c r="K24" s="812"/>
      <c r="L24" s="1140"/>
      <c r="M24" s="1131"/>
      <c r="N24" s="1131"/>
      <c r="O24" s="1139"/>
      <c r="P24" s="3197"/>
      <c r="Q24" s="1809"/>
      <c r="R24" s="774"/>
      <c r="S24" s="775"/>
      <c r="T24" s="774"/>
      <c r="U24" s="775"/>
      <c r="V24" s="774"/>
      <c r="W24" s="775"/>
      <c r="X24" s="1812"/>
      <c r="Y24" s="3197"/>
      <c r="Z24" s="1813"/>
      <c r="AA24" s="1810"/>
      <c r="AB24" s="1810"/>
      <c r="AC24" s="1810"/>
    </row>
    <row r="25" spans="1:29" ht="27">
      <c r="A25" s="404"/>
      <c r="B25" s="1384" t="s">
        <v>2734</v>
      </c>
      <c r="C25" s="2658" t="str">
        <f>估价对象房地状况!C20</f>
        <v>较好</v>
      </c>
      <c r="D25" s="450">
        <v>100</v>
      </c>
      <c r="E25" s="452"/>
      <c r="F25" s="450">
        <f>SUMIF(98:98,E26,99:99)-SUMIF(98:98,C26,99:99)+100</f>
        <v>103</v>
      </c>
      <c r="G25" s="452"/>
      <c r="H25" s="450">
        <f>SUMIF(98:98,G26,99:99)-SUMIF(98:98,C26,99:99)+100</f>
        <v>103</v>
      </c>
      <c r="I25" s="452"/>
      <c r="J25" s="450">
        <f>SUMIF(98:98,I26,99:99)-SUMIF(98:98,C26,99:99)+100</f>
        <v>103</v>
      </c>
      <c r="K25" s="673">
        <v>3</v>
      </c>
      <c r="L25" s="1140"/>
      <c r="M25" s="1131"/>
      <c r="N25" s="1131"/>
      <c r="O25" s="1139"/>
      <c r="P25" s="3197"/>
      <c r="Q25" s="1809" t="str">
        <f t="shared" si="8"/>
        <v>自然及人文环境状况</v>
      </c>
      <c r="R25" s="774" t="s">
        <v>17</v>
      </c>
      <c r="S25" s="775">
        <f>F25</f>
        <v>103</v>
      </c>
      <c r="T25" s="774" t="s">
        <v>17</v>
      </c>
      <c r="U25" s="775">
        <f>H25</f>
        <v>103</v>
      </c>
      <c r="V25" s="774" t="s">
        <v>17</v>
      </c>
      <c r="W25" s="775">
        <f>J25</f>
        <v>103</v>
      </c>
      <c r="X25" s="1812"/>
      <c r="Y25" s="3197"/>
      <c r="Z25" s="1813" t="str">
        <f>Q25</f>
        <v>自然及人文环境状况</v>
      </c>
      <c r="AA25" s="1810">
        <f t="shared" si="3"/>
        <v>0.970873786407767</v>
      </c>
      <c r="AB25" s="1810">
        <f t="shared" si="4"/>
        <v>0.970873786407767</v>
      </c>
      <c r="AC25" s="1810">
        <f t="shared" si="5"/>
        <v>0.970873786407767</v>
      </c>
    </row>
    <row r="26" spans="1:29" ht="15">
      <c r="A26" s="404"/>
      <c r="B26" s="456"/>
      <c r="C26" s="447" t="s">
        <v>3093</v>
      </c>
      <c r="D26" s="448"/>
      <c r="E26" s="447" t="s">
        <v>3091</v>
      </c>
      <c r="F26" s="448"/>
      <c r="G26" s="447" t="s">
        <v>3091</v>
      </c>
      <c r="H26" s="448"/>
      <c r="I26" s="447" t="s">
        <v>3091</v>
      </c>
      <c r="J26" s="448"/>
      <c r="K26" s="672"/>
      <c r="L26" s="1140"/>
      <c r="M26" s="1131"/>
      <c r="N26" s="1131"/>
      <c r="O26" s="1139"/>
      <c r="P26" s="3197"/>
      <c r="Q26" s="1809"/>
      <c r="R26" s="774"/>
      <c r="S26" s="775"/>
      <c r="T26" s="774"/>
      <c r="U26" s="775"/>
      <c r="V26" s="774"/>
      <c r="W26" s="775"/>
      <c r="X26" s="1812"/>
      <c r="Y26" s="3197"/>
      <c r="Z26" s="1813"/>
      <c r="AA26" s="1810">
        <v>1</v>
      </c>
      <c r="AB26" s="1810">
        <v>1</v>
      </c>
      <c r="AC26" s="1810">
        <v>1</v>
      </c>
    </row>
    <row r="27" spans="1:29" s="117" customFormat="1" ht="15">
      <c r="A27" s="649"/>
      <c r="B27" s="1384" t="s">
        <v>2639</v>
      </c>
      <c r="C27" s="2603" t="str">
        <f>估价对象房地状况!C21</f>
        <v>较好</v>
      </c>
      <c r="D27" s="450">
        <v>100</v>
      </c>
      <c r="E27" s="452"/>
      <c r="F27" s="450">
        <f>SUMIF(100:100,E28,101:101)-SUMIF(100:100,C28,101:101)+100</f>
        <v>105</v>
      </c>
      <c r="G27" s="452"/>
      <c r="H27" s="450">
        <f>SUMIF(100:100,G28,101:101)-SUMIF(100:100,C28,101:101)+100</f>
        <v>105</v>
      </c>
      <c r="I27" s="452"/>
      <c r="J27" s="450">
        <f>SUMIF(100:100,I28,101:101)-SUMIF(100:100,C28,101:101)+100</f>
        <v>105</v>
      </c>
      <c r="K27" s="673">
        <v>5</v>
      </c>
      <c r="L27" s="1132"/>
      <c r="M27" s="1133"/>
      <c r="N27" s="1133"/>
      <c r="O27" s="1134"/>
      <c r="P27" s="3197"/>
      <c r="Q27" s="1794" t="str">
        <f t="shared" si="8"/>
        <v>公共配套设施</v>
      </c>
      <c r="R27" s="770" t="s">
        <v>17</v>
      </c>
      <c r="S27" s="771">
        <f>F27</f>
        <v>105</v>
      </c>
      <c r="T27" s="770" t="s">
        <v>17</v>
      </c>
      <c r="U27" s="771">
        <f>H27</f>
        <v>105</v>
      </c>
      <c r="V27" s="770" t="s">
        <v>17</v>
      </c>
      <c r="W27" s="771">
        <f>J27</f>
        <v>105</v>
      </c>
      <c r="X27" s="772"/>
      <c r="Y27" s="3197"/>
      <c r="Z27" s="55" t="str">
        <f>Q27</f>
        <v>公共配套设施</v>
      </c>
      <c r="AA27" s="1810">
        <f>D27/F27</f>
        <v>0.95238095238095233</v>
      </c>
      <c r="AB27" s="1810">
        <f>D27/H27</f>
        <v>0.95238095238095233</v>
      </c>
      <c r="AC27" s="1810">
        <f>D27/J27</f>
        <v>0.95238095238095233</v>
      </c>
    </row>
    <row r="28" spans="1:29" s="117" customFormat="1" ht="15">
      <c r="A28" s="649"/>
      <c r="B28" s="456"/>
      <c r="C28" s="2694" t="s">
        <v>3093</v>
      </c>
      <c r="D28" s="448"/>
      <c r="E28" s="2694" t="s">
        <v>3091</v>
      </c>
      <c r="F28" s="448"/>
      <c r="G28" s="2694" t="s">
        <v>3091</v>
      </c>
      <c r="H28" s="448"/>
      <c r="I28" s="2694" t="s">
        <v>3091</v>
      </c>
      <c r="J28" s="448"/>
      <c r="K28" s="672"/>
      <c r="L28" s="1132"/>
      <c r="M28" s="1133"/>
      <c r="N28" s="1133"/>
      <c r="O28" s="1134"/>
      <c r="P28" s="3197"/>
      <c r="Q28" s="1794"/>
      <c r="R28" s="770"/>
      <c r="S28" s="771"/>
      <c r="T28" s="770"/>
      <c r="U28" s="771"/>
      <c r="V28" s="770"/>
      <c r="W28" s="771"/>
      <c r="X28" s="772"/>
      <c r="Y28" s="3197"/>
      <c r="Z28" s="55"/>
      <c r="AA28" s="1810">
        <v>1</v>
      </c>
      <c r="AB28" s="1810">
        <v>1</v>
      </c>
      <c r="AC28" s="1810">
        <v>1</v>
      </c>
    </row>
    <row r="29" spans="1:29" s="117" customFormat="1" ht="15">
      <c r="A29" s="649"/>
      <c r="B29" s="1384" t="s">
        <v>2640</v>
      </c>
      <c r="C29" s="2603" t="str">
        <f>估价对象房地状况!C22</f>
        <v>六通</v>
      </c>
      <c r="D29" s="450">
        <v>100</v>
      </c>
      <c r="E29" s="452"/>
      <c r="F29" s="450">
        <f>SUMIF(102:102,E30,103:103)-SUMIF(102:102,C30,103:103)+100</f>
        <v>100</v>
      </c>
      <c r="G29" s="452"/>
      <c r="H29" s="450">
        <f>SUMIF(102:102,G30,103:103)-SUMIF(102:102,C30,103:103)+100</f>
        <v>100</v>
      </c>
      <c r="I29" s="452"/>
      <c r="J29" s="450">
        <f>SUMIF(102:102,I30,103:103)-SUMIF(102:102,C30,103:103)+100</f>
        <v>100</v>
      </c>
      <c r="K29" s="673">
        <v>1</v>
      </c>
      <c r="L29" s="1132"/>
      <c r="M29" s="1133"/>
      <c r="N29" s="1133"/>
      <c r="O29" s="1134"/>
      <c r="P29" s="3197"/>
      <c r="Q29" s="1794" t="str">
        <f t="shared" ref="Q29" si="9">B29</f>
        <v>基础设施水平</v>
      </c>
      <c r="R29" s="770" t="s">
        <v>17</v>
      </c>
      <c r="S29" s="771">
        <f>F29</f>
        <v>100</v>
      </c>
      <c r="T29" s="770" t="s">
        <v>17</v>
      </c>
      <c r="U29" s="771">
        <f>H29</f>
        <v>100</v>
      </c>
      <c r="V29" s="770" t="s">
        <v>17</v>
      </c>
      <c r="W29" s="771">
        <f>J29</f>
        <v>100</v>
      </c>
      <c r="X29" s="772"/>
      <c r="Y29" s="3197"/>
      <c r="Z29" s="55" t="str">
        <f>Q29</f>
        <v>基础设施水平</v>
      </c>
      <c r="AA29" s="1810">
        <f>D29/F29</f>
        <v>1</v>
      </c>
      <c r="AB29" s="1810">
        <f>D29/H29</f>
        <v>1</v>
      </c>
      <c r="AC29" s="1810">
        <f>D29/J29</f>
        <v>1</v>
      </c>
    </row>
    <row r="30" spans="1:29" s="117" customFormat="1" ht="15.75" thickBot="1">
      <c r="A30" s="649"/>
      <c r="B30" s="456"/>
      <c r="C30" s="2694" t="s">
        <v>3097</v>
      </c>
      <c r="D30" s="448"/>
      <c r="E30" s="2694" t="s">
        <v>3097</v>
      </c>
      <c r="F30" s="448"/>
      <c r="G30" s="2694" t="s">
        <v>3097</v>
      </c>
      <c r="H30" s="448"/>
      <c r="I30" s="2694" t="s">
        <v>3097</v>
      </c>
      <c r="J30" s="448"/>
      <c r="K30" s="672"/>
      <c r="L30" s="1132"/>
      <c r="M30" s="1133"/>
      <c r="N30" s="1133"/>
      <c r="O30" s="1134"/>
      <c r="P30" s="3197"/>
      <c r="Q30" s="1794"/>
      <c r="R30" s="770"/>
      <c r="S30" s="771"/>
      <c r="T30" s="770"/>
      <c r="U30" s="771"/>
      <c r="V30" s="770"/>
      <c r="W30" s="771"/>
      <c r="X30" s="772"/>
      <c r="Y30" s="3197"/>
      <c r="Z30" s="55"/>
      <c r="AA30" s="1810">
        <v>1</v>
      </c>
      <c r="AB30" s="1810">
        <v>1</v>
      </c>
      <c r="AC30" s="1810">
        <v>1</v>
      </c>
    </row>
    <row r="31" spans="1:29" ht="15" hidden="1">
      <c r="A31" s="428"/>
      <c r="B31" s="456" t="s">
        <v>2641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7"/>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97"/>
      <c r="Z31" s="1813" t="str">
        <f t="shared" ref="Z31:Z45" si="13">Q31</f>
        <v>临街状况</v>
      </c>
      <c r="AA31" s="1810">
        <f t="shared" si="3"/>
        <v>1</v>
      </c>
      <c r="AB31" s="1810">
        <f t="shared" si="4"/>
        <v>1</v>
      </c>
      <c r="AC31" s="1810">
        <f t="shared" si="5"/>
        <v>1</v>
      </c>
    </row>
    <row r="32" spans="1:29" ht="27" hidden="1">
      <c r="A32" s="428"/>
      <c r="B32" s="1384" t="s">
        <v>2676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7"/>
      <c r="Q32" s="1809" t="str">
        <f t="shared" si="8"/>
        <v>毗邻道路的类型与等级</v>
      </c>
      <c r="R32" s="774" t="s">
        <v>17</v>
      </c>
      <c r="S32" s="775">
        <f t="shared" si="10"/>
        <v>100</v>
      </c>
      <c r="T32" s="774" t="s">
        <v>17</v>
      </c>
      <c r="U32" s="775">
        <f t="shared" si="11"/>
        <v>100</v>
      </c>
      <c r="V32" s="774" t="s">
        <v>17</v>
      </c>
      <c r="W32" s="775">
        <f t="shared" si="12"/>
        <v>100</v>
      </c>
      <c r="X32" s="1812"/>
      <c r="Y32" s="3197"/>
      <c r="Z32" s="1813" t="str">
        <f t="shared" si="13"/>
        <v>毗邻道路的类型与等级</v>
      </c>
      <c r="AA32" s="1810">
        <f t="shared" si="3"/>
        <v>1</v>
      </c>
      <c r="AB32" s="1810">
        <f t="shared" si="4"/>
        <v>1</v>
      </c>
      <c r="AC32" s="1810">
        <f t="shared" si="5"/>
        <v>1</v>
      </c>
    </row>
    <row r="33" spans="1:29" ht="15" hidden="1">
      <c r="A33" s="428"/>
      <c r="B33" s="456"/>
      <c r="C33" s="447"/>
      <c r="D33" s="448"/>
      <c r="E33" s="2607"/>
      <c r="F33" s="448"/>
      <c r="G33" s="2607"/>
      <c r="H33" s="448"/>
      <c r="I33" s="447"/>
      <c r="J33" s="448"/>
      <c r="K33" s="613"/>
      <c r="L33" s="1140"/>
      <c r="M33" s="1131"/>
      <c r="N33" s="1131"/>
      <c r="O33" s="1139"/>
      <c r="P33" s="3197"/>
      <c r="Q33" s="1809"/>
      <c r="R33" s="774"/>
      <c r="S33" s="775"/>
      <c r="T33" s="774"/>
      <c r="U33" s="775"/>
      <c r="V33" s="774"/>
      <c r="W33" s="775"/>
      <c r="X33" s="1812"/>
      <c r="Y33" s="3197"/>
      <c r="Z33" s="1813"/>
      <c r="AA33" s="1810">
        <v>1</v>
      </c>
      <c r="AB33" s="1810">
        <v>1</v>
      </c>
      <c r="AC33" s="1810">
        <v>1</v>
      </c>
    </row>
    <row r="34" spans="1:29" ht="15" hidden="1">
      <c r="A34" s="428"/>
      <c r="B34" s="422" t="s">
        <v>2735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7"/>
      <c r="Q34" s="1809" t="str">
        <f t="shared" si="8"/>
        <v>土地级别</v>
      </c>
      <c r="R34" s="774" t="s">
        <v>17</v>
      </c>
      <c r="S34" s="775">
        <f t="shared" si="10"/>
        <v>100</v>
      </c>
      <c r="T34" s="774" t="s">
        <v>17</v>
      </c>
      <c r="U34" s="775">
        <f t="shared" si="11"/>
        <v>100</v>
      </c>
      <c r="V34" s="774" t="s">
        <v>17</v>
      </c>
      <c r="W34" s="775">
        <f t="shared" si="12"/>
        <v>100</v>
      </c>
      <c r="X34" s="1812"/>
      <c r="Y34" s="3197"/>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7"/>
      <c r="Q35" s="1809">
        <f t="shared" si="8"/>
        <v>111</v>
      </c>
      <c r="R35" s="774" t="s">
        <v>17</v>
      </c>
      <c r="S35" s="775">
        <f t="shared" si="10"/>
        <v>100</v>
      </c>
      <c r="T35" s="774" t="s">
        <v>17</v>
      </c>
      <c r="U35" s="775">
        <f t="shared" si="11"/>
        <v>100</v>
      </c>
      <c r="V35" s="774" t="s">
        <v>17</v>
      </c>
      <c r="W35" s="775">
        <f t="shared" si="12"/>
        <v>100</v>
      </c>
      <c r="X35" s="1812"/>
      <c r="Y35" s="3197"/>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8" t="s">
        <v>2550</v>
      </c>
      <c r="Q36" s="1809">
        <f t="shared" si="8"/>
        <v>111</v>
      </c>
      <c r="R36" s="774" t="s">
        <v>17</v>
      </c>
      <c r="S36" s="775">
        <f t="shared" si="10"/>
        <v>100</v>
      </c>
      <c r="T36" s="774" t="s">
        <v>17</v>
      </c>
      <c r="U36" s="775">
        <f t="shared" si="11"/>
        <v>100</v>
      </c>
      <c r="V36" s="774" t="s">
        <v>17</v>
      </c>
      <c r="W36" s="775">
        <f t="shared" si="12"/>
        <v>100</v>
      </c>
      <c r="X36" s="1812"/>
      <c r="Y36" s="3199" t="s">
        <v>2550</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9"/>
      <c r="Q37" s="1809">
        <f t="shared" si="8"/>
        <v>111</v>
      </c>
      <c r="R37" s="777" t="s">
        <v>17</v>
      </c>
      <c r="S37" s="778">
        <f t="shared" si="10"/>
        <v>100</v>
      </c>
      <c r="T37" s="777" t="s">
        <v>17</v>
      </c>
      <c r="U37" s="778">
        <f t="shared" si="11"/>
        <v>100</v>
      </c>
      <c r="V37" s="777" t="s">
        <v>17</v>
      </c>
      <c r="W37" s="778">
        <f t="shared" si="12"/>
        <v>100</v>
      </c>
      <c r="X37" s="779"/>
      <c r="Y37" s="3199"/>
      <c r="Z37" s="780">
        <f t="shared" si="13"/>
        <v>111</v>
      </c>
      <c r="AA37" s="1810">
        <f t="shared" si="3"/>
        <v>1</v>
      </c>
      <c r="AB37" s="1810">
        <f t="shared" si="4"/>
        <v>1</v>
      </c>
      <c r="AC37" s="1810">
        <f t="shared" si="5"/>
        <v>1</v>
      </c>
    </row>
    <row r="38" spans="1:29" ht="15">
      <c r="A38" s="472" t="s">
        <v>2548</v>
      </c>
      <c r="B38" s="456" t="s">
        <v>2736</v>
      </c>
      <c r="C38" s="679">
        <f>'数据-汇总表'!D3</f>
        <v>21322.59</v>
      </c>
      <c r="D38" s="467">
        <v>100</v>
      </c>
      <c r="E38" s="679">
        <f>土地!J4</f>
        <v>10586.19</v>
      </c>
      <c r="F38" s="467">
        <f>LOOKUP(E38,117:117,118:118)-LOOKUP(C38,117:117,118:118)+100</f>
        <v>99</v>
      </c>
      <c r="G38" s="679">
        <f>土地!J5</f>
        <v>22174.25</v>
      </c>
      <c r="H38" s="467">
        <f>LOOKUP(G38,117:117,118:118)-LOOKUP(C38,117:117,118:118)+100</f>
        <v>100</v>
      </c>
      <c r="I38" s="530">
        <f>土地!J6</f>
        <v>79670.13</v>
      </c>
      <c r="J38" s="467">
        <f>LOOKUP(I38,117:117,118:118)-LOOKUP(C38,117:117,118:118)+100</f>
        <v>102</v>
      </c>
      <c r="K38" s="613"/>
      <c r="L38" s="1140"/>
      <c r="M38" s="1131"/>
      <c r="N38" s="1131"/>
      <c r="O38" s="1139"/>
      <c r="P38" s="3199"/>
      <c r="Q38" s="1809" t="str">
        <f>B38</f>
        <v>宗地面积</v>
      </c>
      <c r="R38" s="774" t="s">
        <v>17</v>
      </c>
      <c r="S38" s="775">
        <f t="shared" si="10"/>
        <v>99</v>
      </c>
      <c r="T38" s="774" t="s">
        <v>17</v>
      </c>
      <c r="U38" s="775">
        <f t="shared" si="11"/>
        <v>100</v>
      </c>
      <c r="V38" s="774" t="s">
        <v>17</v>
      </c>
      <c r="W38" s="775">
        <f t="shared" si="12"/>
        <v>102</v>
      </c>
      <c r="X38" s="1812"/>
      <c r="Y38" s="3199"/>
      <c r="Z38" s="1813" t="str">
        <f t="shared" si="13"/>
        <v>宗地面积</v>
      </c>
      <c r="AA38" s="1810">
        <f t="shared" si="3"/>
        <v>1.0101010101010102</v>
      </c>
      <c r="AB38" s="1810">
        <f t="shared" si="4"/>
        <v>1</v>
      </c>
      <c r="AC38" s="1810">
        <f t="shared" si="5"/>
        <v>0.98039215686274506</v>
      </c>
    </row>
    <row r="39" spans="1:29" ht="15">
      <c r="A39" s="472"/>
      <c r="B39" s="422" t="s">
        <v>2737</v>
      </c>
      <c r="C39" s="2609" t="s">
        <v>3314</v>
      </c>
      <c r="D39" s="435">
        <v>100</v>
      </c>
      <c r="E39" s="2609" t="s">
        <v>3314</v>
      </c>
      <c r="F39" s="435">
        <f>SUMIF(119:119,E39,120:120)-SUMIF(119:119,C39,120:120)+100</f>
        <v>100</v>
      </c>
      <c r="G39" s="2609" t="s">
        <v>3314</v>
      </c>
      <c r="H39" s="435">
        <f>SUMIF(119:119,G39,120:120)-SUMIF(119:119,C39,120:120)+100</f>
        <v>100</v>
      </c>
      <c r="I39" s="2609" t="s">
        <v>3314</v>
      </c>
      <c r="J39" s="435">
        <f>SUMIF(119:119,I39,120:120)-SUMIF(119:119,C39,120:120)+100</f>
        <v>100</v>
      </c>
      <c r="K39" s="612">
        <v>2</v>
      </c>
      <c r="L39" s="1140"/>
      <c r="M39" s="1131"/>
      <c r="N39" s="1131"/>
      <c r="O39" s="1139"/>
      <c r="P39" s="3199"/>
      <c r="Q39" s="1809" t="str">
        <f t="shared" ref="Q39:Q45" si="14">B39</f>
        <v>宗地形状</v>
      </c>
      <c r="R39" s="774" t="s">
        <v>17</v>
      </c>
      <c r="S39" s="775">
        <f t="shared" si="10"/>
        <v>100</v>
      </c>
      <c r="T39" s="774" t="s">
        <v>17</v>
      </c>
      <c r="U39" s="775">
        <f t="shared" si="11"/>
        <v>100</v>
      </c>
      <c r="V39" s="774" t="s">
        <v>17</v>
      </c>
      <c r="W39" s="775">
        <f t="shared" si="12"/>
        <v>100</v>
      </c>
      <c r="X39" s="1812"/>
      <c r="Y39" s="3199"/>
      <c r="Z39" s="1813" t="str">
        <f t="shared" si="13"/>
        <v>宗地形状</v>
      </c>
      <c r="AA39" s="1810">
        <f t="shared" si="3"/>
        <v>1</v>
      </c>
      <c r="AB39" s="1810">
        <f t="shared" si="4"/>
        <v>1</v>
      </c>
      <c r="AC39" s="1810">
        <f t="shared" si="5"/>
        <v>1</v>
      </c>
    </row>
    <row r="40" spans="1:29" ht="15">
      <c r="A40" s="472"/>
      <c r="B40" s="422" t="s">
        <v>2738</v>
      </c>
      <c r="C40" s="2609" t="s">
        <v>3317</v>
      </c>
      <c r="D40" s="435">
        <v>100</v>
      </c>
      <c r="E40" s="2609" t="s">
        <v>3317</v>
      </c>
      <c r="F40" s="435">
        <f>SUMIF(121:121,E40,122:122)-SUMIF(121:121,C40,122:122)+100</f>
        <v>100</v>
      </c>
      <c r="G40" s="2609" t="s">
        <v>3317</v>
      </c>
      <c r="H40" s="435">
        <f>SUMIF(121:121,G40,122:122)-SUMIF(121:121,C40,122:122)+100</f>
        <v>100</v>
      </c>
      <c r="I40" s="2609" t="s">
        <v>3317</v>
      </c>
      <c r="J40" s="435">
        <f>SUMIF(121:121,I40,122:122)-SUMIF(121:121,C40,122:122)+100</f>
        <v>100</v>
      </c>
      <c r="K40" s="612">
        <v>2</v>
      </c>
      <c r="L40" s="1140"/>
      <c r="M40" s="1131"/>
      <c r="N40" s="1131"/>
      <c r="O40" s="1139"/>
      <c r="P40" s="3199"/>
      <c r="Q40" s="1809" t="str">
        <f t="shared" si="14"/>
        <v>临街宽度及深度</v>
      </c>
      <c r="R40" s="774" t="s">
        <v>17</v>
      </c>
      <c r="S40" s="775">
        <f t="shared" si="10"/>
        <v>100</v>
      </c>
      <c r="T40" s="774" t="s">
        <v>17</v>
      </c>
      <c r="U40" s="775">
        <f t="shared" si="11"/>
        <v>100</v>
      </c>
      <c r="V40" s="774" t="s">
        <v>17</v>
      </c>
      <c r="W40" s="775">
        <f t="shared" si="12"/>
        <v>100</v>
      </c>
      <c r="X40" s="1812"/>
      <c r="Y40" s="3199"/>
      <c r="Z40" s="1813" t="str">
        <f t="shared" si="13"/>
        <v>临街宽度及深度</v>
      </c>
      <c r="AA40" s="1810">
        <f t="shared" si="3"/>
        <v>1</v>
      </c>
      <c r="AB40" s="1810">
        <f t="shared" si="4"/>
        <v>1</v>
      </c>
      <c r="AC40" s="1810">
        <f t="shared" si="5"/>
        <v>1</v>
      </c>
    </row>
    <row r="41" spans="1:29" s="117" customFormat="1" ht="15">
      <c r="A41" s="473"/>
      <c r="B41" s="422" t="s">
        <v>2739</v>
      </c>
      <c r="C41" s="2696" t="s">
        <v>3688</v>
      </c>
      <c r="D41" s="136">
        <v>100</v>
      </c>
      <c r="E41" s="2696" t="s">
        <v>3688</v>
      </c>
      <c r="F41" s="435">
        <f>SUMIF(123:123,E41,124:124)-SUMIF(123:123,C41,124:124)+100</f>
        <v>100</v>
      </c>
      <c r="G41" s="2696" t="s">
        <v>3688</v>
      </c>
      <c r="H41" s="435">
        <f>SUMIF(123:123,G41,124:124)-SUMIF(123:123,C41,124:124)+100</f>
        <v>100</v>
      </c>
      <c r="I41" s="2696" t="s">
        <v>3688</v>
      </c>
      <c r="J41" s="435">
        <f>SUMIF(123:123,I41,124:124)-SUMIF(123:123,C41,124:124)+100</f>
        <v>100</v>
      </c>
      <c r="K41" s="612">
        <v>1</v>
      </c>
      <c r="L41" s="1132"/>
      <c r="M41" s="1133"/>
      <c r="N41" s="1133"/>
      <c r="O41" s="1134"/>
      <c r="P41" s="3199"/>
      <c r="Q41" s="1809" t="str">
        <f t="shared" si="14"/>
        <v>宗地开发程度</v>
      </c>
      <c r="R41" s="770" t="s">
        <v>17</v>
      </c>
      <c r="S41" s="771">
        <f t="shared" si="10"/>
        <v>100</v>
      </c>
      <c r="T41" s="770" t="s">
        <v>17</v>
      </c>
      <c r="U41" s="771">
        <f t="shared" si="11"/>
        <v>100</v>
      </c>
      <c r="V41" s="770" t="s">
        <v>17</v>
      </c>
      <c r="W41" s="771">
        <f t="shared" si="12"/>
        <v>100</v>
      </c>
      <c r="X41" s="772"/>
      <c r="Y41" s="3199"/>
      <c r="Z41" s="55" t="str">
        <f t="shared" si="13"/>
        <v>宗地开发程度</v>
      </c>
      <c r="AA41" s="773">
        <f t="shared" si="3"/>
        <v>1</v>
      </c>
      <c r="AB41" s="773">
        <f t="shared" si="4"/>
        <v>1</v>
      </c>
      <c r="AC41" s="773">
        <f t="shared" si="5"/>
        <v>1</v>
      </c>
    </row>
    <row r="42" spans="1:29" ht="15.75" thickBot="1">
      <c r="A42" s="472"/>
      <c r="B42" s="422" t="s">
        <v>2740</v>
      </c>
      <c r="C42" s="2609" t="s">
        <v>3091</v>
      </c>
      <c r="D42" s="435">
        <v>100</v>
      </c>
      <c r="E42" s="2609" t="s">
        <v>3091</v>
      </c>
      <c r="F42" s="435">
        <f>SUMIF(125:125,E42,126:126)-SUMIF(125:125,C42,126:126)+100</f>
        <v>100</v>
      </c>
      <c r="G42" s="2609" t="s">
        <v>3091</v>
      </c>
      <c r="H42" s="435">
        <f>SUMIF(125:125,G42,126:126)-SUMIF(125:125,C42,126:126)+100</f>
        <v>100</v>
      </c>
      <c r="I42" s="2609" t="s">
        <v>3091</v>
      </c>
      <c r="J42" s="435">
        <f>SUMIF(125:125,I42,126:126)-SUMIF(125:125,C42,126:126)+100</f>
        <v>100</v>
      </c>
      <c r="K42" s="612">
        <v>2</v>
      </c>
      <c r="L42" s="1140"/>
      <c r="M42" s="1131"/>
      <c r="N42" s="1131"/>
      <c r="O42" s="1139"/>
      <c r="P42" s="3199" t="s">
        <v>2550</v>
      </c>
      <c r="Q42" s="1809" t="str">
        <f t="shared" si="14"/>
        <v>工程地质条件</v>
      </c>
      <c r="R42" s="774" t="s">
        <v>17</v>
      </c>
      <c r="S42" s="775">
        <f t="shared" si="10"/>
        <v>100</v>
      </c>
      <c r="T42" s="774" t="s">
        <v>17</v>
      </c>
      <c r="U42" s="775">
        <f t="shared" si="11"/>
        <v>100</v>
      </c>
      <c r="V42" s="774" t="s">
        <v>17</v>
      </c>
      <c r="W42" s="775">
        <f t="shared" si="12"/>
        <v>100</v>
      </c>
      <c r="X42" s="1812"/>
      <c r="Y42" s="3199" t="s">
        <v>2550</v>
      </c>
      <c r="Z42" s="1813" t="str">
        <f t="shared" si="13"/>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9"/>
      <c r="Q43" s="1809">
        <f t="shared" si="14"/>
        <v>111</v>
      </c>
      <c r="R43" s="774" t="s">
        <v>17</v>
      </c>
      <c r="S43" s="775">
        <f t="shared" si="10"/>
        <v>100</v>
      </c>
      <c r="T43" s="774" t="s">
        <v>17</v>
      </c>
      <c r="U43" s="775">
        <f t="shared" si="11"/>
        <v>100</v>
      </c>
      <c r="V43" s="774" t="s">
        <v>17</v>
      </c>
      <c r="W43" s="775">
        <f t="shared" si="12"/>
        <v>100</v>
      </c>
      <c r="X43" s="1812"/>
      <c r="Y43" s="3199"/>
      <c r="Z43" s="1813">
        <f t="shared" si="13"/>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9"/>
      <c r="Q44" s="1809">
        <f t="shared" si="14"/>
        <v>111</v>
      </c>
      <c r="R44" s="774" t="s">
        <v>17</v>
      </c>
      <c r="S44" s="775">
        <f t="shared" si="10"/>
        <v>100</v>
      </c>
      <c r="T44" s="774" t="s">
        <v>17</v>
      </c>
      <c r="U44" s="775">
        <f t="shared" si="11"/>
        <v>100</v>
      </c>
      <c r="V44" s="774" t="s">
        <v>17</v>
      </c>
      <c r="W44" s="775">
        <f t="shared" si="12"/>
        <v>100</v>
      </c>
      <c r="X44" s="1812"/>
      <c r="Y44" s="3199"/>
      <c r="Z44" s="1813">
        <f t="shared" si="13"/>
        <v>111</v>
      </c>
      <c r="AA44" s="1810">
        <f t="shared" si="3"/>
        <v>1</v>
      </c>
      <c r="AB44" s="1810">
        <f t="shared" si="4"/>
        <v>1</v>
      </c>
      <c r="AC44" s="1810">
        <f t="shared" si="5"/>
        <v>1</v>
      </c>
    </row>
    <row r="45" spans="1:29" s="471" customFormat="1" ht="15.75" hidden="1" thickBot="1">
      <c r="A45" s="468"/>
      <c r="B45" s="1387">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9"/>
      <c r="Q45" s="1809">
        <f t="shared" si="14"/>
        <v>111</v>
      </c>
      <c r="R45" s="777" t="s">
        <v>17</v>
      </c>
      <c r="S45" s="778">
        <f t="shared" si="10"/>
        <v>100</v>
      </c>
      <c r="T45" s="777" t="s">
        <v>17</v>
      </c>
      <c r="U45" s="778">
        <f t="shared" si="11"/>
        <v>100</v>
      </c>
      <c r="V45" s="777" t="s">
        <v>17</v>
      </c>
      <c r="W45" s="778">
        <f t="shared" si="12"/>
        <v>100</v>
      </c>
      <c r="X45" s="779"/>
      <c r="Y45" s="3199"/>
      <c r="Z45" s="780">
        <f t="shared" si="13"/>
        <v>111</v>
      </c>
      <c r="AA45" s="1810">
        <f t="shared" si="3"/>
        <v>1</v>
      </c>
      <c r="AB45" s="1810">
        <f t="shared" si="4"/>
        <v>1</v>
      </c>
      <c r="AC45" s="1810">
        <f t="shared" si="5"/>
        <v>1</v>
      </c>
    </row>
    <row r="46" spans="1:29" ht="15">
      <c r="A46" s="479" t="s">
        <v>2705</v>
      </c>
      <c r="B46" s="2698" t="s">
        <v>2741</v>
      </c>
      <c r="C46" s="682" t="s">
        <v>1</v>
      </c>
      <c r="D46" s="481"/>
      <c r="E46" s="482">
        <f>ROUND(土地!AK4,0)</f>
        <v>1093</v>
      </c>
      <c r="F46" s="483"/>
      <c r="G46" s="484">
        <f>ROUND(土地!AK5,0)</f>
        <v>905</v>
      </c>
      <c r="H46" s="485"/>
      <c r="I46" s="482">
        <f>ROUND(土地!AK6,0)</f>
        <v>902</v>
      </c>
      <c r="J46" s="485"/>
      <c r="K46" s="783"/>
      <c r="L46" s="1143"/>
      <c r="M46" s="1144"/>
      <c r="N46" s="1131"/>
      <c r="O46" s="1144"/>
      <c r="P46" s="3181" t="str">
        <f>A46</f>
        <v>成交单价</v>
      </c>
      <c r="Q46" s="3181"/>
      <c r="R46" s="3194">
        <f>E46</f>
        <v>1093</v>
      </c>
      <c r="S46" s="3194"/>
      <c r="T46" s="3194">
        <f>G46</f>
        <v>905</v>
      </c>
      <c r="U46" s="3194"/>
      <c r="V46" s="3194">
        <f>I46</f>
        <v>902</v>
      </c>
      <c r="W46" s="3194"/>
      <c r="X46" s="759"/>
      <c r="Y46" s="781"/>
      <c r="Z46" s="759"/>
      <c r="AA46" s="759"/>
      <c r="AB46" s="759"/>
      <c r="AC46" s="759"/>
    </row>
    <row r="47" spans="1:29" ht="15.75" thickBot="1">
      <c r="A47" s="486" t="s">
        <v>2654</v>
      </c>
      <c r="B47" s="683"/>
      <c r="C47" s="490">
        <f>R48</f>
        <v>836</v>
      </c>
      <c r="D47" s="489"/>
      <c r="E47" s="490">
        <f>R47</f>
        <v>1013</v>
      </c>
      <c r="F47" s="491"/>
      <c r="G47" s="488">
        <f>T47</f>
        <v>756</v>
      </c>
      <c r="H47" s="489"/>
      <c r="I47" s="490">
        <f>V47</f>
        <v>738</v>
      </c>
      <c r="J47" s="489"/>
      <c r="K47" s="784"/>
      <c r="L47" s="1143"/>
      <c r="M47" s="1144"/>
      <c r="N47" s="1144"/>
      <c r="O47" s="1144"/>
      <c r="P47" s="3181" t="str">
        <f>A47</f>
        <v>比较价值（元/平方米）</v>
      </c>
      <c r="Q47" s="3181"/>
      <c r="R47" s="3200">
        <f>ROUND(PRODUCT(R46,AA7:AA45),0)</f>
        <v>1013</v>
      </c>
      <c r="S47" s="3200"/>
      <c r="T47" s="3200">
        <f>ROUND(PRODUCT(T46,AB7:AB45),0)</f>
        <v>756</v>
      </c>
      <c r="U47" s="3200"/>
      <c r="V47" s="3200">
        <f>ROUND(PRODUCT(V46,AC7:AC45),0)</f>
        <v>738</v>
      </c>
      <c r="W47" s="3200"/>
      <c r="X47" s="759"/>
      <c r="Y47" s="759"/>
      <c r="Z47" s="759"/>
      <c r="AA47" s="759"/>
      <c r="AB47" s="759"/>
      <c r="AC47" s="759"/>
    </row>
    <row r="48" spans="1:29" ht="15.75" thickBot="1">
      <c r="A48" s="492" t="s">
        <v>2742</v>
      </c>
      <c r="B48" s="493"/>
      <c r="C48" s="494">
        <f>R48</f>
        <v>836</v>
      </c>
      <c r="D48" s="494"/>
      <c r="E48" s="494"/>
      <c r="F48" s="494"/>
      <c r="G48" s="494"/>
      <c r="H48" s="494"/>
      <c r="I48" s="494"/>
      <c r="J48" s="494"/>
      <c r="K48" s="785"/>
      <c r="L48" s="1143"/>
      <c r="M48" s="1144"/>
      <c r="N48" s="1144"/>
      <c r="O48" s="1144"/>
      <c r="P48" s="3201" t="str">
        <f>A48</f>
        <v>估价对象XX用房的比较价值（楼面单价，元/平方米）</v>
      </c>
      <c r="Q48" s="3202"/>
      <c r="R48" s="3203">
        <f>ROUND(AVERAGE(R47:V47),0)</f>
        <v>836</v>
      </c>
      <c r="S48" s="3203"/>
      <c r="T48" s="3203"/>
      <c r="U48" s="3203"/>
      <c r="V48" s="3203"/>
      <c r="W48" s="320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2656</v>
      </c>
      <c r="D51" s="498"/>
      <c r="E51" s="499">
        <f>IF(E46&lt;E47,E47/E46-1,E46/E47-1)</f>
        <v>7.8973346495557761E-2</v>
      </c>
      <c r="F51" s="500" t="str">
        <f>IF(OR(E51&gt;=0.3,E51&lt;=-0.3),"超过30%","")</f>
        <v/>
      </c>
      <c r="G51" s="499">
        <f>IF(G46&lt;G47,G47/G46-1,G46/G47-1)</f>
        <v>0.19708994708994698</v>
      </c>
      <c r="H51" s="500" t="str">
        <f>IF(OR(G51&gt;=0.3,G51&lt;=-0.3),"超过30%","")</f>
        <v/>
      </c>
      <c r="I51" s="499">
        <f>IF(I46&lt;I47,I47/I46-1,I46/I47-1)</f>
        <v>0.22222222222222232</v>
      </c>
      <c r="J51" s="500" t="str">
        <f>IF(OR(I51&gt;=0.3,I51&lt;=-0.3),"超过30%","")</f>
        <v/>
      </c>
      <c r="K51" s="1105"/>
      <c r="L51" s="1106"/>
      <c r="M51" s="1144"/>
      <c r="N51" s="1144"/>
      <c r="O51" s="1144"/>
    </row>
    <row r="52" spans="1:15" ht="13.5" customHeight="1">
      <c r="A52" s="1144"/>
      <c r="B52" s="1144"/>
      <c r="C52" s="497" t="s">
        <v>2657</v>
      </c>
      <c r="D52" s="501"/>
      <c r="E52" s="499">
        <f>IF(E47&lt;G47,G47/E47-1,E47/G47-1)</f>
        <v>0.33994708994709</v>
      </c>
      <c r="F52" s="500" t="str">
        <f>IF(OR(E52&gt;=0.2,E52&lt;=-0.2),"超过20%","")</f>
        <v>超过20%</v>
      </c>
      <c r="G52" s="499">
        <f>IF(G47&lt;I47,I47/G47-1,G47/I47-1)</f>
        <v>2.4390243902439046E-2</v>
      </c>
      <c r="H52" s="500" t="str">
        <f>IF(OR(G52&gt;=0.2,G52&lt;=-0.2),"超过20%","")</f>
        <v/>
      </c>
      <c r="I52" s="499">
        <f>IF(I47&lt;E47,E47/I47-1,I47/E47-1)</f>
        <v>0.37262872628726296</v>
      </c>
      <c r="J52" s="500" t="str">
        <f>IF(OR(I52&gt;=0.2,I52&lt;=-0.2),"超过20%","")</f>
        <v>超过20%</v>
      </c>
      <c r="K52" s="1105"/>
      <c r="L52" s="1106"/>
      <c r="M52" s="1144"/>
      <c r="N52" s="1144"/>
      <c r="O52" s="1144"/>
    </row>
    <row r="53" spans="1:15" s="502" customFormat="1" ht="13.5" customHeight="1">
      <c r="A53" s="1145"/>
      <c r="B53" s="1145"/>
      <c r="C53" s="497" t="s">
        <v>2658</v>
      </c>
      <c r="D53" s="501"/>
      <c r="E53" s="499">
        <f>IF(E46&lt;G46,G46/E46-1,E46/G46-1)</f>
        <v>0.20773480662983435</v>
      </c>
      <c r="F53" s="500" t="str">
        <f>IF(OR(E53&gt;=0.3,E53&lt;=-0.3),"超过30%","")</f>
        <v/>
      </c>
      <c r="G53" s="499">
        <f>IF(G46&lt;I46,I46/G46-1,G46/I46-1)</f>
        <v>3.3259423503326779E-3</v>
      </c>
      <c r="H53" s="500" t="str">
        <f>IF(OR(G53&gt;=0.3,G53&lt;=-0.3),"超过30%","")</f>
        <v/>
      </c>
      <c r="I53" s="499">
        <f>IF(I46&lt;E46,E46/I46-1,I46/E46-1)</f>
        <v>0.21175166297117509</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2743</v>
      </c>
      <c r="B55" s="685" t="s">
        <v>2744</v>
      </c>
      <c r="C55" s="2699" t="s">
        <v>2745</v>
      </c>
      <c r="D55" s="2700" t="s">
        <v>2746</v>
      </c>
      <c r="E55" s="686" t="s">
        <v>2747</v>
      </c>
      <c r="F55" s="1107" t="s">
        <v>2748</v>
      </c>
      <c r="G55" s="3182" t="s">
        <v>2749</v>
      </c>
      <c r="H55" s="3204"/>
      <c r="I55" s="144" t="s">
        <v>2750</v>
      </c>
      <c r="J55" s="2701" t="str">
        <f>项目基本情况!F35</f>
        <v>贵州省</v>
      </c>
      <c r="K55" s="2702" t="s">
        <v>2751</v>
      </c>
      <c r="L55" s="1106"/>
      <c r="M55" s="1144"/>
      <c r="N55" s="1144"/>
      <c r="O55" s="1144"/>
    </row>
    <row r="56" spans="1:15" s="692" customFormat="1">
      <c r="A56" s="688" t="s">
        <v>2752</v>
      </c>
      <c r="B56" s="689">
        <f>C48</f>
        <v>836</v>
      </c>
      <c r="C56" s="690">
        <v>1</v>
      </c>
      <c r="D56" s="1163">
        <v>1</v>
      </c>
      <c r="E56" s="690">
        <f>'数据-汇总表'!E8+'数据-汇总表'!E9</f>
        <v>53306.400000000001</v>
      </c>
      <c r="F56" s="1103">
        <f t="shared" ref="F56:F65" si="15">ROUND(B56*E56/10000,0)</f>
        <v>4456</v>
      </c>
      <c r="G56" s="3205"/>
      <c r="H56" s="3181"/>
      <c r="I56" s="1108">
        <v>1</v>
      </c>
      <c r="J56" s="1111">
        <v>1</v>
      </c>
      <c r="K56" s="1145"/>
      <c r="L56" s="941"/>
      <c r="M56" s="941"/>
      <c r="N56" s="941"/>
      <c r="O56" s="941"/>
    </row>
    <row r="57" spans="1:15" s="692" customFormat="1">
      <c r="A57" s="693" t="s">
        <v>2753</v>
      </c>
      <c r="B57" s="262">
        <f>ROUND($C$48*C57*D57,0)</f>
        <v>0</v>
      </c>
      <c r="C57" s="200">
        <f t="shared" ref="C57:C65" si="16">IF($C$55="北京市系数",I57,J57)</f>
        <v>0</v>
      </c>
      <c r="D57" s="1164">
        <v>0.25</v>
      </c>
      <c r="E57" s="694"/>
      <c r="F57" s="1103">
        <f t="shared" si="15"/>
        <v>0</v>
      </c>
      <c r="G57" s="3206" t="s">
        <v>2754</v>
      </c>
      <c r="H57" s="1104">
        <f>项目基本情况!B37</f>
        <v>0</v>
      </c>
      <c r="I57" s="1108">
        <f>SUMIF(修正!A45:A56,H57,修正!B45:B56)</f>
        <v>0</v>
      </c>
      <c r="J57" s="1112"/>
      <c r="K57" s="1144"/>
      <c r="L57" s="941"/>
      <c r="M57" s="941"/>
      <c r="N57" s="941"/>
      <c r="O57" s="941"/>
    </row>
    <row r="58" spans="1:15" s="692" customFormat="1">
      <c r="A58" s="693" t="s">
        <v>2755</v>
      </c>
      <c r="B58" s="262">
        <f t="shared" ref="B58:B65" si="17">ROUND($C$48*C58*D58,0)</f>
        <v>0</v>
      </c>
      <c r="C58" s="200">
        <f t="shared" si="16"/>
        <v>0</v>
      </c>
      <c r="D58" s="1164">
        <v>0.25</v>
      </c>
      <c r="E58" s="694"/>
      <c r="F58" s="1103">
        <f t="shared" si="15"/>
        <v>0</v>
      </c>
      <c r="G58" s="3206"/>
      <c r="H58" s="1104">
        <f>项目基本情况!B37</f>
        <v>0</v>
      </c>
      <c r="I58" s="1108">
        <f>SUMIF(修正!A45:A56,H58,修正!C45:C56)</f>
        <v>0</v>
      </c>
      <c r="J58" s="1112"/>
      <c r="K58" s="1145"/>
      <c r="L58" s="941"/>
      <c r="M58" s="941"/>
      <c r="N58" s="941"/>
      <c r="O58" s="941"/>
    </row>
    <row r="59" spans="1:15" s="692" customFormat="1">
      <c r="A59" s="693" t="s">
        <v>2756</v>
      </c>
      <c r="B59" s="262">
        <f t="shared" si="17"/>
        <v>0</v>
      </c>
      <c r="C59" s="200">
        <f t="shared" si="16"/>
        <v>0</v>
      </c>
      <c r="D59" s="1164">
        <v>0.25</v>
      </c>
      <c r="E59" s="694"/>
      <c r="F59" s="1103">
        <f t="shared" si="15"/>
        <v>0</v>
      </c>
      <c r="G59" s="3206"/>
      <c r="H59" s="1104">
        <f>项目基本情况!B37</f>
        <v>0</v>
      </c>
      <c r="I59" s="1108">
        <f>SUMIF(修正!A45:A56,H59,修正!D45:D56)</f>
        <v>0</v>
      </c>
      <c r="J59" s="1112"/>
      <c r="K59" s="1144"/>
      <c r="L59" s="941"/>
      <c r="M59" s="941"/>
      <c r="N59" s="941"/>
      <c r="O59" s="941"/>
    </row>
    <row r="60" spans="1:15" s="692" customFormat="1">
      <c r="A60" s="693" t="s">
        <v>2757</v>
      </c>
      <c r="B60" s="262">
        <f t="shared" si="17"/>
        <v>0</v>
      </c>
      <c r="C60" s="200">
        <f t="shared" si="16"/>
        <v>0</v>
      </c>
      <c r="D60" s="1164">
        <v>0.25</v>
      </c>
      <c r="E60" s="694"/>
      <c r="F60" s="1103">
        <f t="shared" si="15"/>
        <v>0</v>
      </c>
      <c r="G60" s="3206"/>
      <c r="H60" s="1104">
        <f>项目基本情况!B37</f>
        <v>0</v>
      </c>
      <c r="I60" s="1108">
        <f>SUMIF(修正!A45:A56,H60,修正!E45:E56)</f>
        <v>0</v>
      </c>
      <c r="J60" s="1112"/>
      <c r="K60" s="1145"/>
      <c r="L60" s="941"/>
      <c r="M60" s="941"/>
      <c r="N60" s="941"/>
      <c r="O60" s="941"/>
    </row>
    <row r="61" spans="1:15" s="692" customFormat="1">
      <c r="A61" s="693" t="s">
        <v>2758</v>
      </c>
      <c r="B61" s="262">
        <f t="shared" si="17"/>
        <v>0</v>
      </c>
      <c r="C61" s="200">
        <f t="shared" si="16"/>
        <v>0</v>
      </c>
      <c r="D61" s="1164">
        <v>0.25</v>
      </c>
      <c r="E61" s="261">
        <f>'数据-汇总表'!E11</f>
        <v>0</v>
      </c>
      <c r="F61" s="1103">
        <f t="shared" si="15"/>
        <v>0</v>
      </c>
      <c r="G61" s="2703" t="s">
        <v>2759</v>
      </c>
      <c r="H61" s="1104">
        <f>项目基本情况!C37</f>
        <v>0</v>
      </c>
      <c r="I61" s="1108">
        <f>SUMIF(修正!A45:A56,H61,修正!F45:F56)</f>
        <v>0</v>
      </c>
      <c r="J61" s="1112"/>
      <c r="K61" s="1144"/>
      <c r="L61" s="941"/>
      <c r="M61" s="941"/>
      <c r="N61" s="941"/>
      <c r="O61" s="941"/>
    </row>
    <row r="62" spans="1:15" s="692" customFormat="1">
      <c r="A62" s="693" t="s">
        <v>2760</v>
      </c>
      <c r="B62" s="262">
        <f t="shared" si="17"/>
        <v>0</v>
      </c>
      <c r="C62" s="200">
        <f t="shared" si="16"/>
        <v>0</v>
      </c>
      <c r="D62" s="1164">
        <v>0.25</v>
      </c>
      <c r="E62" s="261">
        <f>'数据-汇总表'!E12</f>
        <v>0</v>
      </c>
      <c r="F62" s="1103">
        <f t="shared" si="15"/>
        <v>0</v>
      </c>
      <c r="G62" s="1109" t="s">
        <v>2761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2762</v>
      </c>
      <c r="B63" s="262">
        <f t="shared" si="17"/>
        <v>0</v>
      </c>
      <c r="C63" s="200">
        <f t="shared" si="16"/>
        <v>0</v>
      </c>
      <c r="D63" s="1164">
        <v>0.25</v>
      </c>
      <c r="E63" s="261">
        <f>'数据-汇总表'!E13</f>
        <v>0</v>
      </c>
      <c r="F63" s="1103">
        <f t="shared" si="15"/>
        <v>0</v>
      </c>
      <c r="G63" s="1109" t="s">
        <v>2763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2764</v>
      </c>
      <c r="B64" s="262">
        <f t="shared" si="17"/>
        <v>0</v>
      </c>
      <c r="C64" s="200">
        <f t="shared" si="16"/>
        <v>0</v>
      </c>
      <c r="D64" s="1164">
        <v>0.25</v>
      </c>
      <c r="E64" s="261">
        <f>'数据-汇总表'!E14</f>
        <v>0</v>
      </c>
      <c r="F64" s="1103">
        <f t="shared" si="15"/>
        <v>0</v>
      </c>
      <c r="G64" s="2703" t="s">
        <v>2754</v>
      </c>
      <c r="H64" s="1104">
        <f>项目基本情况!B37</f>
        <v>0</v>
      </c>
      <c r="I64" s="1108">
        <f>SUMIF(修正!A45:A56,H64,修正!H45:H56)</f>
        <v>0</v>
      </c>
      <c r="J64" s="1112"/>
      <c r="K64" s="1145"/>
      <c r="L64" s="941"/>
      <c r="M64" s="941"/>
      <c r="N64" s="941"/>
      <c r="O64" s="941"/>
    </row>
    <row r="65" spans="1:17" s="692" customFormat="1" ht="15" thickBot="1">
      <c r="A65" s="693" t="s">
        <v>2765</v>
      </c>
      <c r="B65" s="262">
        <f t="shared" si="17"/>
        <v>0</v>
      </c>
      <c r="C65" s="200">
        <f t="shared" si="16"/>
        <v>0</v>
      </c>
      <c r="D65" s="1164">
        <v>0.25</v>
      </c>
      <c r="E65" s="261">
        <f>'数据-汇总表'!E15</f>
        <v>0</v>
      </c>
      <c r="F65" s="1103">
        <f t="shared" si="15"/>
        <v>0</v>
      </c>
      <c r="G65" s="2704" t="s">
        <v>2759</v>
      </c>
      <c r="H65" s="1114">
        <f>项目基本情况!C37</f>
        <v>0</v>
      </c>
      <c r="I65" s="1110">
        <f>SUMIF(修正!A45:A56,H65,修正!H45:H56)</f>
        <v>0</v>
      </c>
      <c r="J65" s="1113"/>
      <c r="K65" s="1144"/>
      <c r="L65" s="941"/>
      <c r="M65" s="941"/>
      <c r="N65" s="941"/>
      <c r="O65" s="941"/>
    </row>
    <row r="66" spans="1:17" s="692" customFormat="1" ht="13.5" thickBot="1">
      <c r="A66" s="695" t="s">
        <v>2766</v>
      </c>
      <c r="B66" s="696" t="s">
        <v>28</v>
      </c>
      <c r="C66" s="696" t="s">
        <v>29</v>
      </c>
      <c r="D66" s="696" t="s">
        <v>1026</v>
      </c>
      <c r="E66" s="696">
        <f>IF(B46="楼面地价",SUM(E56:E65),'数据-汇总表'!D3)</f>
        <v>53306.400000000001</v>
      </c>
      <c r="F66" s="697">
        <f>IF(B46="楼面地价",SUM(F56:F65),ROUND(C48*E66/10000,0))</f>
        <v>4456</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2020-7-1</v>
      </c>
      <c r="D68" s="761">
        <f>EDATE(C68,-3)</f>
        <v>43922</v>
      </c>
      <c r="E68" s="761">
        <f>EDATE(D68,-3)</f>
        <v>43831</v>
      </c>
      <c r="F68" s="761">
        <f t="shared" ref="F68:O68" si="18">EDATE(E68,-3)</f>
        <v>43739</v>
      </c>
      <c r="G68" s="761">
        <f t="shared" si="18"/>
        <v>43647</v>
      </c>
      <c r="H68" s="761">
        <f t="shared" si="18"/>
        <v>43556</v>
      </c>
      <c r="I68" s="761">
        <f t="shared" si="18"/>
        <v>43466</v>
      </c>
      <c r="J68" s="761">
        <f t="shared" si="18"/>
        <v>43374</v>
      </c>
      <c r="K68" s="761">
        <f t="shared" si="18"/>
        <v>43282</v>
      </c>
      <c r="L68" s="761">
        <f t="shared" si="18"/>
        <v>43191</v>
      </c>
      <c r="M68" s="761">
        <f t="shared" si="18"/>
        <v>43101</v>
      </c>
      <c r="N68" s="761">
        <f t="shared" si="18"/>
        <v>43009</v>
      </c>
      <c r="O68" s="761">
        <f t="shared" si="18"/>
        <v>42917</v>
      </c>
    </row>
    <row r="69" spans="1:17" ht="21.75" thickBot="1">
      <c r="A69" s="763" t="s">
        <v>2659</v>
      </c>
      <c r="B69" s="759"/>
      <c r="C69" s="764"/>
      <c r="D69" s="764"/>
      <c r="E69" s="764"/>
      <c r="F69" s="765"/>
      <c r="G69" s="765"/>
      <c r="H69" s="764"/>
      <c r="I69" s="764"/>
      <c r="J69" s="1159"/>
      <c r="K69" s="1160"/>
      <c r="L69" s="1161"/>
      <c r="M69" s="1159"/>
      <c r="N69" s="1159"/>
      <c r="O69" s="1159"/>
      <c r="P69" s="503"/>
      <c r="Q69" s="504"/>
    </row>
    <row r="70" spans="1:17" s="508" customFormat="1" ht="15">
      <c r="A70" s="2705" t="s">
        <v>2767</v>
      </c>
      <c r="B70" s="1359"/>
      <c r="C70" s="1571" t="str">
        <f>YEAR(C68)&amp;"-"&amp;ROUNDUP(MONTH(C68)/3,0)</f>
        <v>2020-3</v>
      </c>
      <c r="D70" s="1571" t="str">
        <f>YEAR(D68)&amp;"-"&amp;ROUNDUP(MONTH(D68)/3,0)</f>
        <v>2020-2</v>
      </c>
      <c r="E70" s="1571" t="str">
        <f t="shared" ref="E70:O70" si="19">YEAR(E68)&amp;"-"&amp;ROUNDUP(MONTH(E68)/3,0)</f>
        <v>2020-1</v>
      </c>
      <c r="F70" s="1571" t="str">
        <f t="shared" si="19"/>
        <v>2019-4</v>
      </c>
      <c r="G70" s="1571" t="str">
        <f t="shared" si="19"/>
        <v>2019-3</v>
      </c>
      <c r="H70" s="1571" t="str">
        <f t="shared" si="19"/>
        <v>2019-2</v>
      </c>
      <c r="I70" s="1571" t="str">
        <f t="shared" si="19"/>
        <v>2019-1</v>
      </c>
      <c r="J70" s="1571" t="str">
        <f t="shared" si="19"/>
        <v>2018-4</v>
      </c>
      <c r="K70" s="1571" t="str">
        <f t="shared" si="19"/>
        <v>2018-3</v>
      </c>
      <c r="L70" s="1571" t="str">
        <f t="shared" si="19"/>
        <v>2018-2</v>
      </c>
      <c r="M70" s="1571" t="str">
        <f t="shared" si="19"/>
        <v>2018-1</v>
      </c>
      <c r="N70" s="1571" t="str">
        <f t="shared" si="19"/>
        <v>2017-4</v>
      </c>
      <c r="O70" s="1571" t="str">
        <f t="shared" si="19"/>
        <v>2017-3</v>
      </c>
      <c r="P70" s="507"/>
    </row>
    <row r="71" spans="1:17" s="117" customFormat="1" ht="30" customHeight="1">
      <c r="A71" s="2706" t="s">
        <v>2768</v>
      </c>
      <c r="B71" s="332" t="str">
        <f>"北京市平均增长率"&amp;TEXT(SUMIF(基准地价修正!N21:N25,A71,基准地价修正!P21:P25),"0.00%")</f>
        <v>北京市平均增长率0.00%</v>
      </c>
      <c r="C71" s="603">
        <v>100</v>
      </c>
      <c r="D71" s="595">
        <f>C71-0.5</f>
        <v>99.5</v>
      </c>
      <c r="E71" s="595">
        <f t="shared" ref="E71:K71" si="20">D71-0.5</f>
        <v>99</v>
      </c>
      <c r="F71" s="595">
        <f t="shared" si="20"/>
        <v>98.5</v>
      </c>
      <c r="G71" s="595">
        <f t="shared" si="20"/>
        <v>98</v>
      </c>
      <c r="H71" s="595">
        <f t="shared" si="20"/>
        <v>97.5</v>
      </c>
      <c r="I71" s="595">
        <f t="shared" si="20"/>
        <v>97</v>
      </c>
      <c r="J71" s="595">
        <f t="shared" si="20"/>
        <v>96.5</v>
      </c>
      <c r="K71" s="595">
        <f t="shared" si="20"/>
        <v>96</v>
      </c>
      <c r="L71" s="595">
        <f t="shared" ref="L71" si="21">K71-0.5</f>
        <v>95.5</v>
      </c>
      <c r="M71" s="595">
        <f t="shared" ref="M71" si="22">L71-0.5</f>
        <v>95</v>
      </c>
      <c r="N71" s="595">
        <f t="shared" ref="N71" si="23">M71-0.5</f>
        <v>94.5</v>
      </c>
      <c r="O71" s="595">
        <f t="shared" ref="O71" si="24">N71-0.5</f>
        <v>94</v>
      </c>
      <c r="P71" s="504"/>
    </row>
    <row r="72" spans="1:17" s="117" customFormat="1" ht="15.75" thickBot="1">
      <c r="A72" s="515" t="s">
        <v>2570</v>
      </c>
      <c r="B72" s="516"/>
      <c r="C72" s="517"/>
      <c r="D72" s="518"/>
      <c r="E72" s="518"/>
      <c r="F72" s="518"/>
      <c r="G72" s="518"/>
      <c r="H72" s="518"/>
      <c r="I72" s="518"/>
      <c r="J72" s="518"/>
      <c r="K72" s="518"/>
      <c r="L72" s="518"/>
      <c r="M72" s="519"/>
      <c r="N72" s="518"/>
      <c r="O72" s="1162"/>
      <c r="P72" s="504"/>
      <c r="Q72" s="504"/>
    </row>
    <row r="73" spans="1:17" s="117" customFormat="1" ht="15">
      <c r="A73" s="521" t="s">
        <v>2535</v>
      </c>
      <c r="B73" s="510"/>
      <c r="C73" s="522" t="s">
        <v>2637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2573</v>
      </c>
      <c r="B75" s="528" t="s">
        <v>2539</v>
      </c>
      <c r="C75" s="2965" t="s">
        <v>3312</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2542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2543</v>
      </c>
      <c r="C79" s="547" t="str">
        <f>C80&amp;"（含）"&amp;"-"&amp;D80</f>
        <v>0（含）-0.5</v>
      </c>
      <c r="D79" s="547" t="str">
        <f t="shared" ref="D79:L79" si="25">D80&amp;"（含）"&amp;"-"&amp;E80</f>
        <v>0.5（含）-1</v>
      </c>
      <c r="E79" s="547" t="str">
        <f t="shared" si="25"/>
        <v>1（含）-1.5</v>
      </c>
      <c r="F79" s="547" t="str">
        <f t="shared" si="25"/>
        <v>1.5（含）-2</v>
      </c>
      <c r="G79" s="547" t="str">
        <f t="shared" si="25"/>
        <v>2（含）-2.5</v>
      </c>
      <c r="H79" s="547" t="str">
        <f t="shared" si="25"/>
        <v>2.5（含）-3</v>
      </c>
      <c r="I79" s="547" t="str">
        <f t="shared" si="25"/>
        <v>3（含）-3.5</v>
      </c>
      <c r="J79" s="547" t="str">
        <f t="shared" si="25"/>
        <v>3.5（含）-4</v>
      </c>
      <c r="K79" s="547" t="str">
        <f t="shared" si="25"/>
        <v>4（含）-</v>
      </c>
      <c r="L79" s="547" t="str">
        <f t="shared" si="25"/>
        <v>（含）-</v>
      </c>
      <c r="M79" s="448" t="str">
        <f>M80&amp;"（含）"&amp;"-"&amp;P80</f>
        <v>（含）-</v>
      </c>
      <c r="N79" s="1153"/>
      <c r="O79" s="1153"/>
      <c r="P79" s="45"/>
      <c r="Q79" s="504"/>
    </row>
    <row r="80" spans="1:17" ht="15">
      <c r="A80" s="534"/>
      <c r="B80" s="548"/>
      <c r="C80" s="549">
        <v>0</v>
      </c>
      <c r="D80" s="549">
        <v>0.5</v>
      </c>
      <c r="E80" s="549">
        <v>1</v>
      </c>
      <c r="F80" s="549">
        <v>1.5</v>
      </c>
      <c r="G80" s="549">
        <v>2</v>
      </c>
      <c r="H80" s="549">
        <v>2.5</v>
      </c>
      <c r="I80" s="549">
        <v>3</v>
      </c>
      <c r="J80" s="549">
        <v>3.5</v>
      </c>
      <c r="K80" s="550">
        <v>4</v>
      </c>
      <c r="L80" s="551"/>
      <c r="M80" s="552"/>
      <c r="N80" s="1152"/>
      <c r="O80" s="1152"/>
      <c r="P80" s="45"/>
      <c r="Q80" s="504"/>
    </row>
    <row r="81" spans="1:17" ht="15.75" thickBot="1">
      <c r="A81" s="534"/>
      <c r="B81" s="535"/>
      <c r="C81" s="544">
        <v>100</v>
      </c>
      <c r="D81" s="544">
        <f t="shared" ref="D81:M81" si="26">IF($B$46="单位面积地价",C81+$K11,C81-$K11)</f>
        <v>97</v>
      </c>
      <c r="E81" s="544">
        <f t="shared" si="26"/>
        <v>94</v>
      </c>
      <c r="F81" s="544">
        <f t="shared" si="26"/>
        <v>91</v>
      </c>
      <c r="G81" s="544">
        <f t="shared" si="26"/>
        <v>88</v>
      </c>
      <c r="H81" s="544">
        <f t="shared" si="26"/>
        <v>85</v>
      </c>
      <c r="I81" s="544">
        <f t="shared" si="26"/>
        <v>82</v>
      </c>
      <c r="J81" s="544">
        <f t="shared" si="26"/>
        <v>79</v>
      </c>
      <c r="K81" s="544">
        <f t="shared" si="26"/>
        <v>76</v>
      </c>
      <c r="L81" s="544">
        <f t="shared" si="26"/>
        <v>73</v>
      </c>
      <c r="M81" s="544">
        <f t="shared" si="26"/>
        <v>70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2544</v>
      </c>
      <c r="B88" s="528" t="s">
        <v>2581</v>
      </c>
      <c r="C88" s="573" t="s">
        <v>2582</v>
      </c>
      <c r="D88" s="573" t="s">
        <v>2583</v>
      </c>
      <c r="E88" s="573" t="s">
        <v>2584</v>
      </c>
      <c r="F88" s="573" t="s">
        <v>2585</v>
      </c>
      <c r="G88" s="573" t="s">
        <v>2586</v>
      </c>
      <c r="H88" s="529"/>
      <c r="I88" s="529"/>
      <c r="J88" s="529"/>
      <c r="K88" s="574"/>
      <c r="L88" s="575"/>
      <c r="M88" s="576"/>
      <c r="N88" s="1152"/>
      <c r="O88" s="1152"/>
      <c r="P88" s="577"/>
      <c r="Q88" s="504"/>
    </row>
    <row r="89" spans="1:17" ht="15.75" thickBot="1">
      <c r="A89" s="534"/>
      <c r="B89" s="543"/>
      <c r="C89" s="544">
        <v>100</v>
      </c>
      <c r="D89" s="544">
        <f>C89-$K15</f>
        <v>94</v>
      </c>
      <c r="E89" s="544">
        <f>D89-$K15</f>
        <v>88</v>
      </c>
      <c r="F89" s="544">
        <f>E89-$K15</f>
        <v>82</v>
      </c>
      <c r="G89" s="544">
        <f>F89-$K15</f>
        <v>76</v>
      </c>
      <c r="H89" s="544"/>
      <c r="I89" s="544"/>
      <c r="J89" s="544"/>
      <c r="K89" s="544"/>
      <c r="L89" s="544"/>
      <c r="M89" s="545"/>
      <c r="N89" s="1153"/>
      <c r="O89" s="1153"/>
      <c r="P89" s="45"/>
      <c r="Q89" s="504"/>
    </row>
    <row r="90" spans="1:17" ht="15.75" thickTop="1">
      <c r="A90" s="534"/>
      <c r="B90" s="538" t="s">
        <v>2769</v>
      </c>
      <c r="C90" s="578" t="s">
        <v>2582</v>
      </c>
      <c r="D90" s="578" t="s">
        <v>2583</v>
      </c>
      <c r="E90" s="578" t="s">
        <v>2584</v>
      </c>
      <c r="F90" s="578" t="s">
        <v>2585</v>
      </c>
      <c r="G90" s="578" t="s">
        <v>2586</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2682</v>
      </c>
      <c r="C92" s="578" t="s">
        <v>2582</v>
      </c>
      <c r="D92" s="578" t="s">
        <v>2583</v>
      </c>
      <c r="E92" s="578" t="s">
        <v>2584</v>
      </c>
      <c r="F92" s="578" t="s">
        <v>2585</v>
      </c>
      <c r="G92" s="578" t="s">
        <v>2586</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2587</v>
      </c>
      <c r="C94" s="578" t="s">
        <v>2582</v>
      </c>
      <c r="D94" s="578" t="s">
        <v>2583</v>
      </c>
      <c r="E94" s="578" t="s">
        <v>2584</v>
      </c>
      <c r="F94" s="578" t="s">
        <v>2585</v>
      </c>
      <c r="G94" s="578" t="s">
        <v>2586</v>
      </c>
      <c r="H94" s="539"/>
      <c r="I94" s="539"/>
      <c r="J94" s="539"/>
      <c r="K94" s="540"/>
      <c r="L94" s="541"/>
      <c r="M94" s="542"/>
      <c r="N94" s="1152"/>
      <c r="O94" s="1152"/>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53"/>
      <c r="O95" s="1153"/>
      <c r="P95" s="45"/>
      <c r="Q95" s="504"/>
    </row>
    <row r="96" spans="1:17" s="117" customFormat="1" ht="15.75" thickTop="1">
      <c r="A96" s="579"/>
      <c r="B96" s="538" t="s">
        <v>2770</v>
      </c>
      <c r="C96" s="578" t="s">
        <v>2582</v>
      </c>
      <c r="D96" s="578" t="s">
        <v>2583</v>
      </c>
      <c r="E96" s="578" t="s">
        <v>2584</v>
      </c>
      <c r="F96" s="578" t="s">
        <v>2585</v>
      </c>
      <c r="G96" s="578" t="s">
        <v>2586</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2771</v>
      </c>
      <c r="C98" s="573" t="s">
        <v>2582</v>
      </c>
      <c r="D98" s="573" t="s">
        <v>2583</v>
      </c>
      <c r="E98" s="573" t="s">
        <v>2584</v>
      </c>
      <c r="F98" s="573" t="s">
        <v>2585</v>
      </c>
      <c r="G98" s="573" t="s">
        <v>2586</v>
      </c>
      <c r="H98" s="578"/>
      <c r="I98" s="578"/>
      <c r="J98" s="578"/>
      <c r="K98" s="578"/>
      <c r="L98" s="578"/>
      <c r="M98" s="622"/>
      <c r="N98" s="1151"/>
      <c r="O98" s="1151"/>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3"/>
      <c r="O99" s="1153"/>
      <c r="P99" s="45"/>
      <c r="Q99" s="504"/>
    </row>
    <row r="100" spans="1:17" s="471" customFormat="1" ht="15.75" thickTop="1">
      <c r="A100" s="553"/>
      <c r="B100" s="538" t="s">
        <v>2639</v>
      </c>
      <c r="C100" s="573" t="s">
        <v>2582</v>
      </c>
      <c r="D100" s="573" t="s">
        <v>2583</v>
      </c>
      <c r="E100" s="573" t="s">
        <v>2584</v>
      </c>
      <c r="F100" s="573" t="s">
        <v>2585</v>
      </c>
      <c r="G100" s="573" t="s">
        <v>2586</v>
      </c>
      <c r="H100" s="600"/>
      <c r="I100" s="600"/>
      <c r="J100" s="600"/>
      <c r="K100" s="600"/>
      <c r="L100" s="601"/>
      <c r="M100" s="602"/>
      <c r="N100" s="1154"/>
      <c r="O100" s="1154"/>
      <c r="P100" s="558"/>
      <c r="Q100" s="559"/>
    </row>
    <row r="101" spans="1:17" s="471" customFormat="1" ht="15.75" thickBot="1">
      <c r="A101" s="553"/>
      <c r="B101" s="543"/>
      <c r="C101" s="544">
        <v>100</v>
      </c>
      <c r="D101" s="544">
        <f>C101-$K27</f>
        <v>95</v>
      </c>
      <c r="E101" s="544">
        <f>D101-$K27</f>
        <v>90</v>
      </c>
      <c r="F101" s="544">
        <f>E101-$K27</f>
        <v>85</v>
      </c>
      <c r="G101" s="544">
        <f>F101-$K27</f>
        <v>80</v>
      </c>
      <c r="H101" s="607"/>
      <c r="I101" s="607"/>
      <c r="J101" s="607"/>
      <c r="K101" s="607"/>
      <c r="L101" s="607"/>
      <c r="M101" s="608"/>
      <c r="N101" s="1154"/>
      <c r="O101" s="1154"/>
      <c r="P101" s="558"/>
      <c r="Q101" s="559"/>
    </row>
    <row r="102" spans="1:17" s="471" customFormat="1" ht="15.75" thickTop="1">
      <c r="A102" s="553"/>
      <c r="B102" s="546" t="s">
        <v>2640</v>
      </c>
      <c r="C102" s="660" t="s">
        <v>2660</v>
      </c>
      <c r="D102" s="660" t="s">
        <v>2661</v>
      </c>
      <c r="E102" s="660" t="s">
        <v>2662</v>
      </c>
      <c r="F102" s="660" t="s">
        <v>2663</v>
      </c>
      <c r="G102" s="660" t="s">
        <v>2664</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2772</v>
      </c>
      <c r="D104" s="539" t="s">
        <v>2773</v>
      </c>
      <c r="E104" s="539" t="s">
        <v>2774</v>
      </c>
      <c r="F104" s="539" t="s">
        <v>2775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7">D105-$K31</f>
        <v>100</v>
      </c>
      <c r="F105" s="544">
        <f t="shared" si="27"/>
        <v>100</v>
      </c>
      <c r="G105" s="544">
        <f t="shared" si="27"/>
        <v>100</v>
      </c>
      <c r="H105" s="544">
        <f t="shared" si="27"/>
        <v>100</v>
      </c>
      <c r="I105" s="544">
        <f t="shared" si="27"/>
        <v>100</v>
      </c>
      <c r="J105" s="544">
        <f t="shared" si="27"/>
        <v>100</v>
      </c>
      <c r="K105" s="544">
        <f t="shared" si="27"/>
        <v>100</v>
      </c>
      <c r="L105" s="544">
        <f t="shared" si="27"/>
        <v>100</v>
      </c>
      <c r="M105" s="544">
        <f t="shared" si="27"/>
        <v>100</v>
      </c>
      <c r="N105" s="1153"/>
      <c r="O105" s="1153"/>
      <c r="P105" s="45"/>
      <c r="Q105" s="504"/>
    </row>
    <row r="106" spans="1:17" ht="27.75" thickTop="1">
      <c r="A106" s="534"/>
      <c r="B106" s="538" t="s">
        <v>2676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8">D107-$K32</f>
        <v>100</v>
      </c>
      <c r="F107" s="544">
        <f t="shared" si="28"/>
        <v>100</v>
      </c>
      <c r="G107" s="544">
        <f t="shared" si="28"/>
        <v>100</v>
      </c>
      <c r="H107" s="544">
        <f t="shared" si="28"/>
        <v>100</v>
      </c>
      <c r="I107" s="544">
        <f t="shared" si="28"/>
        <v>100</v>
      </c>
      <c r="J107" s="544">
        <f t="shared" si="28"/>
        <v>100</v>
      </c>
      <c r="K107" s="544">
        <f t="shared" si="28"/>
        <v>100</v>
      </c>
      <c r="L107" s="544">
        <f t="shared" si="28"/>
        <v>100</v>
      </c>
      <c r="M107" s="544">
        <f t="shared" si="28"/>
        <v>100</v>
      </c>
      <c r="N107" s="1153"/>
      <c r="O107" s="1153"/>
      <c r="P107" s="45"/>
      <c r="Q107" s="504"/>
    </row>
    <row r="108" spans="1:17" ht="15.75" thickTop="1">
      <c r="A108" s="534"/>
      <c r="B108" s="538" t="s">
        <v>2735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9">D109-$K34</f>
        <v>100</v>
      </c>
      <c r="F109" s="544">
        <f t="shared" si="29"/>
        <v>100</v>
      </c>
      <c r="G109" s="544">
        <f t="shared" si="29"/>
        <v>100</v>
      </c>
      <c r="H109" s="544">
        <f t="shared" si="29"/>
        <v>100</v>
      </c>
      <c r="I109" s="544">
        <f t="shared" si="29"/>
        <v>100</v>
      </c>
      <c r="J109" s="544">
        <f t="shared" si="29"/>
        <v>100</v>
      </c>
      <c r="K109" s="544">
        <f t="shared" si="29"/>
        <v>100</v>
      </c>
      <c r="L109" s="544">
        <f t="shared" si="29"/>
        <v>100</v>
      </c>
      <c r="M109" s="544">
        <f t="shared" si="29"/>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2548</v>
      </c>
      <c r="B116" s="528" t="s">
        <v>2776</v>
      </c>
      <c r="C116" s="529" t="str">
        <f>C117&amp;"(含)"&amp;"-"&amp;D117</f>
        <v>0(含)-20000</v>
      </c>
      <c r="D116" s="529" t="str">
        <f t="shared" ref="D116:M116" si="30">D117&amp;"(含)"&amp;"-"&amp;E117</f>
        <v>20000(含)-40000</v>
      </c>
      <c r="E116" s="529" t="str">
        <f t="shared" si="30"/>
        <v>40000(含)-60000</v>
      </c>
      <c r="F116" s="529" t="str">
        <f t="shared" si="30"/>
        <v>60000(含)-80000</v>
      </c>
      <c r="G116" s="529" t="str">
        <f t="shared" si="30"/>
        <v>80000(含)-</v>
      </c>
      <c r="H116" s="529" t="str">
        <f t="shared" si="30"/>
        <v>(含)-</v>
      </c>
      <c r="I116" s="529" t="str">
        <f t="shared" si="30"/>
        <v>(含)-</v>
      </c>
      <c r="J116" s="529" t="str">
        <f t="shared" si="30"/>
        <v>(含)-</v>
      </c>
      <c r="K116" s="529" t="str">
        <f t="shared" si="30"/>
        <v>(含)-</v>
      </c>
      <c r="L116" s="529" t="str">
        <f t="shared" si="30"/>
        <v>(含)-</v>
      </c>
      <c r="M116" s="529" t="str">
        <f t="shared" si="30"/>
        <v>(含)-</v>
      </c>
      <c r="N116" s="1152"/>
      <c r="O116" s="1152"/>
      <c r="P116" s="45"/>
      <c r="Q116" s="504"/>
    </row>
    <row r="117" spans="1:17" ht="15">
      <c r="A117" s="534"/>
      <c r="B117" s="546"/>
      <c r="C117" s="595">
        <v>0</v>
      </c>
      <c r="D117" s="595">
        <f>C117+20000</f>
        <v>20000</v>
      </c>
      <c r="E117" s="595">
        <f t="shared" ref="E117:G117" si="31">D117+20000</f>
        <v>40000</v>
      </c>
      <c r="F117" s="595">
        <f t="shared" si="31"/>
        <v>60000</v>
      </c>
      <c r="G117" s="595">
        <f t="shared" si="31"/>
        <v>80000</v>
      </c>
      <c r="H117" s="595"/>
      <c r="I117" s="595"/>
      <c r="J117" s="596"/>
      <c r="K117" s="596"/>
      <c r="L117" s="597"/>
      <c r="M117" s="598"/>
      <c r="N117" s="1152"/>
      <c r="O117" s="1152"/>
      <c r="P117" s="45"/>
      <c r="Q117" s="504"/>
    </row>
    <row r="118" spans="1:17" ht="15.75" thickBot="1">
      <c r="A118" s="534"/>
      <c r="B118" s="543"/>
      <c r="C118" s="570">
        <v>100</v>
      </c>
      <c r="D118" s="591">
        <f>C118+1</f>
        <v>101</v>
      </c>
      <c r="E118" s="591">
        <f t="shared" ref="E118:G118" si="32">D118+1</f>
        <v>102</v>
      </c>
      <c r="F118" s="591">
        <f t="shared" si="32"/>
        <v>103</v>
      </c>
      <c r="G118" s="591">
        <f t="shared" si="32"/>
        <v>104</v>
      </c>
      <c r="H118" s="591"/>
      <c r="I118" s="591"/>
      <c r="J118" s="591"/>
      <c r="K118" s="591"/>
      <c r="L118" s="591"/>
      <c r="M118" s="592"/>
      <c r="N118" s="1153"/>
      <c r="O118" s="1153"/>
      <c r="P118" s="45"/>
      <c r="Q118" s="504"/>
    </row>
    <row r="119" spans="1:17" ht="15" thickTop="1">
      <c r="A119" s="599"/>
      <c r="B119" s="538" t="s">
        <v>2777</v>
      </c>
      <c r="C119" s="2966" t="s">
        <v>3313</v>
      </c>
      <c r="D119" s="2966" t="s">
        <v>3315</v>
      </c>
      <c r="E119" s="2966" t="s">
        <v>3316</v>
      </c>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33">C120-$K39</f>
        <v>98</v>
      </c>
      <c r="E120" s="544">
        <f t="shared" si="33"/>
        <v>96</v>
      </c>
      <c r="F120" s="544">
        <f t="shared" si="33"/>
        <v>94</v>
      </c>
      <c r="G120" s="544">
        <f t="shared" si="33"/>
        <v>92</v>
      </c>
      <c r="H120" s="544">
        <f t="shared" si="33"/>
        <v>90</v>
      </c>
      <c r="I120" s="544">
        <f t="shared" si="33"/>
        <v>88</v>
      </c>
      <c r="J120" s="544">
        <f t="shared" si="33"/>
        <v>86</v>
      </c>
      <c r="K120" s="544">
        <f t="shared" si="33"/>
        <v>84</v>
      </c>
      <c r="L120" s="544">
        <f t="shared" si="33"/>
        <v>82</v>
      </c>
      <c r="M120" s="545">
        <f t="shared" si="33"/>
        <v>80</v>
      </c>
      <c r="N120" s="1153"/>
      <c r="O120" s="1153"/>
      <c r="P120" s="45"/>
      <c r="Q120" s="504"/>
    </row>
    <row r="121" spans="1:17" ht="15" thickTop="1">
      <c r="A121" s="599"/>
      <c r="B121" s="538" t="s">
        <v>2778</v>
      </c>
      <c r="C121" s="2967" t="s">
        <v>3318</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34">C122-$K40</f>
        <v>98</v>
      </c>
      <c r="E122" s="544">
        <f t="shared" si="34"/>
        <v>96</v>
      </c>
      <c r="F122" s="544">
        <f t="shared" si="34"/>
        <v>94</v>
      </c>
      <c r="G122" s="544">
        <f t="shared" si="34"/>
        <v>92</v>
      </c>
      <c r="H122" s="544">
        <f t="shared" si="34"/>
        <v>90</v>
      </c>
      <c r="I122" s="544">
        <f t="shared" si="34"/>
        <v>88</v>
      </c>
      <c r="J122" s="544">
        <f t="shared" si="34"/>
        <v>86</v>
      </c>
      <c r="K122" s="544">
        <f t="shared" si="34"/>
        <v>84</v>
      </c>
      <c r="L122" s="544">
        <f t="shared" si="34"/>
        <v>82</v>
      </c>
      <c r="M122" s="545">
        <f t="shared" si="34"/>
        <v>80</v>
      </c>
      <c r="N122" s="1153"/>
      <c r="O122" s="1153"/>
      <c r="P122" s="45"/>
      <c r="Q122" s="504"/>
    </row>
    <row r="123" spans="1:17" s="471" customFormat="1" ht="15" thickTop="1">
      <c r="A123" s="593"/>
      <c r="B123" s="538" t="s">
        <v>2779</v>
      </c>
      <c r="C123" s="2967" t="s">
        <v>3319</v>
      </c>
      <c r="D123" s="2967" t="s">
        <v>3320</v>
      </c>
      <c r="E123" s="2967" t="s">
        <v>3321</v>
      </c>
      <c r="F123" s="2967" t="s">
        <v>3322</v>
      </c>
      <c r="G123" s="554"/>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35">D124-$K41</f>
        <v>98</v>
      </c>
      <c r="F124" s="544">
        <f t="shared" si="35"/>
        <v>97</v>
      </c>
      <c r="G124" s="544">
        <f t="shared" si="35"/>
        <v>96</v>
      </c>
      <c r="H124" s="544">
        <f t="shared" si="35"/>
        <v>95</v>
      </c>
      <c r="I124" s="544">
        <f t="shared" si="35"/>
        <v>94</v>
      </c>
      <c r="J124" s="544">
        <f t="shared" si="35"/>
        <v>93</v>
      </c>
      <c r="K124" s="544">
        <f t="shared" si="35"/>
        <v>92</v>
      </c>
      <c r="L124" s="544">
        <f t="shared" si="35"/>
        <v>91</v>
      </c>
      <c r="M124" s="545">
        <f t="shared" si="35"/>
        <v>90</v>
      </c>
      <c r="N124" s="1154"/>
      <c r="O124" s="1154"/>
      <c r="P124" s="558"/>
      <c r="Q124" s="559"/>
    </row>
    <row r="125" spans="1:17" ht="15" thickTop="1">
      <c r="A125" s="599"/>
      <c r="B125" s="538" t="s">
        <v>2780</v>
      </c>
      <c r="C125" s="2967" t="s">
        <v>3323</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6">C126-$K42</f>
        <v>98</v>
      </c>
      <c r="E126" s="544">
        <f t="shared" si="36"/>
        <v>96</v>
      </c>
      <c r="F126" s="544">
        <f t="shared" si="36"/>
        <v>94</v>
      </c>
      <c r="G126" s="544">
        <f t="shared" si="36"/>
        <v>92</v>
      </c>
      <c r="H126" s="544">
        <f t="shared" si="36"/>
        <v>90</v>
      </c>
      <c r="I126" s="544">
        <f t="shared" si="36"/>
        <v>88</v>
      </c>
      <c r="J126" s="544">
        <f t="shared" si="36"/>
        <v>86</v>
      </c>
      <c r="K126" s="544">
        <f t="shared" si="36"/>
        <v>84</v>
      </c>
      <c r="L126" s="544">
        <f t="shared" si="36"/>
        <v>82</v>
      </c>
      <c r="M126" s="545">
        <f t="shared" si="36"/>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8" t="str">
        <f>项目基本情况!B1</f>
        <v>贵州省六盘水市钟山区红桥大道南侧、双龙一路西侧、南干线北侧住宅用地出让国有建设用地使用权出让国有建设用地使用权房地产抵押价值预评估</v>
      </c>
      <c r="C37" s="2978"/>
      <c r="D37" s="2978"/>
      <c r="E37" s="2978"/>
      <c r="F37" s="2978"/>
      <c r="G37" s="2978"/>
      <c r="H37" s="2978"/>
      <c r="I37" s="2978"/>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吴薇（注册号：0)、崔锴（注册号：1120100036)</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90" zoomScaleNormal="90" workbookViewId="0">
      <selection activeCell="H51" sqref="H5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5"/>
      <c r="C1" s="242"/>
      <c r="D1" s="242"/>
      <c r="E1" s="242"/>
      <c r="F1" s="242"/>
      <c r="G1" s="1379">
        <f>MATCH(B1,'数据-取费表'!A6:A16,0)+5</f>
        <v>8</v>
      </c>
    </row>
    <row r="2" spans="1:9" s="244" customFormat="1" ht="18" customHeight="1">
      <c r="A2" s="245" t="s">
        <v>2315</v>
      </c>
      <c r="B2" s="246">
        <f ca="1">IF(D2="——",C52,C52-E2)</f>
        <v>5054</v>
      </c>
      <c r="C2" s="243" t="s">
        <v>2316</v>
      </c>
      <c r="D2" s="2543" t="s">
        <v>70</v>
      </c>
      <c r="E2" s="1440" t="e">
        <f ca="1">SUMIF(INDIRECT("'"&amp;G2&amp;"'"&amp;"!A:A"),"承租人权益价值",INDIRECT("'"&amp;G2&amp;"'"&amp;"!c:c"))</f>
        <v>#REF!</v>
      </c>
      <c r="F2" s="2544" t="s">
        <v>2316</v>
      </c>
      <c r="G2" s="2545"/>
    </row>
    <row r="3" spans="1:9" s="244" customFormat="1" ht="18" customHeight="1" thickBot="1">
      <c r="A3" s="247" t="s">
        <v>2317</v>
      </c>
      <c r="B3" s="248">
        <f ca="1">ROUND(B2*10000/(IF(B1="",'数据-汇总表'!E3,INDIRECT("'数据-取费表'!k"&amp;$G$1))),0)</f>
        <v>948</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C6+C7+C8</f>
        <v>4592</v>
      </c>
      <c r="D5" s="255" t="s">
        <v>2322</v>
      </c>
      <c r="E5" s="256" t="s">
        <v>2323</v>
      </c>
      <c r="F5" s="256" t="s">
        <v>2324</v>
      </c>
      <c r="G5" s="257"/>
    </row>
    <row r="6" spans="1:9" s="258" customFormat="1" ht="13.5" customHeight="1">
      <c r="A6" s="949" t="s">
        <v>2325</v>
      </c>
      <c r="B6" s="259" t="s">
        <v>2326</v>
      </c>
      <c r="C6" s="260">
        <f>'土地比较法-住宅、综合'!B2</f>
        <v>4456</v>
      </c>
      <c r="D6" s="261"/>
      <c r="E6" s="262"/>
      <c r="F6" s="262"/>
      <c r="G6" s="263"/>
    </row>
    <row r="7" spans="1:9" s="258" customFormat="1" ht="13.5" customHeight="1">
      <c r="A7" s="949" t="s">
        <v>2327</v>
      </c>
      <c r="B7" s="259" t="s">
        <v>2328</v>
      </c>
      <c r="C7" s="264">
        <f>ROUND(C6*F7,0)</f>
        <v>136</v>
      </c>
      <c r="D7" s="264"/>
      <c r="E7" s="262"/>
      <c r="F7" s="265">
        <f>IF(项目基本情况!B8="出让",0,'数据-取费表'!B48+'数据-取费表'!B49)</f>
        <v>3.0499999999999999E-2</v>
      </c>
      <c r="G7" s="263"/>
    </row>
    <row r="8" spans="1:9" s="267" customFormat="1">
      <c r="A8" s="949" t="s">
        <v>2329</v>
      </c>
      <c r="B8" s="259" t="s">
        <v>2330</v>
      </c>
      <c r="C8" s="264">
        <f>IF(G8="已包含在土地购买价格中","0",IF(B1="",'数据-取费表'!B29,IF(G9="全部缴纳",C9+C10,H9)))</f>
        <v>0</v>
      </c>
      <c r="D8" s="266"/>
      <c r="E8" s="264"/>
      <c r="F8" s="265"/>
      <c r="G8" s="2546" t="s">
        <v>3324</v>
      </c>
    </row>
    <row r="9" spans="1:9" s="258" customFormat="1" ht="13.5" customHeight="1">
      <c r="A9" s="950" t="s">
        <v>800</v>
      </c>
      <c r="B9" s="268" t="s">
        <v>2331</v>
      </c>
      <c r="C9" s="269">
        <f ca="1">ROUND(D9*E9/10000,0)</f>
        <v>213</v>
      </c>
      <c r="D9" s="1032">
        <f ca="1">IF(B1="",'数据-汇总表'!E5,IF(INDIRECT("'数据-取费表'!c"&amp;$G$1)="住宅",INDIRECT("'数据-取费表'!k"&amp;$G$1),0))</f>
        <v>42645.120000000003</v>
      </c>
      <c r="E9" s="269">
        <f>'数据-取费表'!B27</f>
        <v>50</v>
      </c>
      <c r="F9" s="265"/>
      <c r="G9" s="2547" t="s">
        <v>3325</v>
      </c>
      <c r="H9" s="1390"/>
      <c r="I9" s="2548" t="s">
        <v>2332</v>
      </c>
    </row>
    <row r="10" spans="1:9" s="258" customFormat="1" ht="13.5" customHeight="1">
      <c r="A10" s="950" t="s">
        <v>801</v>
      </c>
      <c r="B10" s="268" t="s">
        <v>2333</v>
      </c>
      <c r="C10" s="269">
        <f ca="1">ROUND(D10*E10/10000,0)</f>
        <v>53</v>
      </c>
      <c r="D10" s="1032">
        <f ca="1">IF(B1="",'数据-汇总表'!E6,IF(INDIRECT("'数据-取费表'!c"&amp;$G$1)="住宅",INDIRECT("'数据-取费表'!s"&amp;$G$1),INDIRECT("'数据-取费表'!k"&amp;$G$1)+INDIRECT("'数据-取费表'!s"&amp;$G$1)))</f>
        <v>10661.279999999999</v>
      </c>
      <c r="E10" s="269">
        <f>'数据-取费表'!B28</f>
        <v>50</v>
      </c>
      <c r="F10" s="265"/>
      <c r="G10" s="270"/>
    </row>
    <row r="11" spans="1:9" s="258" customFormat="1" ht="13.5" hidden="1" customHeight="1">
      <c r="A11" s="271" t="s">
        <v>7</v>
      </c>
      <c r="B11" s="259" t="s">
        <v>2334</v>
      </c>
      <c r="C11" s="255"/>
      <c r="D11" s="1034"/>
      <c r="E11" s="262"/>
      <c r="F11" s="262"/>
      <c r="G11" s="263"/>
    </row>
    <row r="12" spans="1:9" s="258" customFormat="1" ht="13.5" hidden="1" customHeight="1">
      <c r="A12" s="271" t="s">
        <v>8</v>
      </c>
      <c r="B12" s="259" t="s">
        <v>2335</v>
      </c>
      <c r="C12" s="255">
        <v>0</v>
      </c>
      <c r="D12" s="1034"/>
      <c r="E12" s="272"/>
      <c r="F12" s="265">
        <v>3.0499999999999999E-2</v>
      </c>
      <c r="G12" s="263"/>
    </row>
    <row r="13" spans="1:9" s="258" customFormat="1" ht="13.5" hidden="1" customHeight="1">
      <c r="A13" s="271" t="s">
        <v>9</v>
      </c>
      <c r="B13" s="259" t="s">
        <v>2336</v>
      </c>
      <c r="C13" s="255"/>
      <c r="D13" s="1034"/>
      <c r="E13" s="262"/>
      <c r="F13" s="262"/>
      <c r="G13" s="263"/>
    </row>
    <row r="14" spans="1:9" s="258" customFormat="1" ht="13.5" hidden="1" customHeight="1">
      <c r="A14" s="271" t="s">
        <v>10</v>
      </c>
      <c r="B14" s="259" t="s">
        <v>2337</v>
      </c>
      <c r="C14" s="255"/>
      <c r="D14" s="1034"/>
      <c r="E14" s="262"/>
      <c r="F14" s="262"/>
      <c r="G14" s="263" t="s">
        <v>2338</v>
      </c>
    </row>
    <row r="15" spans="1:9" s="258" customFormat="1" ht="13.5" hidden="1" customHeight="1">
      <c r="A15" s="271" t="s">
        <v>11</v>
      </c>
      <c r="B15" s="259" t="s">
        <v>2339</v>
      </c>
      <c r="C15" s="264"/>
      <c r="D15" s="1034"/>
      <c r="E15" s="262"/>
      <c r="F15" s="262"/>
      <c r="G15" s="263" t="s">
        <v>2340</v>
      </c>
    </row>
    <row r="16" spans="1:9" s="258" customFormat="1" ht="13.5" hidden="1" customHeight="1">
      <c r="A16" s="271" t="s">
        <v>12</v>
      </c>
      <c r="B16" s="259" t="s">
        <v>2337</v>
      </c>
      <c r="C16" s="264"/>
      <c r="D16" s="1034"/>
      <c r="E16" s="262"/>
      <c r="F16" s="262"/>
      <c r="G16" s="263"/>
    </row>
    <row r="17" spans="1:7" s="258" customFormat="1" ht="13.5" hidden="1" customHeight="1">
      <c r="A17" s="271" t="s">
        <v>13</v>
      </c>
      <c r="B17" s="259" t="s">
        <v>2341</v>
      </c>
      <c r="C17" s="273"/>
      <c r="D17" s="1035"/>
      <c r="E17" s="273"/>
      <c r="F17" s="273"/>
      <c r="G17" s="263" t="s">
        <v>2340</v>
      </c>
    </row>
    <row r="18" spans="1:7" s="258" customFormat="1" ht="13.5" hidden="1" customHeight="1">
      <c r="A18" s="271" t="s">
        <v>14</v>
      </c>
      <c r="B18" s="259" t="s">
        <v>2342</v>
      </c>
      <c r="C18" s="264">
        <v>0</v>
      </c>
      <c r="D18" s="1034"/>
      <c r="E18" s="262"/>
      <c r="F18" s="265">
        <v>3.0499999999999999E-2</v>
      </c>
      <c r="G18" s="263" t="s">
        <v>2343</v>
      </c>
    </row>
    <row r="19" spans="1:7" s="267" customFormat="1" ht="13.5" customHeight="1">
      <c r="A19" s="299" t="s">
        <v>2344</v>
      </c>
      <c r="B19" s="254" t="s">
        <v>2345</v>
      </c>
      <c r="C19" s="255" t="str">
        <f>IF(G19="已包含在土地取得成本中","0",ROUND(D19*E19/10000,0))</f>
        <v>0</v>
      </c>
      <c r="D19" s="1036">
        <f ca="1">D9+D10</f>
        <v>53306.400000000001</v>
      </c>
      <c r="E19" s="255">
        <f>'数据-取费表'!B31</f>
        <v>50</v>
      </c>
      <c r="F19" s="275"/>
      <c r="G19" s="2546" t="s">
        <v>3326</v>
      </c>
    </row>
    <row r="20" spans="1:7" s="258" customFormat="1" ht="13.5" customHeight="1">
      <c r="A20" s="299" t="s">
        <v>2346</v>
      </c>
      <c r="B20" s="254" t="s">
        <v>2347</v>
      </c>
      <c r="C20" s="276">
        <f>ROUND((C5+C19)*F20,0)</f>
        <v>92</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54">
        <f ca="1">ROUND(SUM(C23:C25),0)</f>
        <v>0</v>
      </c>
      <c r="D22" s="279">
        <f ca="1">C26</f>
        <v>0</v>
      </c>
      <c r="E22" s="280" t="s">
        <v>2351</v>
      </c>
      <c r="F22" s="281">
        <f ca="1">'数据-取费表'!B40</f>
        <v>4.7500000000000001E-2</v>
      </c>
      <c r="G22" s="278" t="str">
        <f>IF('数据-取费表'!B22&lt;=1,"单利计息","复利计息")</f>
        <v>复利计息</v>
      </c>
    </row>
    <row r="23" spans="1:7" s="258" customFormat="1" ht="13.5" customHeight="1">
      <c r="A23" s="951" t="s">
        <v>2355</v>
      </c>
      <c r="B23" s="259" t="s">
        <v>2356</v>
      </c>
      <c r="C23" s="1355">
        <f ca="1">ROUND(IF('数据-取费表'!B22&lt;=1,C5*F22*'数据-取费表'!B23,C5*(POWER((1+F22),'数据-取费表'!B23)-1)),0)</f>
        <v>0</v>
      </c>
      <c r="D23" s="282"/>
      <c r="E23" s="282"/>
      <c r="F23" s="283"/>
      <c r="G23" s="284" t="s">
        <v>2357</v>
      </c>
    </row>
    <row r="24" spans="1:7" s="258" customFormat="1" ht="13.5" customHeight="1">
      <c r="A24" s="951" t="s">
        <v>2358</v>
      </c>
      <c r="B24" s="259" t="s">
        <v>2359</v>
      </c>
      <c r="C24" s="1355">
        <f ca="1">ROUND(IF('数据-取费表'!B22&lt;=1,C19*F22*('数据-取费表'!B19/2+'数据-取费表'!B21),C19*(POWER((1+F22),('数据-取费表'!B19/2+'数据-取费表'!B21))-1)),0)</f>
        <v>0</v>
      </c>
      <c r="D24" s="282"/>
      <c r="E24" s="282"/>
      <c r="F24" s="283"/>
      <c r="G24" s="284" t="s">
        <v>2360</v>
      </c>
    </row>
    <row r="25" spans="1:7" s="258" customFormat="1" ht="24">
      <c r="A25" s="951" t="s">
        <v>2361</v>
      </c>
      <c r="B25" s="259" t="s">
        <v>2362</v>
      </c>
      <c r="C25" s="1355">
        <f ca="1">ROUND(IF('数据-取费表'!B22&lt;=1,C20*F22*'数据-取费表'!B23/2,C20*(POWER((1+F22),'数据-取费表'!B23/2)-1)),0)</f>
        <v>0</v>
      </c>
      <c r="D25" s="282"/>
      <c r="E25" s="285"/>
      <c r="F25" s="283"/>
      <c r="G25" s="286" t="s">
        <v>2363</v>
      </c>
    </row>
    <row r="26" spans="1:7" s="258" customFormat="1">
      <c r="A26" s="951" t="s">
        <v>795</v>
      </c>
      <c r="B26" s="259" t="s">
        <v>2364</v>
      </c>
      <c r="C26" s="282">
        <f ca="1">ROUND(IF('数据-取费表'!B22&lt;=1,F21*F22*'数据-取费表'!B23/2,F21*(POWER((1+F22),'数据-取费表'!B23/2)-1)),4)</f>
        <v>0</v>
      </c>
      <c r="D26" s="282"/>
      <c r="E26" s="285"/>
      <c r="F26" s="283"/>
      <c r="G26" s="287"/>
    </row>
    <row r="27" spans="1:7" s="258" customFormat="1" ht="24.75">
      <c r="A27" s="299" t="s">
        <v>2365</v>
      </c>
      <c r="B27" s="288" t="s">
        <v>2366</v>
      </c>
      <c r="C27" s="289">
        <f ca="1">C28</f>
        <v>0</v>
      </c>
      <c r="D27" s="279">
        <f ca="1">C29</f>
        <v>0</v>
      </c>
      <c r="E27" s="280" t="s">
        <v>2367</v>
      </c>
      <c r="F27" s="290">
        <f ca="1">IF(B1="",'数据-取费表'!Q16,INDIRECT("'数据-取费表'!q"&amp;$G$1))</f>
        <v>0.1</v>
      </c>
      <c r="G27" s="291" t="s">
        <v>2368</v>
      </c>
    </row>
    <row r="28" spans="1:7" s="258" customFormat="1" ht="13.5" customHeight="1">
      <c r="A28" s="951" t="s">
        <v>791</v>
      </c>
      <c r="B28" s="292" t="s">
        <v>2369</v>
      </c>
      <c r="C28" s="293">
        <f ca="1">ROUND((C5+C19+C20)*F27*'数据-取费表'!B21/'数据-取费表'!B20,0)</f>
        <v>0</v>
      </c>
      <c r="D28" s="279"/>
      <c r="E28" s="280"/>
      <c r="F28" s="290"/>
      <c r="G28" s="291"/>
    </row>
    <row r="29" spans="1:7" s="258" customFormat="1" ht="13.5" customHeight="1">
      <c r="A29" s="951" t="s">
        <v>792</v>
      </c>
      <c r="B29" s="292" t="s">
        <v>2370</v>
      </c>
      <c r="C29" s="282">
        <f ca="1">ROUND(C21*F27*'数据-取费表'!B21/'数据-取费表'!B20,4)</f>
        <v>0</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5054</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0</v>
      </c>
      <c r="D33" s="276"/>
      <c r="E33" s="256"/>
      <c r="F33" s="285"/>
      <c r="G33" s="278"/>
    </row>
    <row r="34" spans="1:7" s="302" customFormat="1" ht="13.5" customHeight="1">
      <c r="A34" s="951" t="s">
        <v>791</v>
      </c>
      <c r="B34" s="259" t="s">
        <v>2378</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0</v>
      </c>
      <c r="G34" s="263" t="s">
        <v>2379</v>
      </c>
    </row>
    <row r="35" spans="1:7" ht="13.5" customHeight="1">
      <c r="A35" s="951" t="s">
        <v>796</v>
      </c>
      <c r="B35" s="259" t="s">
        <v>2380</v>
      </c>
      <c r="C35" s="264">
        <f ca="1">ROUND(C34*F35,0)</f>
        <v>0</v>
      </c>
      <c r="D35" s="264"/>
      <c r="E35" s="264"/>
      <c r="F35" s="303">
        <f>'数据-取费表'!B33</f>
        <v>0.03</v>
      </c>
      <c r="G35" s="263" t="s">
        <v>2381</v>
      </c>
    </row>
    <row r="36" spans="1:7" ht="24">
      <c r="A36" s="95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2383</v>
      </c>
    </row>
    <row r="37" spans="1:7" s="302" customFormat="1" ht="13.5" customHeight="1">
      <c r="A37" s="951" t="s">
        <v>798</v>
      </c>
      <c r="B37" s="259" t="s">
        <v>2384</v>
      </c>
      <c r="C37" s="293">
        <f ca="1">ROUND(E37*D37*F34/10000,0)</f>
        <v>0</v>
      </c>
      <c r="D37" s="261">
        <f ca="1">D19</f>
        <v>53306.400000000001</v>
      </c>
      <c r="E37" s="293">
        <f>'数据-取费表'!B35</f>
        <v>150</v>
      </c>
      <c r="F37" s="303"/>
      <c r="G37" s="305" t="s">
        <v>2385</v>
      </c>
    </row>
    <row r="38" spans="1:7" ht="13.5" customHeight="1">
      <c r="A38" s="951" t="s">
        <v>799</v>
      </c>
      <c r="B38" s="259" t="s">
        <v>2386</v>
      </c>
      <c r="C38" s="264">
        <f ca="1">ROUND(C34*F38,0)</f>
        <v>0</v>
      </c>
      <c r="D38" s="264"/>
      <c r="E38" s="264"/>
      <c r="F38" s="303">
        <f>'数据-取费表'!B36</f>
        <v>1.4999999999999999E-2</v>
      </c>
      <c r="G38" s="263" t="s">
        <v>2381</v>
      </c>
    </row>
    <row r="39" spans="1:7" s="258" customFormat="1" ht="13.5" customHeight="1">
      <c r="A39" s="299" t="s">
        <v>2387</v>
      </c>
      <c r="B39" s="254" t="s">
        <v>2388</v>
      </c>
      <c r="C39" s="276">
        <f ca="1">ROUND(C33*F20,0)</f>
        <v>0</v>
      </c>
      <c r="D39" s="276"/>
      <c r="E39" s="276"/>
      <c r="F39" s="277"/>
      <c r="G39" s="278" t="s">
        <v>2389</v>
      </c>
    </row>
    <row r="40" spans="1:7" s="258" customFormat="1" ht="13.5" customHeight="1">
      <c r="A40" s="299" t="s">
        <v>2390</v>
      </c>
      <c r="B40" s="254" t="s">
        <v>2391</v>
      </c>
      <c r="C40" s="1727">
        <f>F21</f>
        <v>0.02</v>
      </c>
      <c r="D40" s="280" t="s">
        <v>2392</v>
      </c>
      <c r="E40" s="276"/>
      <c r="F40" s="277"/>
      <c r="G40" s="278" t="s">
        <v>2393</v>
      </c>
    </row>
    <row r="41" spans="1:7" s="258" customFormat="1" ht="13.5" customHeight="1">
      <c r="A41" s="299" t="s">
        <v>2394</v>
      </c>
      <c r="B41" s="254" t="s">
        <v>2395</v>
      </c>
      <c r="C41" s="276">
        <f ca="1">ROUND(SUM(C42:C43),0)</f>
        <v>0</v>
      </c>
      <c r="D41" s="279">
        <f ca="1">C44</f>
        <v>0</v>
      </c>
      <c r="E41" s="280" t="s">
        <v>2392</v>
      </c>
      <c r="F41" s="281"/>
      <c r="G41" s="278" t="str">
        <f>IF('数据-取费表'!B22&lt;=1,"单利计息","复利计息")</f>
        <v>复利计息</v>
      </c>
    </row>
    <row r="42" spans="1:7" ht="13.5" customHeight="1">
      <c r="A42" s="951" t="s">
        <v>791</v>
      </c>
      <c r="B42" s="259" t="s">
        <v>2396</v>
      </c>
      <c r="C42" s="282">
        <f ca="1">ROUND(IF('数据-取费表'!B22&lt;=1,C33*F22*'数据-取费表'!B21/2,C33*(POWER((1+F22),'数据-取费表'!B21/2)-1)),0)</f>
        <v>0</v>
      </c>
      <c r="D42" s="282"/>
      <c r="E42" s="282"/>
      <c r="F42" s="283"/>
      <c r="G42" s="3207" t="s">
        <v>2397</v>
      </c>
    </row>
    <row r="43" spans="1:7" ht="13.5" customHeight="1">
      <c r="A43" s="951" t="s">
        <v>792</v>
      </c>
      <c r="B43" s="259" t="s">
        <v>2398</v>
      </c>
      <c r="C43" s="282">
        <f ca="1">ROUND(IF('数据-取费表'!B22&lt;=1,C39*F22*'数据-取费表'!B21/2,C39*(POWER((1+F22),'数据-取费表'!B21/2)-1)),0)</f>
        <v>0</v>
      </c>
      <c r="D43" s="282"/>
      <c r="E43" s="282"/>
      <c r="F43" s="283"/>
      <c r="G43" s="3208"/>
    </row>
    <row r="44" spans="1:7" ht="13.5" customHeight="1">
      <c r="A44" s="951" t="s">
        <v>793</v>
      </c>
      <c r="B44" s="259" t="s">
        <v>2399</v>
      </c>
      <c r="C44" s="282">
        <f ca="1">ROUND(IF('数据-取费表'!B22&lt;=1,C40*F22*'数据-取费表'!B21/2,C40*(POWER((1+F22),'数据-取费表'!B21/2)-1)),4)</f>
        <v>0</v>
      </c>
      <c r="D44" s="282"/>
      <c r="E44" s="282"/>
      <c r="F44" s="283"/>
      <c r="G44" s="3209"/>
    </row>
    <row r="45" spans="1:7" s="258" customFormat="1" ht="13.5" customHeight="1">
      <c r="A45" s="299" t="s">
        <v>2400</v>
      </c>
      <c r="B45" s="288" t="s">
        <v>2366</v>
      </c>
      <c r="C45" s="289">
        <f ca="1">C46</f>
        <v>0</v>
      </c>
      <c r="D45" s="279">
        <f ca="1">C47</f>
        <v>2E-3</v>
      </c>
      <c r="E45" s="280" t="s">
        <v>2392</v>
      </c>
      <c r="F45" s="290"/>
      <c r="G45" s="291" t="s">
        <v>2401</v>
      </c>
    </row>
    <row r="46" spans="1:7" s="258" customFormat="1" ht="13.5" customHeight="1">
      <c r="A46" s="951" t="s">
        <v>791</v>
      </c>
      <c r="B46" s="292" t="s">
        <v>2402</v>
      </c>
      <c r="C46" s="293">
        <f ca="1">ROUND((C33+C39)*F27,0)</f>
        <v>0</v>
      </c>
      <c r="D46" s="307"/>
      <c r="E46" s="280"/>
      <c r="F46" s="290"/>
      <c r="G46" s="291"/>
    </row>
    <row r="47" spans="1:7" s="258" customFormat="1" ht="13.5" customHeight="1">
      <c r="A47" s="951" t="s">
        <v>792</v>
      </c>
      <c r="B47" s="292" t="s">
        <v>2403</v>
      </c>
      <c r="C47" s="282">
        <f ca="1">ROUND(C40*F27,4)</f>
        <v>2E-3</v>
      </c>
      <c r="D47" s="307"/>
      <c r="E47" s="280"/>
      <c r="F47" s="290"/>
      <c r="G47" s="291"/>
    </row>
    <row r="48" spans="1:7" s="258" customFormat="1" ht="13.5" customHeight="1">
      <c r="A48" s="299" t="s">
        <v>2365</v>
      </c>
      <c r="B48" s="254" t="s">
        <v>2404</v>
      </c>
      <c r="C48" s="1727">
        <f>ROUND(F30/(1+'数据-取费表'!C42),4)</f>
        <v>5.33E-2</v>
      </c>
      <c r="D48" s="280" t="s">
        <v>2392</v>
      </c>
      <c r="E48" s="276"/>
      <c r="F48" s="281"/>
      <c r="G48" s="278" t="s">
        <v>2405</v>
      </c>
    </row>
    <row r="49" spans="1:7" ht="16.5" customHeight="1">
      <c r="A49" s="299" t="s">
        <v>2371</v>
      </c>
      <c r="B49" s="254" t="s">
        <v>2406</v>
      </c>
      <c r="C49" s="276">
        <f ca="1">ROUND((C33+C39+C41+C45)/(1-C40-D41-D45-C48),0)</f>
        <v>0</v>
      </c>
      <c r="D49" s="276"/>
      <c r="E49" s="276"/>
      <c r="F49" s="308"/>
      <c r="G49" s="278" t="s">
        <v>2407</v>
      </c>
    </row>
    <row r="50" spans="1:7" s="302" customFormat="1" ht="24">
      <c r="A50" s="299" t="s">
        <v>2408</v>
      </c>
      <c r="B50" s="254" t="s">
        <v>2409</v>
      </c>
      <c r="C50" s="276"/>
      <c r="D50" s="276"/>
      <c r="E50" s="276"/>
      <c r="F50" s="308">
        <f>IF('数据-取费表'!B24=0,'数据-取费表'!N16,1)</f>
        <v>1</v>
      </c>
      <c r="G50" s="291" t="s">
        <v>2410</v>
      </c>
    </row>
    <row r="51" spans="1:7" ht="16.5" customHeight="1">
      <c r="A51" s="299" t="s">
        <v>2411</v>
      </c>
      <c r="B51" s="254" t="s">
        <v>2412</v>
      </c>
      <c r="C51" s="276">
        <f ca="1">ROUND(C49*F50,0)</f>
        <v>0</v>
      </c>
      <c r="D51" s="276"/>
      <c r="E51" s="276"/>
      <c r="F51" s="308"/>
      <c r="G51" s="278" t="s">
        <v>2413</v>
      </c>
    </row>
    <row r="52" spans="1:7" s="252" customFormat="1" ht="16.5" thickBot="1">
      <c r="A52" s="309" t="s">
        <v>2414</v>
      </c>
      <c r="B52" s="310"/>
      <c r="C52" s="311">
        <f ca="1">C31+C51</f>
        <v>5054</v>
      </c>
      <c r="D52" s="310"/>
      <c r="E52" s="310"/>
      <c r="F52" s="310"/>
      <c r="G52" s="312"/>
    </row>
    <row r="55" spans="1:7" ht="15">
      <c r="B55" s="314" t="s">
        <v>2415</v>
      </c>
      <c r="C55" s="315"/>
    </row>
    <row r="56" spans="1:7">
      <c r="B56" s="317" t="s">
        <v>1508</v>
      </c>
      <c r="C56" s="319">
        <f ca="1">1-C57</f>
        <v>1</v>
      </c>
    </row>
    <row r="57" spans="1:7">
      <c r="B57" s="317" t="s">
        <v>1509</v>
      </c>
      <c r="C57" s="318">
        <f ca="1">ROUND(C51/C52,3)</f>
        <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35"/>
      <c r="C1" s="2549" t="s">
        <v>2416</v>
      </c>
      <c r="D1" s="242"/>
      <c r="E1" s="242"/>
      <c r="F1" s="242"/>
      <c r="G1" s="1379">
        <f>MATCH(B1,'数据-取费表'!A6:A16,0)+5</f>
        <v>8</v>
      </c>
      <c r="H1" s="1282" t="str">
        <f>IF(ISERROR(FIND("住宅",B1)),"非住宅","住宅")</f>
        <v>非住宅</v>
      </c>
    </row>
    <row r="2" spans="1:8" s="244" customFormat="1" ht="18" customHeight="1">
      <c r="A2" s="245" t="s">
        <v>2315</v>
      </c>
      <c r="B2" s="246">
        <f ca="1">ROUND(IF(D2="——",C52/10000,C52/10000-E2),0)</f>
        <v>20039</v>
      </c>
      <c r="C2" s="243" t="s">
        <v>2316</v>
      </c>
      <c r="D2" s="2543" t="s">
        <v>70</v>
      </c>
      <c r="E2" s="1440" t="e">
        <f ca="1">SUMIF(INDIRECT("'"&amp;G2&amp;"'"&amp;"!A:A"),"承租人权益价值",INDIRECT("'"&amp;G2&amp;"'"&amp;"!c:c"))</f>
        <v>#REF!</v>
      </c>
      <c r="F2" s="2544" t="s">
        <v>2316</v>
      </c>
      <c r="G2" s="2545"/>
    </row>
    <row r="3" spans="1:8" s="244" customFormat="1" ht="18" customHeight="1" thickBot="1">
      <c r="A3" s="247" t="s">
        <v>2317</v>
      </c>
      <c r="B3" s="248">
        <f ca="1">ROUND(B2*10000/(IF(B1="",'数据-汇总表'!E3,INDIRECT("'数据-取费表'!k"&amp;$G$1))),0)</f>
        <v>3759</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2665320</v>
      </c>
      <c r="D5" s="255" t="s">
        <v>2322</v>
      </c>
      <c r="E5" s="256" t="s">
        <v>2323</v>
      </c>
      <c r="F5" s="256" t="s">
        <v>2324</v>
      </c>
      <c r="G5" s="257"/>
    </row>
    <row r="6" spans="1:8" s="258" customFormat="1" ht="13.5" customHeight="1">
      <c r="A6" s="949" t="s">
        <v>2325</v>
      </c>
      <c r="B6" s="259" t="s">
        <v>2326</v>
      </c>
      <c r="C6" s="260"/>
      <c r="D6" s="261"/>
      <c r="E6" s="262"/>
      <c r="F6" s="262"/>
      <c r="G6" s="263"/>
    </row>
    <row r="7" spans="1:8" s="258" customFormat="1" ht="13.5" customHeight="1">
      <c r="A7" s="949" t="s">
        <v>2327</v>
      </c>
      <c r="B7" s="259" t="s">
        <v>2328</v>
      </c>
      <c r="C7" s="264">
        <f>ROUND(C6*F7,0)</f>
        <v>0</v>
      </c>
      <c r="D7" s="264"/>
      <c r="E7" s="262"/>
      <c r="F7" s="265">
        <f>IF(项目基本情况!B8="出让",0,'数据-取费表'!B48+'数据-取费表'!B49)</f>
        <v>3.0499999999999999E-2</v>
      </c>
      <c r="G7" s="263"/>
    </row>
    <row r="8" spans="1:8" s="267" customFormat="1">
      <c r="A8" s="949" t="s">
        <v>2329</v>
      </c>
      <c r="B8" s="259" t="s">
        <v>2330</v>
      </c>
      <c r="C8" s="264">
        <f ca="1">IF(G8="已包含在土地购买价格中",0,C9+C10)</f>
        <v>2665320</v>
      </c>
      <c r="D8" s="266"/>
      <c r="E8" s="264"/>
      <c r="F8" s="265"/>
      <c r="G8" s="2546"/>
    </row>
    <row r="9" spans="1:8" s="258" customFormat="1" ht="13.5" customHeight="1">
      <c r="A9" s="950" t="s">
        <v>800</v>
      </c>
      <c r="B9" s="268" t="s">
        <v>2331</v>
      </c>
      <c r="C9" s="269">
        <f ca="1">ROUND(D9*E9,0)</f>
        <v>2132256</v>
      </c>
      <c r="D9" s="1032">
        <f ca="1">IF(B1="",'数据-汇总表'!E5,IF(INDIRECT("'数据-取费表'!c"&amp;$G$1)="住宅",INDIRECT("'数据-取费表'!k"&amp;$G$1),0))</f>
        <v>42645.120000000003</v>
      </c>
      <c r="E9" s="269">
        <f>'数据-取费表'!B27</f>
        <v>50</v>
      </c>
      <c r="F9" s="265"/>
      <c r="G9" s="270"/>
    </row>
    <row r="10" spans="1:8" s="258" customFormat="1" ht="13.5" customHeight="1">
      <c r="A10" s="950" t="s">
        <v>801</v>
      </c>
      <c r="B10" s="268" t="s">
        <v>2333</v>
      </c>
      <c r="C10" s="269">
        <f ca="1">ROUND(D10*E10,0)</f>
        <v>533064</v>
      </c>
      <c r="D10" s="1032">
        <f ca="1">IF(B1="",'数据-汇总表'!E6,IF(INDIRECT("'数据-取费表'!c"&amp;$G$1)="住宅",INDIRECT("'数据-取费表'!s"&amp;$G$1),INDIRECT("'数据-取费表'!k"&amp;$G$1)+INDIRECT("'数据-取费表'!s"&amp;$G$1)))</f>
        <v>10661.279999999999</v>
      </c>
      <c r="E10" s="269">
        <f>'数据-取费表'!B28</f>
        <v>50</v>
      </c>
      <c r="F10" s="265"/>
      <c r="G10" s="270"/>
    </row>
    <row r="11" spans="1:8" s="258" customFormat="1" ht="13.5" hidden="1" customHeight="1">
      <c r="A11" s="271" t="s">
        <v>7</v>
      </c>
      <c r="B11" s="259" t="s">
        <v>2334</v>
      </c>
      <c r="C11" s="255"/>
      <c r="D11" s="1034"/>
      <c r="E11" s="262"/>
      <c r="F11" s="262"/>
      <c r="G11" s="263"/>
    </row>
    <row r="12" spans="1:8" s="258" customFormat="1" ht="13.5" hidden="1" customHeight="1">
      <c r="A12" s="271" t="s">
        <v>8</v>
      </c>
      <c r="B12" s="259" t="s">
        <v>2417</v>
      </c>
      <c r="C12" s="255">
        <v>0</v>
      </c>
      <c r="D12" s="1034"/>
      <c r="E12" s="272"/>
      <c r="F12" s="265">
        <v>3.0499999999999999E-2</v>
      </c>
      <c r="G12" s="263"/>
    </row>
    <row r="13" spans="1:8" s="258" customFormat="1" ht="13.5" hidden="1" customHeight="1">
      <c r="A13" s="271" t="s">
        <v>9</v>
      </c>
      <c r="B13" s="259" t="s">
        <v>2418</v>
      </c>
      <c r="C13" s="255"/>
      <c r="D13" s="1034"/>
      <c r="E13" s="262"/>
      <c r="F13" s="262"/>
      <c r="G13" s="263"/>
    </row>
    <row r="14" spans="1:8" s="258" customFormat="1" ht="13.5" hidden="1" customHeight="1">
      <c r="A14" s="271" t="s">
        <v>10</v>
      </c>
      <c r="B14" s="259" t="s">
        <v>2330</v>
      </c>
      <c r="C14" s="255"/>
      <c r="D14" s="1034"/>
      <c r="E14" s="262"/>
      <c r="F14" s="262"/>
      <c r="G14" s="263" t="s">
        <v>2419</v>
      </c>
    </row>
    <row r="15" spans="1:8" s="258" customFormat="1" ht="13.5" hidden="1" customHeight="1">
      <c r="A15" s="271" t="s">
        <v>11</v>
      </c>
      <c r="B15" s="259" t="s">
        <v>2420</v>
      </c>
      <c r="C15" s="264"/>
      <c r="D15" s="1034"/>
      <c r="E15" s="262"/>
      <c r="F15" s="262"/>
      <c r="G15" s="263" t="s">
        <v>2421</v>
      </c>
    </row>
    <row r="16" spans="1:8" s="258" customFormat="1" ht="13.5" hidden="1" customHeight="1">
      <c r="A16" s="271" t="s">
        <v>12</v>
      </c>
      <c r="B16" s="259" t="s">
        <v>2330</v>
      </c>
      <c r="C16" s="264"/>
      <c r="D16" s="1034"/>
      <c r="E16" s="262"/>
      <c r="F16" s="262"/>
      <c r="G16" s="263"/>
    </row>
    <row r="17" spans="1:7" s="258" customFormat="1" ht="13.5" hidden="1" customHeight="1">
      <c r="A17" s="271" t="s">
        <v>13</v>
      </c>
      <c r="B17" s="259" t="s">
        <v>2422</v>
      </c>
      <c r="C17" s="273"/>
      <c r="D17" s="1035"/>
      <c r="E17" s="273"/>
      <c r="F17" s="273"/>
      <c r="G17" s="263" t="s">
        <v>2421</v>
      </c>
    </row>
    <row r="18" spans="1:7" s="258" customFormat="1" ht="13.5" hidden="1" customHeight="1">
      <c r="A18" s="271" t="s">
        <v>14</v>
      </c>
      <c r="B18" s="259" t="s">
        <v>2423</v>
      </c>
      <c r="C18" s="264">
        <v>0</v>
      </c>
      <c r="D18" s="1034"/>
      <c r="E18" s="262"/>
      <c r="F18" s="265">
        <v>3.0499999999999999E-2</v>
      </c>
      <c r="G18" s="263" t="s">
        <v>2424</v>
      </c>
    </row>
    <row r="19" spans="1:7" s="267" customFormat="1" ht="13.5" customHeight="1">
      <c r="A19" s="299" t="s">
        <v>2425</v>
      </c>
      <c r="B19" s="254" t="s">
        <v>2426</v>
      </c>
      <c r="C19" s="255">
        <f ca="1">IF(G19="已包含在土地取得成本中","0",ROUND(D19*E19,0))</f>
        <v>2665320</v>
      </c>
      <c r="D19" s="1036">
        <f ca="1">D9+D10</f>
        <v>53306.400000000001</v>
      </c>
      <c r="E19" s="255">
        <f>'数据-取费表'!B31</f>
        <v>50</v>
      </c>
      <c r="F19" s="275"/>
      <c r="G19" s="2546"/>
    </row>
    <row r="20" spans="1:7" s="258" customFormat="1" ht="13.5" customHeight="1">
      <c r="A20" s="299" t="s">
        <v>2427</v>
      </c>
      <c r="B20" s="254" t="s">
        <v>2428</v>
      </c>
      <c r="C20" s="276">
        <f ca="1">ROUND((C5+C19)*F20,0)</f>
        <v>106613</v>
      </c>
      <c r="D20" s="276"/>
      <c r="E20" s="276"/>
      <c r="F20" s="277">
        <f>'数据-取费表'!B37</f>
        <v>0.02</v>
      </c>
      <c r="G20" s="278" t="s">
        <v>2429</v>
      </c>
    </row>
    <row r="21" spans="1:7" s="258" customFormat="1" ht="13.5" customHeight="1">
      <c r="A21" s="299" t="s">
        <v>2430</v>
      </c>
      <c r="B21" s="254" t="s">
        <v>2431</v>
      </c>
      <c r="C21" s="279">
        <f>F21</f>
        <v>0.02</v>
      </c>
      <c r="D21" s="280" t="s">
        <v>2432</v>
      </c>
      <c r="E21" s="276"/>
      <c r="F21" s="277">
        <f>'数据-取费表'!B38</f>
        <v>0.02</v>
      </c>
      <c r="G21" s="278" t="s">
        <v>2433</v>
      </c>
    </row>
    <row r="22" spans="1:7" s="258" customFormat="1" ht="13.5" customHeight="1">
      <c r="A22" s="299" t="s">
        <v>2434</v>
      </c>
      <c r="B22" s="254" t="s">
        <v>2435</v>
      </c>
      <c r="C22" s="1380">
        <f ca="1">ROUND(SUM(C23:C25),0)</f>
        <v>523502</v>
      </c>
      <c r="D22" s="279">
        <f ca="1">C26</f>
        <v>1E-3</v>
      </c>
      <c r="E22" s="280" t="s">
        <v>2432</v>
      </c>
      <c r="F22" s="281">
        <f ca="1">'数据-取费表'!B40</f>
        <v>4.7500000000000001E-2</v>
      </c>
      <c r="G22" s="278" t="str">
        <f>IF('数据-取费表'!B22&lt;=1,"单利计息","复利计息")</f>
        <v>复利计息</v>
      </c>
    </row>
    <row r="23" spans="1:7" s="258" customFormat="1" ht="13.5" customHeight="1">
      <c r="A23" s="951" t="s">
        <v>2325</v>
      </c>
      <c r="B23" s="259" t="s">
        <v>2436</v>
      </c>
      <c r="C23" s="1381">
        <f ca="1">ROUND(IF('数据-取费表'!B22&lt;=1,C5*F22*'数据-取费表'!B22,C5*(POWER((1+F22),'数据-取费表'!B22)-1)),0)</f>
        <v>259219</v>
      </c>
      <c r="D23" s="282"/>
      <c r="E23" s="282"/>
      <c r="F23" s="283"/>
      <c r="G23" s="284" t="s">
        <v>2437</v>
      </c>
    </row>
    <row r="24" spans="1:7" s="258" customFormat="1" ht="13.5" customHeight="1">
      <c r="A24" s="951" t="s">
        <v>2327</v>
      </c>
      <c r="B24" s="259" t="s">
        <v>2438</v>
      </c>
      <c r="C24" s="1381">
        <f ca="1">ROUND(IF('数据-取费表'!B22&lt;=1,C19*F22*('数据-取费表'!B19/2+'数据-取费表'!B20),C19*(POWER((1+F22),('数据-取费表'!B19/2+'数据-取费表'!B20))-1)),0)</f>
        <v>259219</v>
      </c>
      <c r="D24" s="282"/>
      <c r="E24" s="282"/>
      <c r="F24" s="283"/>
      <c r="G24" s="284" t="s">
        <v>2439</v>
      </c>
    </row>
    <row r="25" spans="1:7" s="258" customFormat="1" ht="24">
      <c r="A25" s="951" t="s">
        <v>2329</v>
      </c>
      <c r="B25" s="259" t="s">
        <v>2440</v>
      </c>
      <c r="C25" s="1381">
        <f ca="1">ROUND(IF('数据-取费表'!B22&lt;=1,C20*F22*'数据-取费表'!B22/2,C20*(POWER((1+F22),'数据-取费表'!B22/2)-1)),0)</f>
        <v>5064</v>
      </c>
      <c r="D25" s="282"/>
      <c r="E25" s="285"/>
      <c r="F25" s="283"/>
      <c r="G25" s="286" t="s">
        <v>2441</v>
      </c>
    </row>
    <row r="26" spans="1:7" s="258" customFormat="1">
      <c r="A26" s="951" t="s">
        <v>795</v>
      </c>
      <c r="B26" s="259" t="s">
        <v>2364</v>
      </c>
      <c r="C26" s="282">
        <f ca="1">ROUND(IF('数据-取费表'!B22&lt;=1,F21*F22*'数据-取费表'!B22/2,F21*(POWER((1+F22),'数据-取费表'!B22/2)-1)),4)</f>
        <v>1E-3</v>
      </c>
      <c r="D26" s="282"/>
      <c r="E26" s="285"/>
      <c r="F26" s="283"/>
      <c r="G26" s="287"/>
    </row>
    <row r="27" spans="1:7" s="258" customFormat="1" ht="24.75">
      <c r="A27" s="299" t="s">
        <v>2365</v>
      </c>
      <c r="B27" s="288" t="s">
        <v>2366</v>
      </c>
      <c r="C27" s="289">
        <f ca="1">C28</f>
        <v>543725</v>
      </c>
      <c r="D27" s="279">
        <f ca="1">C29</f>
        <v>2E-3</v>
      </c>
      <c r="E27" s="280" t="s">
        <v>2367</v>
      </c>
      <c r="F27" s="290">
        <f ca="1">IF(B1="",'数据-取费表'!Q16,INDIRECT("'数据-取费表'!q"&amp;$G$1))</f>
        <v>0.1</v>
      </c>
      <c r="G27" s="291" t="s">
        <v>2368</v>
      </c>
    </row>
    <row r="28" spans="1:7" s="258" customFormat="1" ht="13.5" customHeight="1">
      <c r="A28" s="951" t="s">
        <v>791</v>
      </c>
      <c r="B28" s="292" t="s">
        <v>2369</v>
      </c>
      <c r="C28" s="293">
        <f ca="1">ROUND((C5+C19+C20)*F27,0)</f>
        <v>543725</v>
      </c>
      <c r="D28" s="279"/>
      <c r="E28" s="280"/>
      <c r="F28" s="290"/>
      <c r="G28" s="291"/>
    </row>
    <row r="29" spans="1:7" s="258" customFormat="1" ht="13.5" customHeight="1">
      <c r="A29" s="951" t="s">
        <v>792</v>
      </c>
      <c r="B29" s="292" t="s">
        <v>2370</v>
      </c>
      <c r="C29" s="282">
        <f ca="1">ROUND(C21*F27,4)</f>
        <v>2E-3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7041767</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152589570</v>
      </c>
      <c r="D33" s="276"/>
      <c r="E33" s="256"/>
      <c r="F33" s="285"/>
      <c r="G33" s="278"/>
    </row>
    <row r="34" spans="1:7" s="302" customFormat="1" ht="13.5" customHeight="1">
      <c r="A34" s="951" t="s">
        <v>791</v>
      </c>
      <c r="B34" s="259" t="s">
        <v>2378</v>
      </c>
      <c r="C34" s="264">
        <f ca="1">ROUND(IF(B1="",SUMPRODUCT('数据-取费表'!K6:K14,'数据-取费表'!L6:L14),INDIRECT("'数据-取费表'!l"&amp;$G$1)*INDIRECT("'数据-取费表'!k"&amp;$G$1)+'数据-取费表'!L14*INDIRECT("'数据-取费表'!S"&amp;$G$1)),0)</f>
        <v>133266000</v>
      </c>
      <c r="D34" s="261"/>
      <c r="E34" s="264"/>
      <c r="F34" s="301"/>
      <c r="G34" s="263"/>
    </row>
    <row r="35" spans="1:7" ht="13.5" customHeight="1">
      <c r="A35" s="951" t="s">
        <v>796</v>
      </c>
      <c r="B35" s="259" t="s">
        <v>2380</v>
      </c>
      <c r="C35" s="264">
        <f ca="1">ROUND(C34*F35,0)</f>
        <v>3997980</v>
      </c>
      <c r="D35" s="264"/>
      <c r="E35" s="264"/>
      <c r="F35" s="303">
        <f>'数据-取费表'!B33</f>
        <v>0.03</v>
      </c>
      <c r="G35" s="263" t="s">
        <v>2381</v>
      </c>
    </row>
    <row r="36" spans="1:7" ht="24">
      <c r="A36" s="951" t="s">
        <v>797</v>
      </c>
      <c r="B36" s="259" t="s">
        <v>2382</v>
      </c>
      <c r="C36" s="264">
        <f ca="1">ROUND(IF(B1="",SUM('数据-取费表'!AP6:AP13)*F36,IF(INDIRECT("'数据-取费表'!c"&amp;$G$1)="住宅",INDIRECT("'数据-取费表'!k"&amp;$G$1)*INDIRECT("'数据-取费表'!l"&amp;$G$1)*F36,0)),0)</f>
        <v>5330640</v>
      </c>
      <c r="D36" s="264"/>
      <c r="E36" s="264"/>
      <c r="F36" s="303">
        <f>'数据-取费表'!B34</f>
        <v>0.05</v>
      </c>
      <c r="G36" s="304" t="s">
        <v>2383</v>
      </c>
    </row>
    <row r="37" spans="1:7" s="302" customFormat="1" ht="13.5" customHeight="1">
      <c r="A37" s="951" t="s">
        <v>798</v>
      </c>
      <c r="B37" s="259" t="s">
        <v>2384</v>
      </c>
      <c r="C37" s="293">
        <f ca="1">ROUND(E37*D37,0)</f>
        <v>7995960</v>
      </c>
      <c r="D37" s="261">
        <f ca="1">D19</f>
        <v>53306.400000000001</v>
      </c>
      <c r="E37" s="293">
        <f>'数据-取费表'!B35</f>
        <v>150</v>
      </c>
      <c r="F37" s="303"/>
      <c r="G37" s="305"/>
    </row>
    <row r="38" spans="1:7" ht="13.5" customHeight="1">
      <c r="A38" s="951" t="s">
        <v>799</v>
      </c>
      <c r="B38" s="259" t="s">
        <v>2386</v>
      </c>
      <c r="C38" s="264">
        <f ca="1">ROUND(C34*F38,0)</f>
        <v>1998990</v>
      </c>
      <c r="D38" s="264"/>
      <c r="E38" s="264"/>
      <c r="F38" s="303">
        <f>'数据-取费表'!B36</f>
        <v>1.4999999999999999E-2</v>
      </c>
      <c r="G38" s="263" t="s">
        <v>2381</v>
      </c>
    </row>
    <row r="39" spans="1:7" s="258" customFormat="1" ht="13.5" customHeight="1">
      <c r="A39" s="299" t="s">
        <v>2387</v>
      </c>
      <c r="B39" s="254" t="s">
        <v>2388</v>
      </c>
      <c r="C39" s="276">
        <f ca="1">ROUND(C33*F20,0)</f>
        <v>3051791</v>
      </c>
      <c r="D39" s="276"/>
      <c r="E39" s="276"/>
      <c r="F39" s="277"/>
      <c r="G39" s="278" t="s">
        <v>2389</v>
      </c>
    </row>
    <row r="40" spans="1:7" s="258" customFormat="1" ht="13.5" customHeight="1">
      <c r="A40" s="299" t="s">
        <v>2390</v>
      </c>
      <c r="B40" s="254" t="s">
        <v>2391</v>
      </c>
      <c r="C40" s="1727">
        <f>F21</f>
        <v>0.02</v>
      </c>
      <c r="D40" s="280" t="s">
        <v>2392</v>
      </c>
      <c r="E40" s="276"/>
      <c r="F40" s="277"/>
      <c r="G40" s="278" t="s">
        <v>2393</v>
      </c>
    </row>
    <row r="41" spans="1:7" s="258" customFormat="1" ht="13.5" customHeight="1">
      <c r="A41" s="299" t="s">
        <v>2394</v>
      </c>
      <c r="B41" s="254" t="s">
        <v>2395</v>
      </c>
      <c r="C41" s="276">
        <f ca="1">ROUND(SUM(C42:C43),0)</f>
        <v>7392965</v>
      </c>
      <c r="D41" s="279">
        <f ca="1">C44</f>
        <v>1E-3</v>
      </c>
      <c r="E41" s="280" t="s">
        <v>2392</v>
      </c>
      <c r="F41" s="281"/>
      <c r="G41" s="278" t="str">
        <f>IF('数据-取费表'!B22&lt;=1,"单利计息","复利计息")</f>
        <v>复利计息</v>
      </c>
    </row>
    <row r="42" spans="1:7" ht="13.5" customHeight="1">
      <c r="A42" s="951" t="s">
        <v>791</v>
      </c>
      <c r="B42" s="259" t="s">
        <v>2396</v>
      </c>
      <c r="C42" s="282">
        <f ca="1">ROUND(IF('数据-取费表'!B22&lt;=1,C33*F22*'数据-取费表'!B20/2,C33*(POWER((1+F22),'数据-取费表'!B20/2)-1)),0)</f>
        <v>7248005</v>
      </c>
      <c r="D42" s="282"/>
      <c r="E42" s="282"/>
      <c r="F42" s="283"/>
      <c r="G42" s="3207" t="s">
        <v>2444</v>
      </c>
    </row>
    <row r="43" spans="1:7" ht="13.5" customHeight="1">
      <c r="A43" s="951" t="s">
        <v>792</v>
      </c>
      <c r="B43" s="259" t="s">
        <v>2398</v>
      </c>
      <c r="C43" s="282">
        <f ca="1">ROUND(IF('数据-取费表'!B22&lt;=1,C39*F22*'数据-取费表'!B20/2,C39*(POWER((1+F22),'数据-取费表'!B20/2)-1)),0)</f>
        <v>144960</v>
      </c>
      <c r="D43" s="282"/>
      <c r="E43" s="282"/>
      <c r="F43" s="283"/>
      <c r="G43" s="3208"/>
    </row>
    <row r="44" spans="1:7" ht="13.5" customHeight="1">
      <c r="A44" s="951" t="s">
        <v>793</v>
      </c>
      <c r="B44" s="259" t="s">
        <v>2399</v>
      </c>
      <c r="C44" s="282">
        <f ca="1">ROUND(IF('数据-取费表'!B22&lt;=1,C40*F22*'数据-取费表'!B20/2,C40*(POWER((1+F22),'数据-取费表'!B20/2)-1)),4)</f>
        <v>1E-3</v>
      </c>
      <c r="D44" s="282"/>
      <c r="E44" s="282"/>
      <c r="F44" s="283"/>
      <c r="G44" s="3209"/>
    </row>
    <row r="45" spans="1:7" s="258" customFormat="1" ht="13.5" customHeight="1">
      <c r="A45" s="299" t="s">
        <v>2400</v>
      </c>
      <c r="B45" s="288" t="s">
        <v>2366</v>
      </c>
      <c r="C45" s="289">
        <f ca="1">C46</f>
        <v>15564136</v>
      </c>
      <c r="D45" s="279">
        <f ca="1">C47</f>
        <v>2E-3</v>
      </c>
      <c r="E45" s="280" t="s">
        <v>2392</v>
      </c>
      <c r="F45" s="290"/>
      <c r="G45" s="291" t="s">
        <v>2401</v>
      </c>
    </row>
    <row r="46" spans="1:7" s="258" customFormat="1" ht="13.5" customHeight="1">
      <c r="A46" s="951" t="s">
        <v>791</v>
      </c>
      <c r="B46" s="292" t="s">
        <v>2402</v>
      </c>
      <c r="C46" s="293">
        <f ca="1">ROUND((C33+C39)*F27,0)</f>
        <v>15564136</v>
      </c>
      <c r="D46" s="307"/>
      <c r="E46" s="280"/>
      <c r="F46" s="290"/>
      <c r="G46" s="291"/>
    </row>
    <row r="47" spans="1:7" s="258" customFormat="1" ht="13.5" customHeight="1">
      <c r="A47" s="951" t="s">
        <v>792</v>
      </c>
      <c r="B47" s="292" t="s">
        <v>2403</v>
      </c>
      <c r="C47" s="282">
        <f ca="1">ROUND(C40*F27,4)</f>
        <v>2E-3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193351155</v>
      </c>
      <c r="D49" s="276"/>
      <c r="E49" s="276"/>
      <c r="F49" s="308"/>
      <c r="G49" s="278" t="s">
        <v>2407</v>
      </c>
    </row>
    <row r="50" spans="1:7" s="302" customFormat="1">
      <c r="A50" s="299" t="s">
        <v>2408</v>
      </c>
      <c r="B50" s="254" t="s">
        <v>2409</v>
      </c>
      <c r="C50" s="276"/>
      <c r="D50" s="276"/>
      <c r="E50" s="276"/>
      <c r="F50" s="308">
        <f>IF('数据-取费表'!B24=0,'数据-取费表'!N16,1)</f>
        <v>1</v>
      </c>
      <c r="G50" s="291"/>
    </row>
    <row r="51" spans="1:7" ht="16.5" customHeight="1">
      <c r="A51" s="299" t="s">
        <v>2411</v>
      </c>
      <c r="B51" s="254" t="s">
        <v>2446</v>
      </c>
      <c r="C51" s="276">
        <f ca="1">ROUND(C49*F50,0)</f>
        <v>193351155</v>
      </c>
      <c r="D51" s="276"/>
      <c r="E51" s="276"/>
      <c r="F51" s="308"/>
      <c r="G51" s="278" t="s">
        <v>2413</v>
      </c>
    </row>
    <row r="52" spans="1:7" s="252" customFormat="1" ht="16.5" thickBot="1">
      <c r="A52" s="309" t="s">
        <v>2414</v>
      </c>
      <c r="B52" s="310"/>
      <c r="C52" s="311">
        <f ca="1">C31+C51</f>
        <v>200392922</v>
      </c>
      <c r="D52" s="310"/>
      <c r="E52" s="310"/>
      <c r="F52" s="310"/>
      <c r="G52" s="312"/>
    </row>
    <row r="55" spans="1:7" ht="15">
      <c r="B55" s="314" t="s">
        <v>2415</v>
      </c>
      <c r="C55" s="315"/>
    </row>
    <row r="56" spans="1:7">
      <c r="B56" s="317" t="s">
        <v>1508</v>
      </c>
      <c r="C56" s="319">
        <f ca="1">1-C57</f>
        <v>3.5000000000000031E-2</v>
      </c>
    </row>
    <row r="57" spans="1:7">
      <c r="B57" s="317" t="s">
        <v>1509</v>
      </c>
      <c r="C57" s="318">
        <f ca="1">ROUND(C51/C52,3)</f>
        <v>0.96499999999999997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J44" sqref="J4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2447</v>
      </c>
      <c r="B1" s="1580"/>
      <c r="C1" s="1581"/>
      <c r="D1" s="1579"/>
      <c r="E1" s="320"/>
      <c r="F1" s="320"/>
      <c r="G1" s="1580"/>
      <c r="H1" s="320"/>
      <c r="I1" s="320"/>
      <c r="J1" s="320"/>
      <c r="K1" s="320">
        <f>MATCH(C1,'数据-取费表'!A6:A16,0)+5</f>
        <v>8</v>
      </c>
    </row>
    <row r="2" spans="1:33" ht="18" customHeight="1">
      <c r="A2" s="245" t="s">
        <v>2315</v>
      </c>
      <c r="B2" s="248">
        <f ca="1">C32</f>
        <v>4841</v>
      </c>
      <c r="C2" s="320" t="s">
        <v>2448</v>
      </c>
      <c r="D2" s="320"/>
      <c r="E2" s="320"/>
      <c r="F2" s="320"/>
      <c r="G2" s="320"/>
      <c r="H2" s="320"/>
      <c r="I2" s="320"/>
      <c r="J2" s="320"/>
      <c r="K2" s="320"/>
    </row>
    <row r="3" spans="1:33" ht="18" customHeight="1" thickBot="1">
      <c r="A3" s="247" t="s">
        <v>2317</v>
      </c>
      <c r="B3" s="248">
        <f ca="1">ROUND(B2*10000/IF(C1="",'数据-汇总表'!E3,INDIRECT("'数据-取费表'!K"&amp;$K$1)),0)</f>
        <v>908</v>
      </c>
      <c r="C3" s="320" t="s">
        <v>2449</v>
      </c>
      <c r="D3" s="320"/>
      <c r="E3" s="320"/>
      <c r="F3" s="320"/>
      <c r="G3" s="320"/>
      <c r="H3" s="320"/>
      <c r="I3" s="320"/>
      <c r="J3" s="320"/>
      <c r="K3" s="320"/>
    </row>
    <row r="4" spans="1:33" s="956" customFormat="1" ht="16.5" customHeight="1">
      <c r="A4" s="953" t="s">
        <v>2450</v>
      </c>
      <c r="B4" s="954"/>
      <c r="C4" s="996">
        <f ca="1">SUM(C8:K8)</f>
        <v>26803</v>
      </c>
      <c r="D4" s="954"/>
      <c r="E4" s="954"/>
      <c r="F4" s="954"/>
      <c r="G4" s="954"/>
      <c r="H4" s="954"/>
      <c r="I4" s="954"/>
      <c r="J4" s="954"/>
      <c r="K4" s="955"/>
    </row>
    <row r="5" spans="1:33" s="960" customFormat="1" ht="15">
      <c r="A5" s="957" t="s">
        <v>2451</v>
      </c>
      <c r="B5" s="958" t="s">
        <v>2452</v>
      </c>
      <c r="C5" s="2550" t="s">
        <v>3339</v>
      </c>
      <c r="D5" s="2550" t="s">
        <v>1373</v>
      </c>
      <c r="E5" s="2550"/>
      <c r="F5" s="2550"/>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2453</v>
      </c>
      <c r="C6" s="962">
        <f>'比较法-住宅'!B3</f>
        <v>5240</v>
      </c>
      <c r="D6" s="962">
        <f ca="1">收益法!B3</f>
        <v>4181</v>
      </c>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2454</v>
      </c>
      <c r="B7" s="140" t="s">
        <v>2455</v>
      </c>
      <c r="C7" s="321">
        <f>SUMIF('数据-汇总表'!$C19:$C33,假设开发法!C5,'数据-汇总表'!$E19:$E33)</f>
        <v>42645.120000000003</v>
      </c>
      <c r="D7" s="321">
        <f>SUMIF('数据-汇总表'!$C19:$C33,假设开发法!D5,'数据-汇总表'!$E19:$E33)</f>
        <v>10661.28</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2456</v>
      </c>
      <c r="B8" s="177" t="s">
        <v>2457</v>
      </c>
      <c r="C8" s="997">
        <f>ROUND(C6*C7/10000,0)</f>
        <v>22346</v>
      </c>
      <c r="D8" s="997">
        <f ca="1">ROUND(D6*D7/10000,0)</f>
        <v>4457</v>
      </c>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2458</v>
      </c>
      <c r="B9" s="954"/>
      <c r="C9" s="954"/>
      <c r="D9" s="954"/>
      <c r="E9" s="954"/>
      <c r="F9" s="954"/>
      <c r="G9" s="954"/>
      <c r="H9" s="954"/>
      <c r="I9" s="954"/>
      <c r="J9" s="954"/>
      <c r="K9" s="955"/>
    </row>
    <row r="10" spans="1:33" s="970" customFormat="1" ht="13.5" customHeight="1">
      <c r="A10" s="957" t="s">
        <v>2459</v>
      </c>
      <c r="B10" s="8" t="s">
        <v>2460</v>
      </c>
      <c r="C10" s="966" t="s">
        <v>2461</v>
      </c>
      <c r="D10" s="967" t="s">
        <v>2462</v>
      </c>
      <c r="E10" s="967" t="s">
        <v>2463</v>
      </c>
      <c r="F10" s="967" t="s">
        <v>2464</v>
      </c>
      <c r="G10" s="8"/>
      <c r="H10" s="968"/>
      <c r="I10" s="968"/>
      <c r="J10" s="968"/>
      <c r="K10" s="969"/>
    </row>
    <row r="11" spans="1:33" s="975" customFormat="1" ht="13.5" customHeight="1">
      <c r="A11" s="971" t="s">
        <v>1330</v>
      </c>
      <c r="B11" s="972" t="s">
        <v>2465</v>
      </c>
      <c r="C11" s="323">
        <f ca="1">IF(C1="",'数据-取费表'!P16,INDIRECT("'数据-取费表'!p"&amp;$K$1)+INDIRECT("'数据-取费表'!ar"&amp;$K$1))</f>
        <v>13326</v>
      </c>
      <c r="D11" s="973"/>
      <c r="E11" s="375"/>
      <c r="F11" s="974">
        <f ca="1">1-IF('数据-取费表'!B24=0,1,IF(C1="",'数据-取费表'!N16,INDIRECT("'数据-取费表'!n"&amp;$K$1)))</f>
        <v>1</v>
      </c>
      <c r="G11" s="8"/>
      <c r="H11" s="968"/>
      <c r="I11" s="968"/>
      <c r="J11" s="968"/>
      <c r="K11" s="969"/>
    </row>
    <row r="12" spans="1:33" s="975" customFormat="1" ht="13.5" customHeight="1">
      <c r="A12" s="971" t="s">
        <v>1331</v>
      </c>
      <c r="B12" s="972" t="s">
        <v>2466</v>
      </c>
      <c r="C12" s="24">
        <f ca="1">ROUND(C11*F12,0)</f>
        <v>400</v>
      </c>
      <c r="D12" s="973"/>
      <c r="E12" s="375"/>
      <c r="F12" s="976">
        <f>'数据-取费表'!B33</f>
        <v>0.03</v>
      </c>
      <c r="G12" s="8" t="s">
        <v>2467</v>
      </c>
      <c r="H12" s="968"/>
      <c r="I12" s="968"/>
      <c r="J12" s="968"/>
      <c r="K12" s="969"/>
    </row>
    <row r="13" spans="1:33" s="975" customFormat="1" ht="13.5" customHeight="1">
      <c r="A13" s="971" t="s">
        <v>1332</v>
      </c>
      <c r="B13" s="972" t="s">
        <v>2468</v>
      </c>
      <c r="C13" s="24">
        <f ca="1">ROUND(IF(C1="",SUMIF('数据-取费表'!C:C,"住宅",'数据-取费表'!P:P)*F13,IF(INDIRECT("'数据-取费表'!c"&amp;$K$1)="住宅",INDIRECT("'数据-取费表'!P"&amp;$K$1)*F13,0)),0)</f>
        <v>533</v>
      </c>
      <c r="D13" s="1033"/>
      <c r="E13" s="375"/>
      <c r="F13" s="976">
        <f>'数据-取费表'!B34</f>
        <v>0.05</v>
      </c>
      <c r="G13" s="8" t="s">
        <v>2469</v>
      </c>
      <c r="H13" s="968"/>
      <c r="I13" s="968"/>
      <c r="J13" s="968"/>
      <c r="K13" s="969"/>
    </row>
    <row r="14" spans="1:33" s="977" customFormat="1" ht="13.5" customHeight="1">
      <c r="A14" s="971" t="s">
        <v>1333</v>
      </c>
      <c r="B14" s="972" t="s">
        <v>2470</v>
      </c>
      <c r="C14" s="24">
        <f ca="1">ROUND(D14*E14*F11/10000,0)</f>
        <v>800</v>
      </c>
      <c r="D14" s="1033">
        <f ca="1">IF(C1="",'数据-汇总表'!E3,INDIRECT("'数据-取费表'!K"&amp;$K$1)+INDIRECT("'数据-取费表'!S"&amp;$K$1))</f>
        <v>53306.400000000001</v>
      </c>
      <c r="E14" s="24">
        <f>'数据-取费表'!B35</f>
        <v>150</v>
      </c>
      <c r="F14" s="976"/>
      <c r="G14" s="8" t="s">
        <v>2471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2472</v>
      </c>
      <c r="C15" s="983">
        <f ca="1">ROUND(C11*F15,0)</f>
        <v>200</v>
      </c>
      <c r="D15" s="978"/>
      <c r="E15" s="983"/>
      <c r="F15" s="984">
        <f>'数据-取费表'!B36</f>
        <v>1.4999999999999999E-2</v>
      </c>
      <c r="G15" s="140" t="s">
        <v>2473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2474</v>
      </c>
      <c r="C16" s="983">
        <f ca="1">SUM(C11:C15)</f>
        <v>15259</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2475</v>
      </c>
      <c r="C17" s="24">
        <f ca="1">ROUND(D17*E17/10000,0)</f>
        <v>533</v>
      </c>
      <c r="D17" s="1033">
        <f ca="1">D14</f>
        <v>53306.400000000001</v>
      </c>
      <c r="E17" s="24">
        <f>'数据-取费表'!B32</f>
        <v>100</v>
      </c>
      <c r="F17" s="978"/>
      <c r="G17" s="140" t="s">
        <v>2476</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2477</v>
      </c>
      <c r="C18" s="24">
        <f ca="1">C19+C20-IF(C1="",'数据-取费表'!B29,IF(G18="已全部缴纳",C19+C20,H18))</f>
        <v>266</v>
      </c>
      <c r="D18" s="1033"/>
      <c r="E18" s="24"/>
      <c r="F18" s="976"/>
      <c r="G18" s="2552"/>
      <c r="H18" s="1576"/>
      <c r="I18" s="2553" t="s">
        <v>2478</v>
      </c>
      <c r="J18" s="979"/>
      <c r="K18" s="980"/>
    </row>
    <row r="19" spans="1:33" s="975" customFormat="1" ht="13.5" customHeight="1">
      <c r="A19" s="971" t="s">
        <v>805</v>
      </c>
      <c r="B19" s="972" t="s">
        <v>2479</v>
      </c>
      <c r="C19" s="24">
        <f ca="1">ROUND(D19*E19/10000,0)</f>
        <v>213</v>
      </c>
      <c r="D19" s="1033">
        <f ca="1">IF(C1="",'数据-汇总表'!E5,IF(INDIRECT("'数据-取费表'!c"&amp;$K$1)="住宅",INDIRECT("'数据-取费表'!k"&amp;$K$1),0))</f>
        <v>42645.120000000003</v>
      </c>
      <c r="E19" s="24">
        <f>'数据-取费表'!B27</f>
        <v>50</v>
      </c>
      <c r="F19" s="976"/>
      <c r="G19" s="15"/>
      <c r="H19" s="1578"/>
      <c r="I19" s="981"/>
      <c r="J19" s="981"/>
      <c r="K19" s="982"/>
    </row>
    <row r="20" spans="1:33" s="975" customFormat="1" ht="13.5" customHeight="1">
      <c r="A20" s="971" t="s">
        <v>806</v>
      </c>
      <c r="B20" s="972" t="s">
        <v>2480</v>
      </c>
      <c r="C20" s="24">
        <f ca="1">ROUND(D20*E20/10000,0)</f>
        <v>53</v>
      </c>
      <c r="D20" s="1033">
        <f ca="1">IF(C1="",'数据-汇总表'!E6,IF(INDIRECT("'数据-取费表'!c"&amp;$K$1)="住宅",INDIRECT("'数据-取费表'!s"&amp;$K$1),INDIRECT("'数据-取费表'!k"&amp;$K$1)+INDIRECT("'数据-取费表'!s"&amp;$K$1)))</f>
        <v>10661.279999999999</v>
      </c>
      <c r="E20" s="24">
        <f>'数据-取费表'!B28</f>
        <v>50</v>
      </c>
      <c r="F20" s="976"/>
      <c r="G20" s="15"/>
      <c r="H20" s="981"/>
      <c r="I20" s="981"/>
      <c r="J20" s="981"/>
      <c r="K20" s="982"/>
    </row>
    <row r="21" spans="1:33" s="975" customFormat="1" ht="13.5" customHeight="1">
      <c r="A21" s="961" t="s">
        <v>802</v>
      </c>
      <c r="B21" s="985" t="s">
        <v>2481</v>
      </c>
      <c r="C21" s="986">
        <f ca="1">C16+C17+C18</f>
        <v>16058</v>
      </c>
      <c r="D21" s="987"/>
      <c r="E21" s="325"/>
      <c r="F21" s="325"/>
      <c r="G21" s="140" t="s">
        <v>2482</v>
      </c>
      <c r="H21" s="979"/>
      <c r="I21" s="979"/>
      <c r="J21" s="979"/>
      <c r="K21" s="980"/>
    </row>
    <row r="22" spans="1:33" s="975" customFormat="1" ht="13.5" customHeight="1">
      <c r="A22" s="961" t="s">
        <v>2454</v>
      </c>
      <c r="B22" s="985" t="s">
        <v>2483</v>
      </c>
      <c r="C22" s="986">
        <f ca="1">ROUND(C21*F22,0)</f>
        <v>321</v>
      </c>
      <c r="D22" s="325"/>
      <c r="E22" s="325"/>
      <c r="F22" s="988">
        <f>'数据-取费表'!B37</f>
        <v>0.02</v>
      </c>
      <c r="G22" s="8" t="s">
        <v>2484</v>
      </c>
      <c r="H22" s="968"/>
      <c r="I22" s="968"/>
      <c r="J22" s="968"/>
      <c r="K22" s="969"/>
    </row>
    <row r="23" spans="1:33" s="975" customFormat="1" ht="13.5" customHeight="1">
      <c r="A23" s="961" t="s">
        <v>2456</v>
      </c>
      <c r="B23" s="985" t="s">
        <v>2485</v>
      </c>
      <c r="C23" s="986">
        <f ca="1">ROUND(C4*F23*F11,0)</f>
        <v>536</v>
      </c>
      <c r="D23" s="325"/>
      <c r="E23" s="325"/>
      <c r="F23" s="988">
        <f>'数据-取费表'!B38</f>
        <v>0.02</v>
      </c>
      <c r="G23" s="8" t="s">
        <v>2486</v>
      </c>
      <c r="H23" s="968"/>
      <c r="I23" s="968"/>
      <c r="J23" s="968"/>
      <c r="K23" s="969"/>
    </row>
    <row r="24" spans="1:33" s="975" customFormat="1" ht="13.5" customHeight="1">
      <c r="A24" s="961" t="s">
        <v>2487</v>
      </c>
      <c r="B24" s="985" t="s">
        <v>2488</v>
      </c>
      <c r="C24" s="324">
        <f>ROUND(F24/(1+'数据-取费表'!C42),4)</f>
        <v>2.9000000000000001E-2</v>
      </c>
      <c r="D24" s="325" t="s">
        <v>15</v>
      </c>
      <c r="E24" s="325"/>
      <c r="F24" s="988">
        <f>IF(项目基本情况!B8="出让",0,'数据-取费表'!B48+'数据-取费表'!B49)</f>
        <v>3.0499999999999999E-2</v>
      </c>
      <c r="G24" s="8" t="s">
        <v>2489</v>
      </c>
      <c r="H24" s="990"/>
      <c r="I24" s="990"/>
      <c r="J24" s="990"/>
      <c r="K24" s="991"/>
    </row>
    <row r="25" spans="1:33" s="975" customFormat="1" ht="13.5" customHeight="1">
      <c r="A25" s="961" t="s">
        <v>2490</v>
      </c>
      <c r="B25" s="987" t="s">
        <v>2491</v>
      </c>
      <c r="C25" s="1356">
        <f ca="1">C27</f>
        <v>803</v>
      </c>
      <c r="D25" s="324">
        <f ca="1">C26</f>
        <v>0.10009999999999999</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2492</v>
      </c>
      <c r="C26" s="1357">
        <f ca="1">ROUND(IF('数据-取费表'!B22&lt;=1,(1+C24)*F25*'数据-取费表'!B24,(1+C24)*(POWER((1+F25),'数据-取费表'!B24)-1)),4)</f>
        <v>0.10009999999999999</v>
      </c>
      <c r="D26" s="328"/>
      <c r="E26" s="329"/>
      <c r="F26" s="330"/>
      <c r="G26" s="2554"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2493</v>
      </c>
      <c r="C27" s="1358">
        <f ca="1">ROUND(IF('数据-取费表'!B22&lt;=1,(C21+C22+C23)*F25*'数据-取费表'!B24/2,(C21+C22+C23)*(POWER((1+F25),'数据-取费表'!B24/2)-1)),0)</f>
        <v>803</v>
      </c>
      <c r="D27" s="328"/>
      <c r="E27" s="329"/>
      <c r="F27" s="330"/>
      <c r="G27" s="2554" t="str">
        <f>IF('数据-取费表'!B22&lt;=1,"（1）-（3）项×年利率×建设期÷2","（1）-（3）项×((1+年利率)^(建设期÷2)-1)")</f>
        <v>（1）-（3）项×((1+年利率)^(建设期÷2)-1)</v>
      </c>
      <c r="H27" s="979"/>
      <c r="I27" s="979"/>
      <c r="J27" s="979"/>
      <c r="K27" s="980"/>
    </row>
    <row r="28" spans="1:33" s="333" customFormat="1" ht="13.5" customHeight="1">
      <c r="A28" s="961" t="s">
        <v>2494</v>
      </c>
      <c r="B28" s="2555" t="s">
        <v>2495</v>
      </c>
      <c r="C28" s="331">
        <f ca="1">C30</f>
        <v>1692</v>
      </c>
      <c r="D28" s="324">
        <f ca="1">C29</f>
        <v>0.10290000000000001</v>
      </c>
      <c r="E28" s="326" t="s">
        <v>15</v>
      </c>
      <c r="F28" s="332">
        <f ca="1">IF(C1="",'数据-取费表'!Q16,INDIRECT("'数据-取费表'!q"&amp;$K$1))</f>
        <v>0.1</v>
      </c>
      <c r="G28" s="989"/>
      <c r="H28" s="990"/>
      <c r="I28" s="990"/>
      <c r="J28" s="990"/>
      <c r="K28" s="991"/>
    </row>
    <row r="29" spans="1:33" s="335" customFormat="1" ht="13.5" customHeight="1">
      <c r="A29" s="971" t="s">
        <v>803</v>
      </c>
      <c r="B29" s="994" t="s">
        <v>2496</v>
      </c>
      <c r="C29" s="328">
        <f ca="1">ROUND((1+C24)*F28*'数据-取费表'!B24/'数据-取费表'!B20,4)</f>
        <v>0.10290000000000001</v>
      </c>
      <c r="D29" s="328"/>
      <c r="E29" s="329"/>
      <c r="F29" s="334"/>
      <c r="G29" s="140" t="s">
        <v>2497</v>
      </c>
      <c r="H29" s="979"/>
      <c r="I29" s="979"/>
      <c r="J29" s="979"/>
      <c r="K29" s="980"/>
    </row>
    <row r="30" spans="1:33" s="335" customFormat="1" ht="13.5" customHeight="1">
      <c r="A30" s="971" t="s">
        <v>804</v>
      </c>
      <c r="B30" s="994" t="s">
        <v>2498</v>
      </c>
      <c r="C30" s="336">
        <f ca="1">ROUND((C21+C22+C23)*F28,0)</f>
        <v>1692</v>
      </c>
      <c r="D30" s="328"/>
      <c r="E30" s="329"/>
      <c r="F30" s="334"/>
      <c r="G30" s="140"/>
      <c r="H30" s="979"/>
      <c r="I30" s="979"/>
      <c r="J30" s="979"/>
      <c r="K30" s="980"/>
    </row>
    <row r="31" spans="1:33" s="975" customFormat="1" ht="13.5" customHeight="1" thickBot="1">
      <c r="A31" s="2556" t="s">
        <v>2499</v>
      </c>
      <c r="B31" s="1005" t="s">
        <v>2500</v>
      </c>
      <c r="C31" s="1006">
        <f ca="1">ROUND(C4*F31/(1+'数据-取费表'!C42),0)</f>
        <v>1429</v>
      </c>
      <c r="D31" s="1007"/>
      <c r="E31" s="1008"/>
      <c r="F31" s="1009">
        <f>'数据-取费表'!B41</f>
        <v>5.6000000000000001E-2</v>
      </c>
      <c r="G31" s="1010" t="s">
        <v>2501</v>
      </c>
      <c r="H31" s="1011"/>
      <c r="I31" s="1011"/>
      <c r="J31" s="1011"/>
      <c r="K31" s="1012"/>
    </row>
    <row r="32" spans="1:33" s="970" customFormat="1" ht="13.5" customHeight="1" thickBot="1">
      <c r="A32" s="1000" t="s">
        <v>2502</v>
      </c>
      <c r="B32" s="1001"/>
      <c r="C32" s="1002">
        <f ca="1">ROUND((C4-C21-C22-C23-C25-C28-C31)/(1+C24+D25+D28),0)</f>
        <v>4841</v>
      </c>
      <c r="D32" s="1001"/>
      <c r="E32" s="1001"/>
      <c r="F32" s="1001"/>
      <c r="G32" s="1003" t="s">
        <v>2503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39" sqref="K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1373</v>
      </c>
      <c r="D1" s="1819" t="s">
        <v>3403</v>
      </c>
      <c r="E1" s="1820" t="s">
        <v>1382</v>
      </c>
      <c r="F1" s="1283">
        <f ca="1">J53</f>
        <v>37.81</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4458</v>
      </c>
      <c r="C2" s="1844" t="s">
        <v>1511</v>
      </c>
      <c r="D2" s="1844"/>
      <c r="E2" s="1845"/>
      <c r="F2" s="1846"/>
      <c r="G2" s="1847"/>
      <c r="H2" s="1839"/>
      <c r="I2" s="1839"/>
      <c r="J2" s="1839"/>
      <c r="K2" s="1840"/>
      <c r="L2" s="1839"/>
      <c r="M2" s="1839"/>
    </row>
    <row r="3" spans="1:37" ht="18" customHeight="1" thickBot="1">
      <c r="A3" s="1848" t="s">
        <v>1512</v>
      </c>
      <c r="B3" s="1849">
        <f ca="1">IF(ISERROR(B2*10000/F43),0,ROUND(B2*10000/F43,0))</f>
        <v>4181</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f ca="1">C6+C10+C12</f>
        <v>350</v>
      </c>
      <c r="D5" s="1821" t="s">
        <v>1397</v>
      </c>
      <c r="E5" s="1293"/>
      <c r="F5" s="1294"/>
      <c r="G5" s="1850"/>
      <c r="H5" s="344">
        <v>1</v>
      </c>
      <c r="I5" s="345" t="s">
        <v>1396</v>
      </c>
      <c r="J5" s="1292">
        <f ca="1">J6+J10+J12</f>
        <v>0</v>
      </c>
      <c r="K5" s="1821" t="s">
        <v>1397</v>
      </c>
      <c r="L5" s="1293"/>
      <c r="M5" s="1294"/>
    </row>
    <row r="6" spans="1:37" ht="18" customHeight="1">
      <c r="A6" s="1291" t="s">
        <v>1032</v>
      </c>
      <c r="B6" s="3212" t="s">
        <v>1398</v>
      </c>
      <c r="C6" s="1296">
        <f ca="1">ROUND(F6*F8*F7*(1-F9)/10000,0)</f>
        <v>350</v>
      </c>
      <c r="D6" s="164" t="s">
        <v>3017</v>
      </c>
      <c r="E6" s="347" t="s">
        <v>1400</v>
      </c>
      <c r="F6" s="348">
        <f ca="1">INDIRECT("'数据-取费表'!u"&amp;$G$1)</f>
        <v>1</v>
      </c>
      <c r="G6" s="1850"/>
      <c r="H6" s="1291" t="s">
        <v>1032</v>
      </c>
      <c r="I6" s="3212" t="s">
        <v>1398</v>
      </c>
      <c r="J6" s="346">
        <f ca="1">ROUND(M6*M8*M7*(1-M9)/10000,0)</f>
        <v>0</v>
      </c>
      <c r="K6" s="164" t="s">
        <v>3016</v>
      </c>
      <c r="L6" s="347" t="s">
        <v>1400</v>
      </c>
      <c r="M6" s="348">
        <f ca="1">INDIRECT("'数据-取费表'!z"&amp;$G$1)</f>
        <v>0</v>
      </c>
    </row>
    <row r="7" spans="1:37" ht="18" customHeight="1">
      <c r="A7" s="1295"/>
      <c r="B7" s="3213"/>
      <c r="C7" s="1297"/>
      <c r="D7" s="352"/>
      <c r="E7" s="1298" t="s">
        <v>1401</v>
      </c>
      <c r="F7" s="348">
        <f ca="1">IF(INDIRECT("'数据-取费表'!ah"&amp;$G$1)="",INDIRECT("'数据-取费表'!k"&amp;$G$1),INDIRECT("'数据-取费表'!ah"&amp;$G$1))</f>
        <v>10661.28</v>
      </c>
      <c r="G7" s="1850"/>
      <c r="H7" s="349"/>
      <c r="I7" s="3213"/>
      <c r="J7" s="351"/>
      <c r="K7" s="352"/>
      <c r="L7" s="347" t="s">
        <v>1401</v>
      </c>
      <c r="M7" s="348">
        <f ca="1">F7</f>
        <v>10661.28</v>
      </c>
    </row>
    <row r="8" spans="1:37" ht="18" customHeight="1">
      <c r="A8" s="349"/>
      <c r="B8" s="3213"/>
      <c r="C8" s="351"/>
      <c r="D8" s="352"/>
      <c r="E8" s="347" t="s">
        <v>1402</v>
      </c>
      <c r="F8" s="348">
        <f ca="1">INDIRECT("'数据-取费表'!ai"&amp;$G$1)</f>
        <v>365</v>
      </c>
      <c r="G8" s="1850"/>
      <c r="H8" s="349"/>
      <c r="I8" s="3213"/>
      <c r="J8" s="351"/>
      <c r="K8" s="352"/>
      <c r="L8" s="347" t="s">
        <v>1402</v>
      </c>
      <c r="M8" s="348">
        <f ca="1">INDIRECT("'数据-取费表'!ai"&amp;$G$1)</f>
        <v>365</v>
      </c>
    </row>
    <row r="9" spans="1:37" ht="18" customHeight="1">
      <c r="A9" s="349"/>
      <c r="B9" s="3214"/>
      <c r="C9" s="351"/>
      <c r="D9" s="352"/>
      <c r="E9" s="347" t="s">
        <v>1403</v>
      </c>
      <c r="F9" s="357">
        <f ca="1">INDIRECT("'数据-取费表'!w"&amp;$G$1)</f>
        <v>0.1</v>
      </c>
      <c r="G9" s="1850"/>
      <c r="H9" s="349"/>
      <c r="I9" s="3214"/>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3026</v>
      </c>
      <c r="E10" s="358" t="s">
        <v>1405</v>
      </c>
      <c r="F10" s="1366" t="s">
        <v>3100</v>
      </c>
      <c r="G10" s="1850"/>
      <c r="H10" s="1291" t="s">
        <v>1036</v>
      </c>
      <c r="I10" s="1822" t="s">
        <v>1404</v>
      </c>
      <c r="J10" s="346">
        <f ca="1">ROUND(IF(M10="押一",J6/12*M11,IF(M10="押二",J6/12*2*M11,IF(M10="押三",J6/12*3*M11,J11*M11))),0)</f>
        <v>0</v>
      </c>
      <c r="K10" s="1823" t="s">
        <v>3025</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3732</v>
      </c>
      <c r="D13" s="1331" t="s">
        <v>1410</v>
      </c>
      <c r="E13" s="1331" t="s">
        <v>1411</v>
      </c>
      <c r="F13" s="1332">
        <f ca="1">INDIRECT("'数据-取费表'!y"&amp;$G$1)</f>
        <v>1</v>
      </c>
      <c r="G13" s="1850"/>
      <c r="H13" s="1329">
        <v>2</v>
      </c>
      <c r="I13" s="1330" t="s">
        <v>1409</v>
      </c>
      <c r="J13" s="1290">
        <f ca="1">ROUND(J14*J15,0)</f>
        <v>0</v>
      </c>
      <c r="K13" s="1337" t="s">
        <v>1410</v>
      </c>
      <c r="L13" s="1851"/>
      <c r="M13" s="1852"/>
    </row>
    <row r="14" spans="1:37" ht="18" customHeight="1">
      <c r="A14" s="1201" t="s">
        <v>1031</v>
      </c>
      <c r="B14" s="347" t="s">
        <v>1412</v>
      </c>
      <c r="C14" s="363">
        <f ca="1">INDIRECT("'数据-取费表'!m"&amp;$G$1)+INDIRECT("'数据-取费表'!t"&amp;$G$1)</f>
        <v>2665</v>
      </c>
      <c r="D14" s="1799" t="s">
        <v>1413</v>
      </c>
      <c r="E14" s="1793"/>
      <c r="F14" s="364"/>
      <c r="G14" s="1850"/>
      <c r="H14" s="1201" t="s">
        <v>1032</v>
      </c>
      <c r="I14" s="347" t="s">
        <v>1414</v>
      </c>
      <c r="J14" s="24">
        <f ca="1">C29</f>
        <v>3732</v>
      </c>
      <c r="K14" s="15"/>
      <c r="L14" s="979"/>
      <c r="M14" s="980"/>
    </row>
    <row r="15" spans="1:37" s="1857" customFormat="1" ht="18" customHeight="1" thickBot="1">
      <c r="A15" s="1201" t="s">
        <v>1033</v>
      </c>
      <c r="B15" s="347" t="s">
        <v>1415</v>
      </c>
      <c r="C15" s="24">
        <f ca="1">ROUND(C14*F15,0)</f>
        <v>80</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95</v>
      </c>
      <c r="K16" s="1337" t="s">
        <v>1420</v>
      </c>
      <c r="L16" s="1338"/>
      <c r="M16" s="1294"/>
    </row>
    <row r="17" spans="1:37" s="1857" customFormat="1" ht="18" customHeight="1">
      <c r="A17" s="1201" t="s">
        <v>1385</v>
      </c>
      <c r="B17" s="347" t="s">
        <v>1421</v>
      </c>
      <c r="C17" s="24">
        <f ca="1">ROUND(F17*(F43+INDIRECT("'数据-取费表'!S"&amp;$G$1))/10000,0)</f>
        <v>160</v>
      </c>
      <c r="D17" s="347" t="s">
        <v>1422</v>
      </c>
      <c r="E17" s="347" t="s">
        <v>1423</v>
      </c>
      <c r="F17" s="26">
        <f>'数据-取费表'!B35</f>
        <v>150</v>
      </c>
      <c r="G17" s="1853"/>
      <c r="H17" s="1201" t="s">
        <v>1032</v>
      </c>
      <c r="I17" s="347" t="s">
        <v>1424</v>
      </c>
      <c r="J17" s="24">
        <f ca="1">ROUND(IF(项目基本情况!B11="自然人",J6*M17/(1+'数据-取费表'!C42),J18+J19+J20),1)</f>
        <v>39</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40</v>
      </c>
      <c r="D18" s="347" t="s">
        <v>1416</v>
      </c>
      <c r="E18" s="347" t="s">
        <v>1417</v>
      </c>
      <c r="F18" s="367">
        <f>'数据-取费表'!B36</f>
        <v>1.4999999999999999E-2</v>
      </c>
      <c r="G18" s="1853"/>
      <c r="H18" s="1201" t="s">
        <v>1031</v>
      </c>
      <c r="I18" s="347" t="s">
        <v>1428</v>
      </c>
      <c r="J18" s="24">
        <f ca="1">ROUND(J6*M18/(1+'数据-取费表'!C42),2)</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2945</v>
      </c>
      <c r="D19" s="140" t="s">
        <v>1431</v>
      </c>
      <c r="E19" s="1817"/>
      <c r="F19" s="26"/>
      <c r="G19" s="1850"/>
      <c r="H19" s="1201" t="s">
        <v>1033</v>
      </c>
      <c r="I19" s="347" t="s">
        <v>1432</v>
      </c>
      <c r="J19" s="24">
        <f ca="1">IF(K19="按租金收入计税",ROUND(J6*M19/(1+'数据-取费表'!C42),2),ROUND(C29*M19*0.7,2))</f>
        <v>31.35</v>
      </c>
      <c r="K19" s="1827" t="s">
        <v>1433</v>
      </c>
      <c r="L19" s="347" t="s">
        <v>1417</v>
      </c>
      <c r="M19" s="367">
        <f>IF(K19="按租金收入计税",'数据-取费表'!B51,'数据-取费表'!B50)</f>
        <v>1.2E-2</v>
      </c>
    </row>
    <row r="20" spans="1:37" s="1857" customFormat="1" ht="18" customHeight="1">
      <c r="A20" s="1201" t="s">
        <v>1036</v>
      </c>
      <c r="B20" s="347" t="s">
        <v>1434</v>
      </c>
      <c r="C20" s="24">
        <f ca="1">ROUND(C19*F20,0)</f>
        <v>59</v>
      </c>
      <c r="D20" s="369" t="s">
        <v>1435</v>
      </c>
      <c r="E20" s="347" t="s">
        <v>1417</v>
      </c>
      <c r="F20" s="367">
        <f>'数据-取费表'!B37</f>
        <v>0.02</v>
      </c>
      <c r="G20" s="1853"/>
      <c r="H20" s="1201" t="s">
        <v>1384</v>
      </c>
      <c r="I20" s="164" t="s">
        <v>1436</v>
      </c>
      <c r="J20" s="25">
        <f ca="1">ROUND(M20*M21/10000,2)</f>
        <v>7.68</v>
      </c>
      <c r="K20" s="370" t="s">
        <v>1437</v>
      </c>
      <c r="L20" s="347" t="s">
        <v>1438</v>
      </c>
      <c r="M20" s="371">
        <f>'数据-取费表'!B52</f>
        <v>18</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0.02</v>
      </c>
      <c r="G21" s="1853"/>
      <c r="H21" s="372"/>
      <c r="I21" s="356"/>
      <c r="J21" s="29"/>
      <c r="K21" s="373"/>
      <c r="L21" s="347" t="s">
        <v>1442</v>
      </c>
      <c r="M21" s="348">
        <f ca="1">INDIRECT("'数据-取费表'!r"&amp;$G$1)</f>
        <v>4264.5200000000004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56</v>
      </c>
      <c r="K22" s="1797" t="s">
        <v>1445</v>
      </c>
      <c r="L22" s="347" t="s">
        <v>1417</v>
      </c>
      <c r="M22" s="374">
        <f ca="1">INDIRECT("'数据-取费表'!Ak"&amp;$G$1)</f>
        <v>1.4999999999999999E-2</v>
      </c>
    </row>
    <row r="23" spans="1:37" s="1857" customFormat="1" ht="18" customHeight="1">
      <c r="A23" s="1201" t="s">
        <v>1031</v>
      </c>
      <c r="B23" s="347" t="s">
        <v>1446</v>
      </c>
      <c r="C23" s="24">
        <f ca="1">IF('数据-取费表'!B22&lt;=1,ROUND(C19*F24*F23/2,0)+ROUND(C20*F24*F23/2,0),ROUND(C19*(POWER((1+F24),F23/2)-1),0)+ROUND(C20*(POWER((1+F24),F23/2)-1),0))</f>
        <v>143</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ROUND(J13*M23,1)</f>
        <v>0</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ROUND(J5*M24,1)</f>
        <v>0</v>
      </c>
      <c r="K24" s="1342" t="s">
        <v>1454</v>
      </c>
      <c r="L24" s="1340" t="s">
        <v>1450</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9" t="s">
        <v>1028</v>
      </c>
      <c r="I25" s="1344" t="s">
        <v>1458</v>
      </c>
      <c r="J25" s="355">
        <f ca="1">J5-J16</f>
        <v>-95</v>
      </c>
      <c r="K25" s="1345" t="s">
        <v>1459</v>
      </c>
      <c r="L25" s="1346"/>
      <c r="M25" s="1347"/>
    </row>
    <row r="26" spans="1:37">
      <c r="A26" s="1201" t="s">
        <v>1031</v>
      </c>
      <c r="B26" s="347" t="s">
        <v>1460</v>
      </c>
      <c r="C26" s="24">
        <f ca="1">ROUND((C19+C20)*F26,0)</f>
        <v>300</v>
      </c>
      <c r="D26" s="369" t="s">
        <v>1461</v>
      </c>
      <c r="E26" s="358" t="s">
        <v>1462</v>
      </c>
      <c r="F26" s="357">
        <f ca="1">INDIRECT("'数据-取费表'!q"&amp;$G$1)</f>
        <v>0.1</v>
      </c>
      <c r="G26" s="1850"/>
      <c r="H26" s="344" t="s">
        <v>1029</v>
      </c>
      <c r="I26" s="345" t="s">
        <v>1463</v>
      </c>
      <c r="J26" s="346">
        <f ca="1">IF(J5&lt;&gt;0,ROUND(J25*(1-((1+M28)/(1+M26))^M27)/(M26-M28),0),0)</f>
        <v>0</v>
      </c>
      <c r="K26" s="370" t="s">
        <v>1464</v>
      </c>
      <c r="L26" s="347" t="s">
        <v>1465</v>
      </c>
      <c r="M26" s="357">
        <f ca="1">INDIRECT("'数据-取费表'!I"&amp;$G$1)</f>
        <v>0.06</v>
      </c>
    </row>
    <row r="27" spans="1:37" ht="18" customHeight="1">
      <c r="A27" s="1201" t="s">
        <v>1033</v>
      </c>
      <c r="B27" s="347" t="s">
        <v>1466</v>
      </c>
      <c r="C27" s="24">
        <f ca="1">ROUND(F21*F26,4)</f>
        <v>2E-3</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3732</v>
      </c>
      <c r="D29" s="1342"/>
      <c r="E29" s="1340"/>
      <c r="F29" s="1343"/>
      <c r="G29" s="1853"/>
      <c r="H29" s="380" t="s">
        <v>1030</v>
      </c>
      <c r="I29" s="381" t="s">
        <v>1474</v>
      </c>
      <c r="J29" s="382">
        <f ca="1">ROUND(J26/(1+F40)^F41,0)</f>
        <v>0</v>
      </c>
      <c r="K29" s="383" t="s">
        <v>1475</v>
      </c>
      <c r="L29" s="384"/>
      <c r="M29" s="385">
        <f ca="1">INDIRECT("'数据-取费表'!k"&amp;$G$1)</f>
        <v>10661.28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133</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ROUND(IF(项目基本情况!B11="自然人",C6*F31/(1+'数据-取费表'!C42),C32+C33+C34),1)</f>
        <v>66.400000000000006</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IF(项目基本情况!B11="自然人","——",ROUND(C6*F32/(1+'数据-取费表'!C42),2))</f>
        <v>18.670000000000002</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40</v>
      </c>
      <c r="D33" s="1827" t="s">
        <v>3101</v>
      </c>
      <c r="E33" s="347" t="s">
        <v>1417</v>
      </c>
      <c r="F33" s="367">
        <f>IF(D33="按票据","——",IF(D33="按租金收入计税",'数据-取费表'!B51,'数据-取费表'!B50))</f>
        <v>0.12</v>
      </c>
      <c r="G33" s="1850"/>
      <c r="H33" s="1858"/>
      <c r="I33" s="1859"/>
      <c r="J33" s="1860"/>
      <c r="K33" s="1861"/>
      <c r="L33" s="1858"/>
      <c r="M33" s="1858"/>
    </row>
    <row r="34" spans="1:18" ht="18" customHeight="1">
      <c r="A34" s="1291" t="s">
        <v>1384</v>
      </c>
      <c r="B34" s="164" t="s">
        <v>1436</v>
      </c>
      <c r="C34" s="25">
        <f ca="1">IF(项目基本情况!B11="自然人","——",ROUND(F34*F35/10000,2))</f>
        <v>7.68</v>
      </c>
      <c r="D34" s="370" t="s">
        <v>1437</v>
      </c>
      <c r="E34" s="347" t="s">
        <v>1438</v>
      </c>
      <c r="F34" s="371">
        <f>'数据-取费表'!B52</f>
        <v>18</v>
      </c>
      <c r="G34" s="1850"/>
      <c r="H34" s="745"/>
      <c r="I34" s="1859"/>
      <c r="J34" s="1860"/>
      <c r="K34" s="1862"/>
      <c r="L34" s="1863"/>
      <c r="M34" s="1863"/>
    </row>
    <row r="35" spans="1:18" ht="18" customHeight="1">
      <c r="A35" s="1353"/>
      <c r="B35" s="1351"/>
      <c r="C35" s="29"/>
      <c r="D35" s="373"/>
      <c r="E35" s="347" t="s">
        <v>1442</v>
      </c>
      <c r="F35" s="348">
        <f ca="1">INDIRECT("'数据-取费表'!r"&amp;$G$1)</f>
        <v>4264.5200000000004</v>
      </c>
      <c r="G35" s="1850"/>
      <c r="H35" s="745"/>
      <c r="I35" s="1859"/>
      <c r="J35" s="1860"/>
      <c r="K35" s="1861"/>
      <c r="L35" s="1858"/>
      <c r="M35" s="1858"/>
    </row>
    <row r="36" spans="1:18" ht="18" customHeight="1">
      <c r="A36" s="1352" t="s">
        <v>1036</v>
      </c>
      <c r="B36" s="347" t="s">
        <v>1444</v>
      </c>
      <c r="C36" s="24">
        <f ca="1">ROUND(C29*F36,1)</f>
        <v>56</v>
      </c>
      <c r="D36" s="1797" t="s">
        <v>1477</v>
      </c>
      <c r="E36" s="347" t="s">
        <v>1417</v>
      </c>
      <c r="F36" s="374">
        <f ca="1">INDIRECT("'数据-取费表'!Ak"&amp;$G$1)</f>
        <v>1.4999999999999999E-2</v>
      </c>
      <c r="G36" s="1850"/>
      <c r="H36" s="1858"/>
      <c r="I36" s="1859"/>
      <c r="J36" s="1860"/>
      <c r="K36" s="751"/>
      <c r="L36" s="1858"/>
      <c r="M36" s="1858"/>
    </row>
    <row r="37" spans="1:18" ht="18" customHeight="1">
      <c r="A37" s="1201" t="s">
        <v>1072</v>
      </c>
      <c r="B37" s="347" t="s">
        <v>1448</v>
      </c>
      <c r="C37" s="24">
        <f ca="1">ROUND(C13*F37,1)</f>
        <v>5.6</v>
      </c>
      <c r="D37" s="1797" t="s">
        <v>1449</v>
      </c>
      <c r="E37" s="347" t="s">
        <v>1450</v>
      </c>
      <c r="F37" s="376">
        <f ca="1">INDIRECT("'数据-取费表'!Al"&amp;$G$1)</f>
        <v>1.5E-3</v>
      </c>
      <c r="G37" s="1850"/>
      <c r="H37" s="1858"/>
      <c r="I37" s="1859"/>
      <c r="J37" s="1860"/>
      <c r="K37" s="751"/>
      <c r="L37" s="1858"/>
      <c r="M37" s="1858"/>
    </row>
    <row r="38" spans="1:18" ht="18" customHeight="1" thickBot="1">
      <c r="A38" s="1339" t="s">
        <v>1388</v>
      </c>
      <c r="B38" s="1340" t="s">
        <v>1434</v>
      </c>
      <c r="C38" s="1341">
        <f ca="1">ROUND(C5*F38,1)</f>
        <v>5.3</v>
      </c>
      <c r="D38" s="1342" t="s">
        <v>1454</v>
      </c>
      <c r="E38" s="1340" t="s">
        <v>1450</v>
      </c>
      <c r="F38" s="1336">
        <f ca="1">INDIRECT("'数据-取费表'!Am"&amp;$G$1)</f>
        <v>1.4999999999999999E-2</v>
      </c>
      <c r="G38" s="1850"/>
      <c r="H38" s="1858"/>
      <c r="I38" s="1859"/>
      <c r="J38" s="1860"/>
      <c r="K38" s="1864"/>
      <c r="L38" s="1858"/>
      <c r="M38" s="1858"/>
    </row>
    <row r="39" spans="1:18" ht="24.6" customHeight="1" thickTop="1">
      <c r="A39" s="1329" t="s">
        <v>1028</v>
      </c>
      <c r="B39" s="1344" t="s">
        <v>1478</v>
      </c>
      <c r="C39" s="355">
        <f ca="1">C5-C30</f>
        <v>217</v>
      </c>
      <c r="D39" s="1345" t="s">
        <v>1479</v>
      </c>
      <c r="E39" s="1346"/>
      <c r="F39" s="1347"/>
      <c r="G39" s="1850"/>
      <c r="H39" s="1858"/>
      <c r="I39" s="1859"/>
      <c r="J39" s="1860"/>
      <c r="K39" s="1864"/>
      <c r="L39" s="1858"/>
      <c r="M39" s="1858"/>
    </row>
    <row r="40" spans="1:18" ht="18" customHeight="1">
      <c r="A40" s="344" t="s">
        <v>1029</v>
      </c>
      <c r="B40" s="345" t="s">
        <v>1480</v>
      </c>
      <c r="C40" s="346">
        <f ca="1">ROUND(C39*(1-((1+F42)/(1+F40))^F41)/(F40-F42),0)</f>
        <v>4458</v>
      </c>
      <c r="D40" s="370" t="s">
        <v>1464</v>
      </c>
      <c r="E40" s="347" t="s">
        <v>1465</v>
      </c>
      <c r="F40" s="357">
        <f ca="1">INDIRECT("'数据-取费表'!I"&amp;$G$1)</f>
        <v>0.06</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37.81</v>
      </c>
      <c r="G41" s="1850"/>
      <c r="H41" s="732"/>
      <c r="I41" s="1859"/>
      <c r="J41" s="1860"/>
      <c r="K41" s="751"/>
      <c r="L41" s="732"/>
      <c r="M41" s="732"/>
    </row>
    <row r="42" spans="1:18" ht="18" customHeight="1">
      <c r="A42" s="353"/>
      <c r="B42" s="354"/>
      <c r="C42" s="355"/>
      <c r="D42" s="373"/>
      <c r="E42" s="347" t="s">
        <v>1472</v>
      </c>
      <c r="F42" s="357">
        <f ca="1">INDIRECT("'数据-取费表'!v"&amp;$G$1)</f>
        <v>2.5000000000000001E-2</v>
      </c>
      <c r="G42" s="1850"/>
      <c r="H42" s="732"/>
      <c r="I42" s="1859"/>
      <c r="J42" s="1860"/>
      <c r="K42" s="751"/>
      <c r="L42" s="732"/>
      <c r="M42" s="732"/>
    </row>
    <row r="43" spans="1:18" ht="18" customHeight="1" thickBot="1">
      <c r="A43" s="380" t="s">
        <v>1030</v>
      </c>
      <c r="B43" s="381" t="s">
        <v>1482</v>
      </c>
      <c r="C43" s="382">
        <f ca="1">ROUND(C40*10000/F43,0)</f>
        <v>4181</v>
      </c>
      <c r="D43" s="383" t="s">
        <v>1483</v>
      </c>
      <c r="E43" s="384" t="s">
        <v>1484</v>
      </c>
      <c r="F43" s="385">
        <f ca="1">INDIRECT("'数据-取费表'!k"&amp;$G$1)</f>
        <v>10661.28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f ca="1">C68-C40</f>
        <v>-10136</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2"/>
      <c r="I47" s="1879" t="s">
        <v>1521</v>
      </c>
      <c r="J47" s="1880" t="s">
        <v>3102</v>
      </c>
      <c r="K47" s="1881" t="s">
        <v>1522</v>
      </c>
      <c r="L47" s="1882">
        <f ca="1">INDIRECT("'数据-取费表'!d"&amp;$G$1)</f>
        <v>40</v>
      </c>
      <c r="M47" s="1837" t="str">
        <f>IF(ISNUMBER(FIND("住宅",C1)),"住宅","非住宅")</f>
        <v>非住宅</v>
      </c>
      <c r="O47" s="1883" t="s">
        <v>1037</v>
      </c>
      <c r="P47" s="1884" t="s">
        <v>1523</v>
      </c>
      <c r="Q47" s="1885">
        <f ca="1">C40+J29</f>
        <v>4458</v>
      </c>
      <c r="R47" s="1885" t="s">
        <v>1524</v>
      </c>
    </row>
    <row r="48" spans="1:18" s="1841" customFormat="1" ht="28.5" thickBot="1">
      <c r="A48" s="1360" t="s">
        <v>1132</v>
      </c>
      <c r="B48" s="345" t="s">
        <v>1396</v>
      </c>
      <c r="C48" s="1816">
        <f ca="1">C49+C53+C55</f>
        <v>0</v>
      </c>
      <c r="D48" s="1362"/>
      <c r="E48" s="1363"/>
      <c r="F48" s="1181"/>
      <c r="G48" s="792"/>
      <c r="H48" s="793"/>
      <c r="I48" s="1886" t="s">
        <v>1525</v>
      </c>
      <c r="J48" s="1887" t="s">
        <v>3103</v>
      </c>
      <c r="K48" s="1888" t="s">
        <v>1526</v>
      </c>
      <c r="L48" s="1889">
        <f ca="1">INDIRECT("'数据-取费表'!f"&amp;$G$1)</f>
        <v>39.81</v>
      </c>
      <c r="O48" s="1883" t="s">
        <v>1038</v>
      </c>
      <c r="P48" s="1884" t="s">
        <v>1527</v>
      </c>
      <c r="Q48" s="1885" t="str">
        <f ca="1">J60</f>
        <v>0</v>
      </c>
      <c r="R48" s="1885" t="s">
        <v>1528</v>
      </c>
    </row>
    <row r="49" spans="1:18" s="1841" customFormat="1" ht="13.5" thickBot="1">
      <c r="A49" s="1194" t="s">
        <v>1133</v>
      </c>
      <c r="B49" s="1828" t="s">
        <v>1485</v>
      </c>
      <c r="C49" s="1364">
        <f ca="1">ROUND(F49*F51*F50*(1-F52)/10000,0)</f>
        <v>0</v>
      </c>
      <c r="D49" s="1276" t="s">
        <v>3018</v>
      </c>
      <c r="E49" s="1829" t="s">
        <v>1486</v>
      </c>
      <c r="F49" s="1281"/>
      <c r="G49" s="1890"/>
      <c r="H49" s="793"/>
      <c r="I49" s="1886" t="s">
        <v>1529</v>
      </c>
      <c r="J49" s="1891">
        <v>2020</v>
      </c>
      <c r="K49" s="1888" t="s">
        <v>1530</v>
      </c>
      <c r="L49" s="1892"/>
      <c r="O49" s="1893" t="s">
        <v>1039</v>
      </c>
      <c r="P49" s="1884" t="s">
        <v>1531</v>
      </c>
      <c r="Q49" s="1885">
        <f ca="1">C29</f>
        <v>3732</v>
      </c>
      <c r="R49" s="1885" t="s">
        <v>1524</v>
      </c>
    </row>
    <row r="50" spans="1:18" s="1841" customFormat="1" ht="13.5" thickBot="1">
      <c r="A50" s="1195"/>
      <c r="B50" s="1198"/>
      <c r="C50" s="1368"/>
      <c r="D50" s="1172"/>
      <c r="E50" s="1277" t="s">
        <v>1401</v>
      </c>
      <c r="F50" s="1278">
        <f ca="1">F7</f>
        <v>10661.28</v>
      </c>
      <c r="H50" s="793"/>
      <c r="I50" s="1886" t="s">
        <v>1532</v>
      </c>
      <c r="J50" s="1894">
        <f>SUMPRODUCT((I63:I65=J47)*(J62:L62=J48)*(J63:L65))</f>
        <v>60</v>
      </c>
      <c r="K50" s="1888" t="s">
        <v>1533</v>
      </c>
      <c r="L50" s="1892"/>
      <c r="M50" s="1895"/>
      <c r="O50" s="1893" t="s">
        <v>1040</v>
      </c>
      <c r="P50" s="1884" t="s">
        <v>1534</v>
      </c>
      <c r="Q50" s="1896" t="e">
        <f ca="1">J58</f>
        <v>#VALUE!</v>
      </c>
      <c r="R50" s="1885"/>
    </row>
    <row r="51" spans="1:18" s="1841" customFormat="1" ht="13.5" thickBot="1">
      <c r="A51" s="1196"/>
      <c r="B51" s="1198"/>
      <c r="C51" s="1199"/>
      <c r="D51" s="1172"/>
      <c r="E51" s="1200" t="s">
        <v>1402</v>
      </c>
      <c r="F51" s="348">
        <f ca="1">F8</f>
        <v>365</v>
      </c>
      <c r="I51" s="1897" t="s">
        <v>1535</v>
      </c>
      <c r="J51" s="1898">
        <f>IF(J49="",J50,J49+J50-YEAR('数据-取费表'!B2))</f>
        <v>60</v>
      </c>
      <c r="K51" s="1899" t="s">
        <v>1536</v>
      </c>
      <c r="L51" s="1900">
        <f ca="1">ROUND(-PV(INDIRECT("'数据-取费表'!h"&amp;$G$1),L48,(C39-C13*C76),0),0)</f>
        <v>-1606</v>
      </c>
      <c r="M51" s="1901"/>
      <c r="O51" s="1893" t="s">
        <v>1041</v>
      </c>
      <c r="P51" s="1884" t="s">
        <v>1537</v>
      </c>
      <c r="Q51" s="1896">
        <f>J52</f>
        <v>0</v>
      </c>
      <c r="R51" s="1885"/>
    </row>
    <row r="52" spans="1:18" s="1841" customFormat="1" ht="13.5" thickBot="1">
      <c r="A52" s="1196"/>
      <c r="B52" s="1198"/>
      <c r="C52" s="1199"/>
      <c r="D52" s="1172"/>
      <c r="E52" s="1200" t="s">
        <v>1403</v>
      </c>
      <c r="F52" s="1275"/>
      <c r="I52" s="1902" t="s">
        <v>1538</v>
      </c>
      <c r="J52" s="1903"/>
      <c r="K52" s="1902" t="s">
        <v>1539</v>
      </c>
      <c r="L52" s="1903"/>
      <c r="O52" s="1893" t="s">
        <v>1042</v>
      </c>
      <c r="P52" s="1884" t="s">
        <v>1540</v>
      </c>
      <c r="Q52" s="1885">
        <f ca="1">J53</f>
        <v>37.81</v>
      </c>
      <c r="R52" s="1885" t="s">
        <v>1541</v>
      </c>
    </row>
    <row r="53" spans="1:18" s="1841" customFormat="1" ht="24.75" thickBot="1">
      <c r="A53" s="1405" t="s">
        <v>1134</v>
      </c>
      <c r="B53" s="1830" t="s">
        <v>1404</v>
      </c>
      <c r="C53" s="361">
        <f ca="1">ROUND(IF(F53="押一",C49/12*F11,IF(F53="押二",C49/12*2*F11,IF(F53="押三",C49/12*3*F11,C54*F11))),0)</f>
        <v>0</v>
      </c>
      <c r="D53" s="1823" t="s">
        <v>3025</v>
      </c>
      <c r="E53" s="358" t="s">
        <v>1405</v>
      </c>
      <c r="F53" s="1366"/>
      <c r="I53" s="1904" t="s">
        <v>1542</v>
      </c>
      <c r="J53" s="2944">
        <f ca="1">IF(M47="住宅",IF(D1="——",MAX(J51,L48),MAX(J51,L48-'数据-取费表'!B24)),IF(D1="——",MIN(J51,L48),MIN(J51,L48-'数据-取费表'!B24)))</f>
        <v>37.81</v>
      </c>
      <c r="K53" s="3210" t="s">
        <v>1543</v>
      </c>
      <c r="L53" s="3211"/>
      <c r="O53" s="1883" t="s">
        <v>1043</v>
      </c>
      <c r="P53" s="1884" t="s">
        <v>1544</v>
      </c>
      <c r="Q53" s="1885">
        <f ca="1">Q47+Q48</f>
        <v>4458</v>
      </c>
      <c r="R53" s="1885" t="s">
        <v>1044</v>
      </c>
    </row>
    <row r="54" spans="1:18" s="1841" customFormat="1" ht="13.5" thickBot="1">
      <c r="A54" s="1406"/>
      <c r="B54" s="1824" t="s">
        <v>1383</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3" t="s">
        <v>1072</v>
      </c>
      <c r="B55" s="1826" t="s">
        <v>1408</v>
      </c>
      <c r="C55" s="1334"/>
      <c r="D55" s="1823"/>
      <c r="E55" s="1831"/>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25.5" thickTop="1" thickBot="1">
      <c r="A56" s="1176">
        <v>2</v>
      </c>
      <c r="B56" s="1177" t="s">
        <v>1409</v>
      </c>
      <c r="C56" s="276">
        <f ca="1">C13</f>
        <v>3732</v>
      </c>
      <c r="D56" s="1912"/>
      <c r="E56" s="1913"/>
      <c r="F56" s="1905"/>
      <c r="I56" s="1914" t="s">
        <v>1549</v>
      </c>
      <c r="J56" s="1915" t="s">
        <v>3055</v>
      </c>
      <c r="K56" s="1886" t="s">
        <v>1550</v>
      </c>
      <c r="L56" s="1889" t="str">
        <f ca="1">IF(L48&lt;J51,"——",L48-J53)</f>
        <v>——</v>
      </c>
      <c r="O56" s="1883" t="s">
        <v>1037</v>
      </c>
      <c r="P56" s="1884" t="s">
        <v>1523</v>
      </c>
      <c r="Q56" s="1885">
        <f ca="1">C40+J29</f>
        <v>4458</v>
      </c>
      <c r="R56" s="1885" t="s">
        <v>1524</v>
      </c>
    </row>
    <row r="57" spans="1:18" s="1841" customFormat="1" ht="24.75" thickBot="1">
      <c r="A57" s="1916"/>
      <c r="B57" s="1169" t="s">
        <v>1473</v>
      </c>
      <c r="C57" s="282">
        <f ca="1">C29</f>
        <v>3732</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7" t="s">
        <v>1419</v>
      </c>
      <c r="C58" s="361">
        <f ca="1">ROUND(C59+C64+C65+C66,0)</f>
        <v>383</v>
      </c>
      <c r="D58" s="1179" t="s">
        <v>1420</v>
      </c>
      <c r="E58" s="1180"/>
      <c r="F58" s="1181"/>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321.2</v>
      </c>
      <c r="D59" s="1182" t="s">
        <v>1425</v>
      </c>
      <c r="E59" s="1183" t="s">
        <v>1426</v>
      </c>
      <c r="F59" s="368" t="str">
        <f ca="1">IF(项目基本情况!B11="企业","",IF(INDIRECT("'数据-取费表'!c"&amp;$G$1)="住宅",5%,IF(F49*F50*F51/12/(1+'数据-取费表'!C42)&gt;20000,12%,7%)))</f>
        <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IF(项目基本情况!B11="自然人","——",IF(D61="按租金收入计税",ROUND(C48*F61,2),IF(D61="按房产原值计税",ROUND(C57*F61*0.7,2),INDIRECT("'数据-取费表'!Aj"&amp;$G$1))))</f>
        <v>313.49</v>
      </c>
      <c r="D61" s="1827" t="s">
        <v>1433</v>
      </c>
      <c r="E61" s="1169" t="s">
        <v>1489</v>
      </c>
      <c r="F61" s="367">
        <f t="shared" si="0"/>
        <v>0.12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IF(项目基本情况!B11="自然人","——",ROUND(F62*F63/10000,2))</f>
        <v>7.68</v>
      </c>
      <c r="D62" s="1184" t="s">
        <v>1492</v>
      </c>
      <c r="E62" s="1169" t="s">
        <v>1493</v>
      </c>
      <c r="F62" s="371">
        <f t="shared" si="0"/>
        <v>18</v>
      </c>
      <c r="I62" s="1927" t="s">
        <v>1565</v>
      </c>
      <c r="J62" s="1928" t="s">
        <v>1566</v>
      </c>
      <c r="K62" s="1928" t="s">
        <v>1567</v>
      </c>
      <c r="L62" s="1928" t="s">
        <v>1568</v>
      </c>
      <c r="M62" s="1929" t="s">
        <v>1569</v>
      </c>
      <c r="O62" s="1883" t="s">
        <v>1043</v>
      </c>
      <c r="P62" s="1884" t="s">
        <v>1570</v>
      </c>
      <c r="Q62" s="1885">
        <f ca="1">Q56+Q57</f>
        <v>4458</v>
      </c>
      <c r="R62" s="1885" t="s">
        <v>1044</v>
      </c>
    </row>
    <row r="63" spans="1:18" s="1841" customFormat="1" ht="13.5" thickBot="1">
      <c r="A63" s="372"/>
      <c r="B63" s="1175"/>
      <c r="C63" s="29"/>
      <c r="D63" s="1185"/>
      <c r="E63" s="1169" t="s">
        <v>1494</v>
      </c>
      <c r="F63" s="348">
        <f t="shared" ca="1" si="0"/>
        <v>4264.5200000000004</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ROUND(C57*F64,1)</f>
        <v>56</v>
      </c>
      <c r="D64" s="1183" t="s">
        <v>1497</v>
      </c>
      <c r="E64" s="1169" t="s">
        <v>1489</v>
      </c>
      <c r="F64" s="374">
        <f t="shared" ca="1" si="0"/>
        <v>1.4999999999999999E-2</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ROUND(C56*F65,1)</f>
        <v>5.6</v>
      </c>
      <c r="D65" s="1183" t="s">
        <v>1449</v>
      </c>
      <c r="E65" s="1169" t="s">
        <v>1450</v>
      </c>
      <c r="F65" s="376">
        <f t="shared" ca="1" si="0"/>
        <v>1.5E-3</v>
      </c>
      <c r="I65" s="1927" t="s">
        <v>1574</v>
      </c>
      <c r="J65" s="1928">
        <v>40</v>
      </c>
      <c r="K65" s="1928">
        <v>30</v>
      </c>
      <c r="L65" s="1928">
        <v>50</v>
      </c>
      <c r="M65" s="1930">
        <v>0.02</v>
      </c>
      <c r="O65" s="1883" t="s">
        <v>1037</v>
      </c>
      <c r="P65" s="1884" t="s">
        <v>1575</v>
      </c>
      <c r="Q65" s="1885">
        <f ca="1">C40+J29</f>
        <v>4458</v>
      </c>
      <c r="R65" s="1885" t="s">
        <v>1524</v>
      </c>
    </row>
    <row r="66" spans="1:18" s="1841" customFormat="1" ht="16.5" thickBot="1">
      <c r="A66" s="1201" t="s">
        <v>1499</v>
      </c>
      <c r="B66" s="1169" t="s">
        <v>1434</v>
      </c>
      <c r="C66" s="24">
        <f ca="1">ROUND(C48*F66,1)</f>
        <v>0</v>
      </c>
      <c r="D66" s="1183" t="s">
        <v>1500</v>
      </c>
      <c r="E66" s="1169" t="s">
        <v>1417</v>
      </c>
      <c r="F66" s="357">
        <f t="shared" ca="1" si="0"/>
        <v>1.4999999999999999E-2</v>
      </c>
      <c r="O66" s="1883" t="s">
        <v>1038</v>
      </c>
      <c r="P66" s="1884" t="s">
        <v>1553</v>
      </c>
      <c r="Q66" s="1885">
        <f ca="1">L60</f>
        <v>0</v>
      </c>
      <c r="R66" s="1885" t="s">
        <v>1576</v>
      </c>
    </row>
    <row r="67" spans="1:18" s="1841" customFormat="1" ht="16.5" thickBot="1">
      <c r="A67" s="1176" t="s">
        <v>1028</v>
      </c>
      <c r="B67" s="1186" t="s">
        <v>1458</v>
      </c>
      <c r="C67" s="361">
        <f ca="1">C48-C58</f>
        <v>-383</v>
      </c>
      <c r="D67" s="1182" t="s">
        <v>1459</v>
      </c>
      <c r="E67" s="1187"/>
      <c r="F67" s="1188"/>
      <c r="O67" s="1893" t="s">
        <v>1039</v>
      </c>
      <c r="P67" s="1884" t="s">
        <v>1557</v>
      </c>
      <c r="Q67" s="1931">
        <f ca="1">L51</f>
        <v>-1606</v>
      </c>
      <c r="R67" s="1885" t="s">
        <v>1577</v>
      </c>
    </row>
    <row r="68" spans="1:18" s="1841" customFormat="1" ht="16.5" thickBot="1">
      <c r="A68" s="1166" t="s">
        <v>1029</v>
      </c>
      <c r="B68" s="1167" t="s">
        <v>1480</v>
      </c>
      <c r="C68" s="346">
        <f ca="1">ROUND(C67*(1-((1+F70)/(1+F68))^F69)/(F68-F70),0)</f>
        <v>-5678</v>
      </c>
      <c r="D68" s="1184" t="s">
        <v>1464</v>
      </c>
      <c r="E68" s="1169" t="s">
        <v>1465</v>
      </c>
      <c r="F68" s="357">
        <f ca="1">F40</f>
        <v>0.06</v>
      </c>
      <c r="O68" s="1893" t="s">
        <v>1040</v>
      </c>
      <c r="P68" s="1932" t="s">
        <v>1578</v>
      </c>
      <c r="Q68" s="1885">
        <f ca="1">ROUND(Q69-Q70*Q71,0)</f>
        <v>-100</v>
      </c>
      <c r="R68" s="1885" t="s">
        <v>1048</v>
      </c>
    </row>
    <row r="69" spans="1:18" s="1841" customFormat="1" ht="13.5" thickBot="1">
      <c r="A69" s="1170"/>
      <c r="B69" s="1171"/>
      <c r="C69" s="351"/>
      <c r="D69" s="1189" t="s">
        <v>1468</v>
      </c>
      <c r="E69" s="1169" t="s">
        <v>1469</v>
      </c>
      <c r="F69" s="379">
        <f ca="1">F41</f>
        <v>37.81</v>
      </c>
      <c r="O69" s="1893" t="s">
        <v>1045</v>
      </c>
      <c r="P69" s="1932" t="s">
        <v>1579</v>
      </c>
      <c r="Q69" s="1885">
        <f ca="1">C39</f>
        <v>217</v>
      </c>
      <c r="R69" s="1885" t="s">
        <v>1524</v>
      </c>
    </row>
    <row r="70" spans="1:18" s="1841" customFormat="1" ht="13.5" thickBot="1">
      <c r="A70" s="1173"/>
      <c r="B70" s="1174"/>
      <c r="C70" s="355"/>
      <c r="D70" s="1185"/>
      <c r="E70" s="1169" t="s">
        <v>1472</v>
      </c>
      <c r="F70" s="1275"/>
      <c r="O70" s="1893" t="s">
        <v>1046</v>
      </c>
      <c r="P70" s="1932" t="s">
        <v>1580</v>
      </c>
      <c r="Q70" s="1885">
        <f ca="1">C13</f>
        <v>3732</v>
      </c>
      <c r="R70" s="1885" t="s">
        <v>1524</v>
      </c>
    </row>
    <row r="71" spans="1:18" s="1841" customFormat="1" ht="13.5" thickBot="1">
      <c r="A71" s="1190" t="s">
        <v>1030</v>
      </c>
      <c r="B71" s="1191" t="s">
        <v>1482</v>
      </c>
      <c r="C71" s="382">
        <f ca="1">ROUND(C68*10000/F71,0)</f>
        <v>-5326</v>
      </c>
      <c r="D71" s="1192" t="s">
        <v>1483</v>
      </c>
      <c r="E71" s="1193" t="s">
        <v>1484</v>
      </c>
      <c r="F71" s="385">
        <f ca="1">F43</f>
        <v>10661.28</v>
      </c>
      <c r="O71" s="1893" t="s">
        <v>1047</v>
      </c>
      <c r="P71" s="1932" t="s">
        <v>1581</v>
      </c>
      <c r="Q71" s="1896">
        <f ca="1">C76</f>
        <v>8.5000000000000006E-2</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317</v>
      </c>
      <c r="D75" s="1841"/>
      <c r="E75" s="1841"/>
      <c r="F75" s="1841"/>
      <c r="K75" s="1867"/>
      <c r="L75" s="1841"/>
      <c r="O75" s="1883" t="s">
        <v>1043</v>
      </c>
      <c r="P75" s="1884" t="s">
        <v>1544</v>
      </c>
      <c r="Q75" s="1885">
        <f ca="1">Q65+Q66</f>
        <v>4458</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-0.46100000000000008</v>
      </c>
    </row>
    <row r="80" spans="1:18">
      <c r="B80" s="386" t="s">
        <v>1506</v>
      </c>
      <c r="C80" s="318">
        <f ca="1">ROUND(C75/C39,3)</f>
        <v>1.4610000000000001</v>
      </c>
    </row>
    <row r="81" spans="2:3">
      <c r="B81" s="314" t="s">
        <v>1507</v>
      </c>
      <c r="C81" s="282"/>
    </row>
    <row r="82" spans="2:3">
      <c r="B82" s="317" t="s">
        <v>1508</v>
      </c>
      <c r="C82" s="319">
        <f ca="1">1-C83</f>
        <v>0.16300000000000003</v>
      </c>
    </row>
    <row r="83" spans="2:3">
      <c r="B83" s="317" t="s">
        <v>1509</v>
      </c>
      <c r="C83" s="318">
        <f ca="1">ROUND(C13/C40,3)</f>
        <v>0.83699999999999997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c r="D1" s="1819"/>
      <c r="E1" s="1820" t="s">
        <v>1382</v>
      </c>
      <c r="F1" s="1283">
        <f ca="1">J53</f>
        <v>-2</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2">
        <f ca="1">C6+C10+C12</f>
        <v>0</v>
      </c>
      <c r="D5" s="1821" t="s">
        <v>1596</v>
      </c>
      <c r="E5" s="1293"/>
      <c r="F5" s="1294"/>
      <c r="G5" s="1850"/>
      <c r="H5" s="344">
        <v>1</v>
      </c>
      <c r="I5" s="345" t="s">
        <v>1595</v>
      </c>
      <c r="J5" s="1292">
        <f ca="1">J6+J10+J12</f>
        <v>0</v>
      </c>
      <c r="K5" s="1821" t="s">
        <v>1596</v>
      </c>
      <c r="L5" s="1293"/>
      <c r="M5" s="1294"/>
    </row>
    <row r="6" spans="1:37" ht="18" customHeight="1">
      <c r="A6" s="1291" t="s">
        <v>1032</v>
      </c>
      <c r="B6" s="3212" t="s">
        <v>1398</v>
      </c>
      <c r="C6" s="1296">
        <f ca="1">ROUND(F6*F8*F7*(1-F9),0)</f>
        <v>0</v>
      </c>
      <c r="D6" s="164" t="s">
        <v>3014</v>
      </c>
      <c r="E6" s="347" t="s">
        <v>1400</v>
      </c>
      <c r="F6" s="348">
        <f ca="1">INDIRECT("'数据-取费表'!u"&amp;$G$1)</f>
        <v>0</v>
      </c>
      <c r="G6" s="1850"/>
      <c r="H6" s="1291" t="s">
        <v>1032</v>
      </c>
      <c r="I6" s="3212" t="s">
        <v>1398</v>
      </c>
      <c r="J6" s="346">
        <f ca="1">ROUND(M6*M8*M7*(1-M9),0)</f>
        <v>0</v>
      </c>
      <c r="K6" s="1833" t="s">
        <v>3015</v>
      </c>
      <c r="L6" s="347" t="s">
        <v>1400</v>
      </c>
      <c r="M6" s="348">
        <f ca="1">INDIRECT("'数据-取费表'!z"&amp;$G$1)</f>
        <v>0</v>
      </c>
    </row>
    <row r="7" spans="1:37" ht="18" customHeight="1">
      <c r="A7" s="1295"/>
      <c r="B7" s="3213"/>
      <c r="C7" s="1297"/>
      <c r="D7" s="352"/>
      <c r="E7" s="1298" t="s">
        <v>1401</v>
      </c>
      <c r="F7" s="348">
        <f ca="1">IF(INDIRECT("'数据-取费表'!ah"&amp;$G$1)="",INDIRECT("'数据-取费表'!k"&amp;$G$1),INDIRECT("'数据-取费表'!ah"&amp;$G$1))</f>
        <v>0</v>
      </c>
      <c r="G7" s="1850"/>
      <c r="H7" s="349"/>
      <c r="I7" s="3213"/>
      <c r="J7" s="351"/>
      <c r="K7" s="352"/>
      <c r="L7" s="347" t="s">
        <v>1401</v>
      </c>
      <c r="M7" s="348">
        <f ca="1">F7</f>
        <v>0</v>
      </c>
    </row>
    <row r="8" spans="1:37" ht="18" customHeight="1">
      <c r="A8" s="349"/>
      <c r="B8" s="3213"/>
      <c r="C8" s="351"/>
      <c r="D8" s="352"/>
      <c r="E8" s="347" t="s">
        <v>1402</v>
      </c>
      <c r="F8" s="348">
        <f ca="1">INDIRECT("'数据-取费表'!ai"&amp;$G$1)</f>
        <v>0</v>
      </c>
      <c r="G8" s="1850"/>
      <c r="H8" s="349"/>
      <c r="I8" s="3213"/>
      <c r="J8" s="351"/>
      <c r="K8" s="352"/>
      <c r="L8" s="347" t="s">
        <v>1402</v>
      </c>
      <c r="M8" s="348">
        <f ca="1">INDIRECT("'数据-取费表'!ai"&amp;$G$1)</f>
        <v>0</v>
      </c>
    </row>
    <row r="9" spans="1:37" ht="18" customHeight="1">
      <c r="A9" s="349"/>
      <c r="B9" s="3214"/>
      <c r="C9" s="351"/>
      <c r="D9" s="352"/>
      <c r="E9" s="347" t="s">
        <v>1403</v>
      </c>
      <c r="F9" s="357">
        <f ca="1">INDIRECT("'数据-取费表'!w"&amp;$G$1)</f>
        <v>0</v>
      </c>
      <c r="G9" s="1850"/>
      <c r="H9" s="349"/>
      <c r="I9" s="3214"/>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3025</v>
      </c>
      <c r="E10" s="358" t="s">
        <v>1405</v>
      </c>
      <c r="F10" s="1366"/>
      <c r="G10" s="1850"/>
      <c r="H10" s="1291" t="s">
        <v>1036</v>
      </c>
      <c r="I10" s="1822" t="s">
        <v>1404</v>
      </c>
      <c r="J10" s="346">
        <f ca="1">ROUND(IF(M10="押一",J6/12*M11,IF(M10="押二",J6/12*2*M11,IF(M10="押三",J6/12*3*M11,J11*M11))),0)</f>
        <v>0</v>
      </c>
      <c r="K10" s="1834" t="s">
        <v>3027</v>
      </c>
      <c r="L10" s="358" t="s">
        <v>1405</v>
      </c>
      <c r="M10" s="1366"/>
    </row>
    <row r="11" spans="1:37" ht="18" customHeight="1">
      <c r="A11" s="353"/>
      <c r="B11" s="1824" t="s">
        <v>1597</v>
      </c>
      <c r="C11" s="1178"/>
      <c r="D11" s="352"/>
      <c r="E11" s="358" t="s">
        <v>1407</v>
      </c>
      <c r="F11" s="359">
        <f ca="1">'数据-取费表'!B39</f>
        <v>1.4999999999999999E-2</v>
      </c>
      <c r="G11" s="1850"/>
      <c r="H11" s="1299"/>
      <c r="I11" s="1824" t="s">
        <v>1598</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0"/>
      <c r="H13" s="1329">
        <v>2</v>
      </c>
      <c r="I13" s="1330" t="s">
        <v>1409</v>
      </c>
      <c r="J13" s="1290">
        <f ca="1">ROUND(J14*J15,0)</f>
        <v>0</v>
      </c>
      <c r="K13" s="1337" t="s">
        <v>1410</v>
      </c>
      <c r="L13" s="1851"/>
      <c r="M13" s="1852"/>
    </row>
    <row r="14" spans="1:37" ht="18" customHeight="1">
      <c r="A14" s="1201" t="s">
        <v>1031</v>
      </c>
      <c r="B14" s="347" t="s">
        <v>1412</v>
      </c>
      <c r="C14" s="363">
        <f ca="1">ROUND(INDIRECT("'数据-取费表'!l"&amp;$G$1)*F43+'数据-取费表'!L14*INDIRECT("'数据-取费表'!S"&amp;$G$1),0)</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0"/>
      <c r="H16" s="1329" t="s">
        <v>1027</v>
      </c>
      <c r="I16" s="1330" t="s">
        <v>1419</v>
      </c>
      <c r="J16" s="355">
        <f ca="1">ROUND(J17+J22+J23+J24,0)</f>
        <v>0</v>
      </c>
      <c r="K16" s="1337" t="s">
        <v>1420</v>
      </c>
      <c r="L16" s="1338"/>
      <c r="M16" s="1294"/>
    </row>
    <row r="17" spans="1:37" s="1857" customFormat="1" ht="18" customHeight="1">
      <c r="A17" s="1201" t="s">
        <v>1385</v>
      </c>
      <c r="B17" s="347" t="s">
        <v>1421</v>
      </c>
      <c r="C17" s="24">
        <f ca="1">ROUND(F17*(F43+INDIRECT("'数据-取费表'!S"&amp;$G$1)),0)</f>
        <v>0</v>
      </c>
      <c r="D17" s="347" t="s">
        <v>1422</v>
      </c>
      <c r="E17" s="347" t="s">
        <v>1423</v>
      </c>
      <c r="F17" s="26">
        <f>'数据-取费表'!B35</f>
        <v>150</v>
      </c>
      <c r="G17" s="1853"/>
      <c r="H17" s="1201" t="s">
        <v>1032</v>
      </c>
      <c r="I17" s="347" t="s">
        <v>1424</v>
      </c>
      <c r="J17" s="24">
        <f ca="1">ROUND(IF(项目基本情况!B11="自然人",J6*M17/(1+'数据-取费表'!C42),J18+J19+J20),0)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ROUND(J6*M18/(1+'数据-取费表'!C42),0)</f>
        <v>0</v>
      </c>
      <c r="K18" s="1797" t="s">
        <v>1429</v>
      </c>
      <c r="L18" s="347" t="s">
        <v>1417</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IF(K19="按租金收入计税",ROUND(J6*M19/(1+'数据-取费表'!C42),0),ROUND(C29*M19*0.7,0))</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0.02</v>
      </c>
      <c r="G20" s="1853"/>
      <c r="H20" s="1201" t="s">
        <v>1384</v>
      </c>
      <c r="I20" s="164" t="s">
        <v>1436</v>
      </c>
      <c r="J20" s="25">
        <f ca="1">ROUND(M20*M21,0)</f>
        <v>0</v>
      </c>
      <c r="K20" s="370" t="s">
        <v>1437</v>
      </c>
      <c r="L20" s="347" t="s">
        <v>1438</v>
      </c>
      <c r="M20" s="371">
        <f>'数据-取费表'!B52</f>
        <v>18</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ROUND(J5*M24,0)</f>
        <v>0</v>
      </c>
      <c r="K24" s="1342" t="s">
        <v>1454</v>
      </c>
      <c r="L24" s="1340" t="s">
        <v>1450</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5.33E-2</v>
      </c>
      <c r="D28" s="369" t="s">
        <v>1471</v>
      </c>
      <c r="E28" s="347" t="s">
        <v>1417</v>
      </c>
      <c r="F28" s="367">
        <f>'数据-取费表'!B41</f>
        <v>5.6000000000000001E-2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0</v>
      </c>
      <c r="D29" s="1342"/>
      <c r="E29" s="1340"/>
      <c r="F29" s="1343"/>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0</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ROUND(IF(项目基本情况!B11="自然人",C6*F31/(1+'数据-取费表'!C42),C32+C33+C34),0)</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IF(项目基本情况!B11="自然人","——",ROUND(C6*F32/(1+'数据-取费表'!C42),0))</f>
        <v>0</v>
      </c>
      <c r="D32" s="1797" t="s">
        <v>1429</v>
      </c>
      <c r="E32" s="347" t="s">
        <v>1417</v>
      </c>
      <c r="F32" s="377">
        <f>'数据-取费表'!B41</f>
        <v>5.6000000000000001E-2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f>
        <v>0</v>
      </c>
      <c r="D34" s="370" t="s">
        <v>1437</v>
      </c>
      <c r="E34" s="347" t="s">
        <v>1438</v>
      </c>
      <c r="F34" s="371">
        <f>'数据-取费表'!B52</f>
        <v>18</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ROUND(C29*F36,0)</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ROUND(C13*F37,0)</f>
        <v>0</v>
      </c>
      <c r="D37" s="1797" t="s">
        <v>1449</v>
      </c>
      <c r="E37" s="347" t="s">
        <v>1450</v>
      </c>
      <c r="F37" s="376">
        <f ca="1">INDIRECT("'数据-取费表'!Al"&amp;$G$1)</f>
        <v>0</v>
      </c>
      <c r="G37" s="1850"/>
      <c r="H37" s="1858"/>
      <c r="I37" s="1859"/>
      <c r="J37" s="1860"/>
      <c r="K37" s="751"/>
      <c r="L37" s="1858"/>
      <c r="M37" s="1858"/>
    </row>
    <row r="38" spans="1:18" ht="18" customHeight="1" thickBot="1">
      <c r="A38" s="1339" t="s">
        <v>1388</v>
      </c>
      <c r="B38" s="1340" t="s">
        <v>1434</v>
      </c>
      <c r="C38" s="1341">
        <f ca="1">ROUND(C5*F38,1)</f>
        <v>0</v>
      </c>
      <c r="D38" s="1342" t="s">
        <v>1454</v>
      </c>
      <c r="E38" s="1340" t="s">
        <v>1450</v>
      </c>
      <c r="F38" s="1336">
        <f ca="1">INDIRECT("'数据-取费表'!Am"&amp;$G$1)</f>
        <v>0</v>
      </c>
      <c r="G38" s="1850"/>
      <c r="H38" s="1858"/>
      <c r="I38" s="1859"/>
      <c r="J38" s="1860"/>
      <c r="K38" s="1864"/>
      <c r="L38" s="1858"/>
      <c r="M38" s="1858"/>
    </row>
    <row r="39" spans="1:18" ht="24.6" customHeight="1" thickTop="1">
      <c r="A39" s="1329" t="s">
        <v>1028</v>
      </c>
      <c r="B39" s="1344" t="s">
        <v>1478</v>
      </c>
      <c r="C39" s="355">
        <f ca="1">C5-C30</f>
        <v>0</v>
      </c>
      <c r="D39" s="1345" t="s">
        <v>1479</v>
      </c>
      <c r="E39" s="1346"/>
      <c r="F39" s="1347"/>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5" t="s">
        <v>1391</v>
      </c>
      <c r="B47" s="1197" t="s">
        <v>1392</v>
      </c>
      <c r="C47" s="1197" t="s">
        <v>1393</v>
      </c>
      <c r="D47" s="1197" t="s">
        <v>1394</v>
      </c>
      <c r="E47" s="1279" t="s">
        <v>1395</v>
      </c>
      <c r="F47" s="1280"/>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60" t="s">
        <v>1132</v>
      </c>
      <c r="B48" s="345" t="s">
        <v>1396</v>
      </c>
      <c r="C48" s="1816">
        <f ca="1">C49+C53+C55</f>
        <v>0</v>
      </c>
      <c r="D48" s="1362"/>
      <c r="E48" s="1363"/>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4" t="s">
        <v>1133</v>
      </c>
      <c r="B49" s="1828" t="s">
        <v>1485</v>
      </c>
      <c r="C49" s="1364">
        <f ca="1">ROUND(F49*F51*F50*(1-F52),0)</f>
        <v>0</v>
      </c>
      <c r="D49" s="1276" t="s">
        <v>1399</v>
      </c>
      <c r="E49" s="1829" t="s">
        <v>1486</v>
      </c>
      <c r="F49" s="1281"/>
      <c r="G49" s="1890"/>
      <c r="H49" s="793"/>
      <c r="I49" s="1886" t="s">
        <v>1529</v>
      </c>
      <c r="J49" s="1891"/>
      <c r="K49" s="1888" t="s">
        <v>1530</v>
      </c>
      <c r="L49" s="1892"/>
      <c r="O49" s="1893" t="s">
        <v>1039</v>
      </c>
      <c r="P49" s="1884" t="s">
        <v>1531</v>
      </c>
      <c r="Q49" s="1885">
        <f ca="1">C29</f>
        <v>0</v>
      </c>
      <c r="R49" s="1885" t="s">
        <v>1524</v>
      </c>
    </row>
    <row r="50" spans="1:18" s="1841" customFormat="1" ht="13.5" thickBot="1">
      <c r="A50" s="1195"/>
      <c r="B50" s="1198"/>
      <c r="C50" s="1199"/>
      <c r="D50" s="1172"/>
      <c r="E50" s="1277" t="s">
        <v>1401</v>
      </c>
      <c r="F50" s="1278">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6"/>
      <c r="B52" s="1198"/>
      <c r="C52" s="1199"/>
      <c r="D52" s="1172"/>
      <c r="E52" s="1200" t="s">
        <v>1403</v>
      </c>
      <c r="F52" s="1275"/>
      <c r="I52" s="1902" t="s">
        <v>1538</v>
      </c>
      <c r="J52" s="1903"/>
      <c r="K52" s="1902" t="s">
        <v>1539</v>
      </c>
      <c r="L52" s="1903"/>
      <c r="O52" s="1893" t="s">
        <v>1042</v>
      </c>
      <c r="P52" s="1884" t="s">
        <v>1540</v>
      </c>
      <c r="Q52" s="1885">
        <f ca="1">J53</f>
        <v>-2</v>
      </c>
      <c r="R52" s="1885" t="s">
        <v>1541</v>
      </c>
    </row>
    <row r="53" spans="1:18" s="1841" customFormat="1" ht="30.75" customHeight="1" thickBot="1">
      <c r="A53" s="1361" t="s">
        <v>1134</v>
      </c>
      <c r="B53" s="369" t="s">
        <v>1404</v>
      </c>
      <c r="C53" s="361">
        <f ca="1">ROUND(IF(F53="押一",C49/12*F11,IF(F53="押二",C49/12*2*F11,IF(F53="押三",C49/12*3*F11,C54*F11))),0)</f>
        <v>0</v>
      </c>
      <c r="D53" s="1823" t="s">
        <v>3028</v>
      </c>
      <c r="E53" s="358" t="s">
        <v>1405</v>
      </c>
      <c r="F53" s="1366"/>
      <c r="I53" s="1904" t="s">
        <v>1542</v>
      </c>
      <c r="J53" s="2944">
        <f ca="1">IF(M47="住宅",IF(D1="——",MAX(J51,L48),MAX(J51,L48-'数据-取费表'!B24)),IF(D1="——",MIN(J51,L48),MIN(J51,L48-'数据-取费表'!B24)))</f>
        <v>-2</v>
      </c>
      <c r="K53" s="3210" t="s">
        <v>1543</v>
      </c>
      <c r="L53" s="3211"/>
      <c r="O53" s="1883" t="s">
        <v>1043</v>
      </c>
      <c r="P53" s="1884" t="s">
        <v>1544</v>
      </c>
      <c r="Q53" s="1885" t="e">
        <f ca="1">Q47+Q48</f>
        <v>#DIV/0!</v>
      </c>
      <c r="R53" s="1885" t="s">
        <v>1044</v>
      </c>
    </row>
    <row r="54" spans="1:18" s="1841" customFormat="1" ht="13.5" thickBot="1">
      <c r="A54" s="1194"/>
      <c r="B54" s="1939" t="s">
        <v>1598</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3" t="s">
        <v>1072</v>
      </c>
      <c r="B55" s="1826" t="s">
        <v>1408</v>
      </c>
      <c r="C55" s="1334"/>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6">
        <v>2</v>
      </c>
      <c r="B56" s="1177" t="s">
        <v>1409</v>
      </c>
      <c r="C56" s="276">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75" thickBot="1">
      <c r="A57" s="1916"/>
      <c r="B57" s="1169" t="s">
        <v>1473</v>
      </c>
      <c r="C57" s="282">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60" t="s">
        <v>1027</v>
      </c>
      <c r="B58" s="1177" t="s">
        <v>1419</v>
      </c>
      <c r="C58" s="361">
        <f ca="1">ROUND(C59+C64+C65+C66,0)</f>
        <v>0</v>
      </c>
      <c r="D58" s="1179" t="s">
        <v>1420</v>
      </c>
      <c r="E58" s="1180"/>
      <c r="F58" s="1181"/>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IF(项目基本情况!B11="自然人","——",IF(D61="按租金收入计税",ROUND(C48*F61,0),IF(D61="按房产原值计税",ROUND(C57*F61*0.7,0),INDIRECT("'数据-取费表'!Aj"&amp;$G$1))))</f>
        <v>0</v>
      </c>
      <c r="D61" s="1827" t="s">
        <v>1433</v>
      </c>
      <c r="E61" s="1169"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IF(项目基本情况!B11="自然人","——",ROUND(F62*F63,0))</f>
        <v>0</v>
      </c>
      <c r="D62" s="1184" t="s">
        <v>1492</v>
      </c>
      <c r="E62" s="1169" t="s">
        <v>1493</v>
      </c>
      <c r="F62" s="371">
        <f t="shared" si="0"/>
        <v>18</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ROUND(C57*F64,0)</f>
        <v>0</v>
      </c>
      <c r="D64" s="1183" t="s">
        <v>1497</v>
      </c>
      <c r="E64" s="1169"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ROUND(C56*F65,0)</f>
        <v>0</v>
      </c>
      <c r="D65" s="1183" t="s">
        <v>1449</v>
      </c>
      <c r="E65" s="1169"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1" t="s">
        <v>1499</v>
      </c>
      <c r="B66" s="1169" t="s">
        <v>1434</v>
      </c>
      <c r="C66" s="24">
        <f ca="1">ROUND(C48*F66,0)</f>
        <v>0</v>
      </c>
      <c r="D66" s="1183" t="s">
        <v>1500</v>
      </c>
      <c r="E66" s="1169" t="s">
        <v>1417</v>
      </c>
      <c r="F66" s="357">
        <f t="shared" ca="1" si="0"/>
        <v>0</v>
      </c>
      <c r="O66" s="1883" t="s">
        <v>1038</v>
      </c>
      <c r="P66" s="1884" t="s">
        <v>1553</v>
      </c>
      <c r="Q66" s="1885" t="e">
        <f ca="1">L60</f>
        <v>#DIV/0!</v>
      </c>
      <c r="R66" s="1885" t="s">
        <v>1576</v>
      </c>
    </row>
    <row r="67" spans="1:18" s="1841" customFormat="1" ht="16.5" thickBot="1">
      <c r="A67" s="1176" t="s">
        <v>1028</v>
      </c>
      <c r="B67" s="1186" t="s">
        <v>1458</v>
      </c>
      <c r="C67" s="361">
        <f ca="1">C48-C58</f>
        <v>0</v>
      </c>
      <c r="D67" s="1182" t="s">
        <v>1459</v>
      </c>
      <c r="E67" s="1187"/>
      <c r="F67" s="1188"/>
      <c r="O67" s="1893" t="s">
        <v>1039</v>
      </c>
      <c r="P67" s="1884" t="s">
        <v>1557</v>
      </c>
      <c r="Q67" s="1931">
        <f ca="1">L51</f>
        <v>0</v>
      </c>
      <c r="R67" s="1885" t="s">
        <v>1577</v>
      </c>
    </row>
    <row r="68" spans="1:18" s="1841" customFormat="1" ht="16.5" thickBot="1">
      <c r="A68" s="1166" t="s">
        <v>1029</v>
      </c>
      <c r="B68" s="1167" t="s">
        <v>1480</v>
      </c>
      <c r="C68" s="346" t="e">
        <f ca="1">ROUND(C67*(1-((1+F70)/(1+F68))^F69)/(F68-F70),0)</f>
        <v>#DIV/0!</v>
      </c>
      <c r="D68" s="1184" t="s">
        <v>1464</v>
      </c>
      <c r="E68" s="1169" t="s">
        <v>1465</v>
      </c>
      <c r="F68" s="357">
        <f ca="1">F40</f>
        <v>0</v>
      </c>
      <c r="O68" s="1893" t="s">
        <v>1040</v>
      </c>
      <c r="P68" s="1932" t="s">
        <v>1578</v>
      </c>
      <c r="Q68" s="1885">
        <f ca="1">ROUND(Q69-Q70*Q71,0)</f>
        <v>0</v>
      </c>
      <c r="R68" s="1885" t="s">
        <v>1048</v>
      </c>
    </row>
    <row r="69" spans="1:18" s="1841" customFormat="1" ht="13.5" thickBot="1">
      <c r="A69" s="1170"/>
      <c r="B69" s="1171"/>
      <c r="C69" s="351"/>
      <c r="D69" s="1189" t="s">
        <v>1468</v>
      </c>
      <c r="E69" s="1169" t="s">
        <v>1469</v>
      </c>
      <c r="F69" s="379">
        <f ca="1">F41</f>
        <v>0</v>
      </c>
      <c r="O69" s="1893" t="s">
        <v>1045</v>
      </c>
      <c r="P69" s="1932" t="s">
        <v>1579</v>
      </c>
      <c r="Q69" s="1885">
        <f ca="1">C39</f>
        <v>0</v>
      </c>
      <c r="R69" s="1885" t="s">
        <v>1524</v>
      </c>
    </row>
    <row r="70" spans="1:18" s="1841" customFormat="1" ht="13.5" thickBot="1">
      <c r="A70" s="1173"/>
      <c r="B70" s="1174"/>
      <c r="C70" s="355"/>
      <c r="D70" s="1185"/>
      <c r="E70" s="1169" t="s">
        <v>1472</v>
      </c>
      <c r="F70" s="1275">
        <f ca="1">F42</f>
        <v>0</v>
      </c>
      <c r="O70" s="1893" t="s">
        <v>1046</v>
      </c>
      <c r="P70" s="1932" t="s">
        <v>1580</v>
      </c>
      <c r="Q70" s="1885">
        <f ca="1">C13</f>
        <v>0</v>
      </c>
      <c r="R70" s="1885" t="s">
        <v>1524</v>
      </c>
    </row>
    <row r="71" spans="1:18" s="1841" customFormat="1" ht="13.5" thickBot="1">
      <c r="A71" s="1190" t="s">
        <v>1030</v>
      </c>
      <c r="B71" s="1191" t="s">
        <v>1482</v>
      </c>
      <c r="C71" s="382" t="e">
        <f ca="1">ROUND(C68/F71,0)</f>
        <v>#DIV/0!</v>
      </c>
      <c r="D71" s="1192" t="s">
        <v>1483</v>
      </c>
      <c r="E71" s="1193" t="s">
        <v>1484</v>
      </c>
      <c r="F71" s="385">
        <f ca="1">F43</f>
        <v>0</v>
      </c>
      <c r="O71" s="1893" t="s">
        <v>1047</v>
      </c>
      <c r="P71" s="1932" t="s">
        <v>1581</v>
      </c>
      <c r="Q71" s="1896">
        <f ca="1">C76</f>
        <v>0</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7" t="s">
        <v>2511</v>
      </c>
      <c r="B1" s="2558"/>
      <c r="C1" s="2558"/>
      <c r="D1" s="2558"/>
      <c r="E1" s="2559"/>
    </row>
    <row r="2" spans="1:6" ht="15.75">
      <c r="A2" s="2560" t="s">
        <v>2315</v>
      </c>
      <c r="B2" s="2561">
        <f ca="1">SUMIF(B6:B13,"&lt;&gt;#ref!",B6:B13)</f>
        <v>4458</v>
      </c>
      <c r="C2" s="2562" t="s">
        <v>2504</v>
      </c>
      <c r="D2" s="2563" t="s">
        <v>2505</v>
      </c>
      <c r="E2" s="2564">
        <f>SUM(E6:E13)</f>
        <v>10661.28</v>
      </c>
    </row>
    <row r="3" spans="1:6" ht="15.75">
      <c r="A3" s="2560" t="s">
        <v>1390</v>
      </c>
      <c r="B3" s="2561">
        <f ca="1">ROUND(B2*10000/E2,0)</f>
        <v>4181</v>
      </c>
      <c r="C3" s="2562" t="s">
        <v>2512</v>
      </c>
      <c r="D3" s="2565"/>
      <c r="E3" s="2566"/>
    </row>
    <row r="4" spans="1:6" ht="15.75">
      <c r="A4" s="2567"/>
      <c r="B4" s="2565"/>
      <c r="C4" s="2565"/>
      <c r="D4" s="2565"/>
      <c r="E4" s="2566"/>
    </row>
    <row r="5" spans="1:6" ht="15">
      <c r="A5" s="2568" t="s">
        <v>2506</v>
      </c>
      <c r="B5" s="3215" t="s">
        <v>2507</v>
      </c>
      <c r="C5" s="3215"/>
      <c r="D5" s="2569"/>
      <c r="E5" s="2570" t="s">
        <v>2508</v>
      </c>
      <c r="F5" s="2571" t="s">
        <v>2509</v>
      </c>
    </row>
    <row r="6" spans="1:6">
      <c r="A6" s="2572">
        <f>'数据-取费表'!AN6</f>
        <v>0</v>
      </c>
      <c r="B6" s="2571" t="e">
        <f ca="1">IF(F6="是",'数据-取费表'!AO6,0)</f>
        <v>#REF!</v>
      </c>
      <c r="C6" s="2562" t="s">
        <v>2504</v>
      </c>
      <c r="D6" s="2565"/>
      <c r="E6" s="2573">
        <f>IF(OR(A6=0,F6="否"),0,'数据-取费表'!K6+'数据-取费表'!S6)</f>
        <v>0</v>
      </c>
      <c r="F6" s="2574" t="s">
        <v>2510</v>
      </c>
    </row>
    <row r="7" spans="1:6">
      <c r="A7" s="2572" t="str">
        <f>'数据-取费表'!AN7</f>
        <v>收益法</v>
      </c>
      <c r="B7" s="2571">
        <f ca="1">IF(F7="是",'数据-取费表'!AO7,0)</f>
        <v>4458</v>
      </c>
      <c r="C7" s="2562" t="s">
        <v>2504</v>
      </c>
      <c r="D7" s="2565"/>
      <c r="E7" s="2573">
        <f>IF(OR(A7=0,F7="否"),0,'数据-取费表'!K7+'数据-取费表'!S7)</f>
        <v>10661.28</v>
      </c>
      <c r="F7" s="2574" t="s">
        <v>2510</v>
      </c>
    </row>
    <row r="8" spans="1:6">
      <c r="A8" s="2572">
        <f>'数据-取费表'!AN8</f>
        <v>0</v>
      </c>
      <c r="B8" s="2571" t="e">
        <f ca="1">IF(F8="是",'数据-取费表'!AO8,0)</f>
        <v>#REF!</v>
      </c>
      <c r="C8" s="2562" t="s">
        <v>2504</v>
      </c>
      <c r="D8" s="2565"/>
      <c r="E8" s="2573">
        <f>IF(OR(A8=0,F8="否"),0,'数据-取费表'!K8+'数据-取费表'!S8)</f>
        <v>0</v>
      </c>
      <c r="F8" s="2574" t="s">
        <v>2510</v>
      </c>
    </row>
    <row r="9" spans="1:6">
      <c r="A9" s="2572">
        <f>'数据-取费表'!AN9</f>
        <v>0</v>
      </c>
      <c r="B9" s="2571" t="e">
        <f ca="1">IF(F9="是",'数据-取费表'!AO9,0)</f>
        <v>#REF!</v>
      </c>
      <c r="C9" s="2562" t="s">
        <v>2504</v>
      </c>
      <c r="D9" s="2565"/>
      <c r="E9" s="2573">
        <f>IF(OR(A9=0,F9="否"),0,'数据-取费表'!K9+'数据-取费表'!S9)</f>
        <v>0</v>
      </c>
      <c r="F9" s="2574" t="s">
        <v>2510</v>
      </c>
    </row>
    <row r="10" spans="1:6">
      <c r="A10" s="2572">
        <f>'数据-取费表'!AN10</f>
        <v>0</v>
      </c>
      <c r="B10" s="2571" t="e">
        <f ca="1">IF(F10="是",'数据-取费表'!AO10,0)</f>
        <v>#REF!</v>
      </c>
      <c r="C10" s="2562" t="s">
        <v>2504</v>
      </c>
      <c r="D10" s="2565"/>
      <c r="E10" s="2573">
        <f>IF(OR(A10=0,F10="否"),0,'数据-取费表'!K10+'数据-取费表'!S10)</f>
        <v>0</v>
      </c>
      <c r="F10" s="2574" t="s">
        <v>2510</v>
      </c>
    </row>
    <row r="11" spans="1:6">
      <c r="A11" s="2572">
        <f>'数据-取费表'!AN11</f>
        <v>0</v>
      </c>
      <c r="B11" s="2571" t="e">
        <f ca="1">IF(F11="是",'数据-取费表'!AO11,0)</f>
        <v>#REF!</v>
      </c>
      <c r="C11" s="2562" t="s">
        <v>2504</v>
      </c>
      <c r="D11" s="2565"/>
      <c r="E11" s="2573">
        <f>IF(OR(A11=0,F11="否"),0,'数据-取费表'!K11+'数据-取费表'!S11)</f>
        <v>0</v>
      </c>
      <c r="F11" s="2574" t="s">
        <v>2510</v>
      </c>
    </row>
    <row r="12" spans="1:6">
      <c r="A12" s="2572">
        <f>'数据-取费表'!AN12</f>
        <v>0</v>
      </c>
      <c r="B12" s="2571" t="e">
        <f ca="1">IF(F12="是",'数据-取费表'!AO12,0)</f>
        <v>#REF!</v>
      </c>
      <c r="C12" s="2562" t="s">
        <v>2504</v>
      </c>
      <c r="D12" s="2565"/>
      <c r="E12" s="2573">
        <f>IF(OR(A12=0,F12="否"),0,'数据-取费表'!K12+'数据-取费表'!S12)</f>
        <v>0</v>
      </c>
      <c r="F12" s="2574" t="s">
        <v>2510</v>
      </c>
    </row>
    <row r="13" spans="1:6" ht="15" thickBot="1">
      <c r="A13" s="2575">
        <f>'数据-取费表'!AN13</f>
        <v>0</v>
      </c>
      <c r="B13" s="2571" t="e">
        <f ca="1">IF(F13="是",'数据-取费表'!AO13,0)</f>
        <v>#REF!</v>
      </c>
      <c r="C13" s="2576" t="s">
        <v>2504</v>
      </c>
      <c r="D13" s="2577"/>
      <c r="E13" s="2573">
        <f>IF(OR(A13=0,F13="否"),0,'数据-取费表'!K13+'数据-取费表'!S13)</f>
        <v>0</v>
      </c>
      <c r="F13" s="2574"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19" sqref="F19"/>
    </sheetView>
  </sheetViews>
  <sheetFormatPr defaultRowHeight="13.5"/>
  <cols>
    <col min="1" max="1" width="10.5" customWidth="1"/>
    <col min="2" max="2" width="12.875" customWidth="1"/>
    <col min="3" max="3" width="8.75" customWidth="1"/>
  </cols>
  <sheetData>
    <row r="1" spans="1:9" ht="14.25">
      <c r="A1" s="3216" t="s">
        <v>1073</v>
      </c>
      <c r="B1" s="3217"/>
      <c r="C1" s="3218"/>
      <c r="D1" s="3219">
        <f>SUM(I10,I15,I20,I21,I23)</f>
        <v>0</v>
      </c>
      <c r="E1" s="3219"/>
      <c r="F1" s="3219"/>
      <c r="G1" s="3219"/>
      <c r="H1" s="3219"/>
      <c r="I1" s="3220"/>
    </row>
    <row r="2" spans="1:9">
      <c r="A2" s="3221" t="s">
        <v>1074</v>
      </c>
      <c r="B2" s="3222" t="s">
        <v>1075</v>
      </c>
      <c r="C2" s="3222"/>
      <c r="D2" s="1301" t="s">
        <v>1076</v>
      </c>
      <c r="E2" s="1301" t="s">
        <v>1077</v>
      </c>
      <c r="F2" s="1301" t="s">
        <v>1078</v>
      </c>
      <c r="G2" s="1301" t="s">
        <v>1079</v>
      </c>
      <c r="H2" s="1301" t="s">
        <v>1080</v>
      </c>
      <c r="I2" s="1302" t="s">
        <v>1081</v>
      </c>
    </row>
    <row r="3" spans="1:9">
      <c r="A3" s="3221"/>
      <c r="B3" s="3222" t="s">
        <v>1082</v>
      </c>
      <c r="C3" s="3222"/>
      <c r="D3" s="1303"/>
      <c r="E3" s="1301"/>
      <c r="F3" s="1304"/>
      <c r="G3" s="1304"/>
      <c r="H3" s="1305"/>
      <c r="I3" s="1306">
        <f>ROUND(D3*E3*F3*G3*H3/10000,0)</f>
        <v>0</v>
      </c>
    </row>
    <row r="4" spans="1:9">
      <c r="A4" s="3221"/>
      <c r="B4" s="3222" t="s">
        <v>1083</v>
      </c>
      <c r="C4" s="3222"/>
      <c r="D4" s="1303"/>
      <c r="E4" s="1301"/>
      <c r="F4" s="1304"/>
      <c r="G4" s="1304"/>
      <c r="H4" s="1305"/>
      <c r="I4" s="1306">
        <f t="shared" ref="I4:I9" si="0">ROUND(D4*E4*F4*G4*H4/10000,0)</f>
        <v>0</v>
      </c>
    </row>
    <row r="5" spans="1:9">
      <c r="A5" s="3221"/>
      <c r="B5" s="3222" t="s">
        <v>1084</v>
      </c>
      <c r="C5" s="3222"/>
      <c r="D5" s="1303"/>
      <c r="E5" s="1301"/>
      <c r="F5" s="1304"/>
      <c r="G5" s="1304"/>
      <c r="H5" s="1305"/>
      <c r="I5" s="1306">
        <f t="shared" si="0"/>
        <v>0</v>
      </c>
    </row>
    <row r="6" spans="1:9">
      <c r="A6" s="3221"/>
      <c r="B6" s="3222" t="s">
        <v>1085</v>
      </c>
      <c r="C6" s="3222"/>
      <c r="D6" s="1303"/>
      <c r="E6" s="1301"/>
      <c r="F6" s="1304"/>
      <c r="G6" s="1304"/>
      <c r="H6" s="1305"/>
      <c r="I6" s="1306">
        <f t="shared" si="0"/>
        <v>0</v>
      </c>
    </row>
    <row r="7" spans="1:9">
      <c r="A7" s="3221"/>
      <c r="B7" s="3222" t="s">
        <v>1086</v>
      </c>
      <c r="C7" s="3222"/>
      <c r="D7" s="1303"/>
      <c r="E7" s="1301"/>
      <c r="F7" s="1304"/>
      <c r="G7" s="1304"/>
      <c r="H7" s="1305"/>
      <c r="I7" s="1306">
        <f t="shared" si="0"/>
        <v>0</v>
      </c>
    </row>
    <row r="8" spans="1:9">
      <c r="A8" s="3221"/>
      <c r="B8" s="3222" t="s">
        <v>1087</v>
      </c>
      <c r="C8" s="3222"/>
      <c r="D8" s="1303"/>
      <c r="E8" s="1301"/>
      <c r="F8" s="1304"/>
      <c r="G8" s="1304"/>
      <c r="H8" s="1305"/>
      <c r="I8" s="1306">
        <f t="shared" si="0"/>
        <v>0</v>
      </c>
    </row>
    <row r="9" spans="1:9">
      <c r="A9" s="3221"/>
      <c r="B9" s="3222" t="s">
        <v>1088</v>
      </c>
      <c r="C9" s="3222"/>
      <c r="D9" s="1303"/>
      <c r="E9" s="1301"/>
      <c r="F9" s="1304"/>
      <c r="G9" s="1304"/>
      <c r="H9" s="1305"/>
      <c r="I9" s="1306">
        <f t="shared" si="0"/>
        <v>0</v>
      </c>
    </row>
    <row r="10" spans="1:9">
      <c r="A10" s="3221"/>
      <c r="B10" s="3223" t="s">
        <v>1089</v>
      </c>
      <c r="C10" s="3223"/>
      <c r="D10" s="1307"/>
      <c r="E10" s="1307" t="e">
        <f>ROUND(D1*10000/D10/H9,0)</f>
        <v>#DIV/0!</v>
      </c>
      <c r="F10" s="1308"/>
      <c r="G10" s="1308"/>
      <c r="H10" s="1309"/>
      <c r="I10" s="1310">
        <f>SUM(I3:I9)</f>
        <v>0</v>
      </c>
    </row>
    <row r="11" spans="1:9" ht="14.25">
      <c r="A11" s="3221" t="s">
        <v>1090</v>
      </c>
      <c r="B11" s="3222" t="s">
        <v>1091</v>
      </c>
      <c r="C11" s="3222"/>
      <c r="D11" s="1303" t="s">
        <v>1092</v>
      </c>
      <c r="E11" s="1303" t="s">
        <v>1093</v>
      </c>
      <c r="F11" s="1304" t="s">
        <v>1094</v>
      </c>
      <c r="G11" s="1304" t="s">
        <v>1080</v>
      </c>
      <c r="H11" s="1311" t="s">
        <v>1095</v>
      </c>
      <c r="I11" s="1302" t="s">
        <v>1081</v>
      </c>
    </row>
    <row r="12" spans="1:9">
      <c r="A12" s="3221"/>
      <c r="B12" s="3222" t="s">
        <v>1096</v>
      </c>
      <c r="C12" s="3222"/>
      <c r="D12" s="1303"/>
      <c r="E12" s="1303"/>
      <c r="F12" s="1304"/>
      <c r="G12" s="1305"/>
      <c r="H12" s="1312"/>
      <c r="I12" s="1302">
        <f>ROUND(D12*E12*F12*G12/10000,0)</f>
        <v>0</v>
      </c>
    </row>
    <row r="13" spans="1:9">
      <c r="A13" s="3221"/>
      <c r="B13" s="3222" t="s">
        <v>1097</v>
      </c>
      <c r="C13" s="3222"/>
      <c r="D13" s="1303"/>
      <c r="E13" s="1303"/>
      <c r="F13" s="1304"/>
      <c r="G13" s="1305"/>
      <c r="H13" s="1312"/>
      <c r="I13" s="1302">
        <f>ROUND(D13*E13*F13*G13/10000,0)</f>
        <v>0</v>
      </c>
    </row>
    <row r="14" spans="1:9">
      <c r="A14" s="3221"/>
      <c r="B14" s="3222" t="s">
        <v>1098</v>
      </c>
      <c r="C14" s="3222"/>
      <c r="D14" s="1303"/>
      <c r="E14" s="1303"/>
      <c r="F14" s="1304"/>
      <c r="G14" s="1305"/>
      <c r="H14" s="1312"/>
      <c r="I14" s="1302">
        <f>ROUND(D14*E14*F14*G14/10000,0)</f>
        <v>0</v>
      </c>
    </row>
    <row r="15" spans="1:9">
      <c r="A15" s="3221"/>
      <c r="B15" s="3223" t="s">
        <v>1089</v>
      </c>
      <c r="C15" s="3223"/>
      <c r="D15" s="1307"/>
      <c r="E15" s="1307">
        <f>SUM(E12:E14)</f>
        <v>0</v>
      </c>
      <c r="F15" s="1308"/>
      <c r="G15" s="1305"/>
      <c r="H15" s="1312"/>
      <c r="I15" s="1313">
        <f>SUM(I12:I14)</f>
        <v>0</v>
      </c>
    </row>
    <row r="16" spans="1:9" ht="24">
      <c r="A16" s="3221" t="s">
        <v>1099</v>
      </c>
      <c r="B16" s="3222" t="s">
        <v>1100</v>
      </c>
      <c r="C16" s="3222"/>
      <c r="D16" s="1303" t="s">
        <v>1076</v>
      </c>
      <c r="E16" s="1314" t="s">
        <v>1101</v>
      </c>
      <c r="F16" s="1304" t="s">
        <v>1102</v>
      </c>
      <c r="G16" s="1305" t="s">
        <v>1080</v>
      </c>
      <c r="H16" s="1311" t="s">
        <v>1095</v>
      </c>
      <c r="I16" s="1302" t="s">
        <v>1081</v>
      </c>
    </row>
    <row r="17" spans="1:9" ht="14.25">
      <c r="A17" s="3221"/>
      <c r="B17" s="3222" t="s">
        <v>1103</v>
      </c>
      <c r="C17" s="3222"/>
      <c r="D17" s="1303"/>
      <c r="E17" s="1303"/>
      <c r="F17" s="1304"/>
      <c r="G17" s="1305"/>
      <c r="H17" s="1315"/>
      <c r="I17" s="1316">
        <f>ROUND(D17*E17*F17*G17/10000,0)</f>
        <v>0</v>
      </c>
    </row>
    <row r="18" spans="1:9" ht="14.25">
      <c r="A18" s="3221"/>
      <c r="B18" s="3222" t="s">
        <v>1104</v>
      </c>
      <c r="C18" s="3222"/>
      <c r="D18" s="1303"/>
      <c r="E18" s="1303"/>
      <c r="F18" s="1304"/>
      <c r="G18" s="1305"/>
      <c r="H18" s="1315"/>
      <c r="I18" s="1316">
        <f>ROUND(D18*E18*F18*G18/10000,0)</f>
        <v>0</v>
      </c>
    </row>
    <row r="19" spans="1:9" ht="14.25">
      <c r="A19" s="3221"/>
      <c r="B19" s="3222" t="s">
        <v>1105</v>
      </c>
      <c r="C19" s="3222"/>
      <c r="D19" s="1303"/>
      <c r="E19" s="1303"/>
      <c r="F19" s="1304"/>
      <c r="G19" s="1305"/>
      <c r="H19" s="1315"/>
      <c r="I19" s="1316">
        <f>ROUND(D19*E19*F19*G19/10000,0)</f>
        <v>0</v>
      </c>
    </row>
    <row r="20" spans="1:9">
      <c r="A20" s="3221"/>
      <c r="B20" s="3223" t="s">
        <v>1089</v>
      </c>
      <c r="C20" s="3223"/>
      <c r="D20" s="1307">
        <f>SUM(D17:D19)</f>
        <v>0</v>
      </c>
      <c r="E20" s="1307"/>
      <c r="F20" s="1308"/>
      <c r="G20" s="1305"/>
      <c r="H20" s="1312"/>
      <c r="I20" s="1313">
        <f>SUM(I17:I19)</f>
        <v>0</v>
      </c>
    </row>
    <row r="21" spans="1:9">
      <c r="A21" s="3221" t="s">
        <v>1106</v>
      </c>
      <c r="B21" s="3225"/>
      <c r="C21" s="3225"/>
      <c r="D21" s="3225"/>
      <c r="E21" s="3225"/>
      <c r="F21" s="3225"/>
      <c r="G21" s="3225"/>
      <c r="H21" s="1764">
        <v>0.1</v>
      </c>
      <c r="I21" s="1310">
        <f>ROUND(I10*H21,0)</f>
        <v>0</v>
      </c>
    </row>
    <row r="22" spans="1:9" ht="14.25">
      <c r="A22" s="3226" t="s">
        <v>1107</v>
      </c>
      <c r="B22" s="3227"/>
      <c r="C22" s="3228"/>
      <c r="D22" s="1317" t="s">
        <v>1108</v>
      </c>
      <c r="E22" s="1317" t="s">
        <v>1109</v>
      </c>
      <c r="F22" s="1318" t="s">
        <v>1110</v>
      </c>
      <c r="G22" s="1318" t="s">
        <v>1111</v>
      </c>
      <c r="H22" s="1311" t="s">
        <v>1112</v>
      </c>
      <c r="I22" s="1302" t="s">
        <v>1113</v>
      </c>
    </row>
    <row r="23" spans="1:9" ht="14.25" thickBot="1">
      <c r="A23" s="3229"/>
      <c r="B23" s="3230"/>
      <c r="C23" s="3231"/>
      <c r="D23" s="1319"/>
      <c r="E23" s="1319"/>
      <c r="F23" s="1319"/>
      <c r="G23" s="1320"/>
      <c r="H23" s="1321"/>
      <c r="I23" s="1322">
        <f>ROUND(E23*D23*F23*(1-G23)/10000,0)</f>
        <v>0</v>
      </c>
    </row>
    <row r="26" spans="1:9">
      <c r="A26" s="1323" t="s">
        <v>1114</v>
      </c>
      <c r="B26" s="1323"/>
      <c r="C26" s="1323"/>
      <c r="D26" s="1323"/>
      <c r="E26" s="3232">
        <f>C27-C30-C31-C32</f>
        <v>0</v>
      </c>
      <c r="F26" s="3232"/>
      <c r="G26" s="3232"/>
      <c r="H26" s="1736" t="s">
        <v>1336</v>
      </c>
    </row>
    <row r="27" spans="1:9">
      <c r="A27" s="1324">
        <v>1</v>
      </c>
      <c r="B27" s="1325" t="s">
        <v>1115</v>
      </c>
      <c r="C27" s="1325">
        <f>C28+C29</f>
        <v>0</v>
      </c>
      <c r="D27" s="1325"/>
      <c r="E27" s="3233"/>
      <c r="F27" s="3233"/>
      <c r="G27" s="3233"/>
    </row>
    <row r="28" spans="1:9">
      <c r="A28" s="1326" t="s">
        <v>1116</v>
      </c>
      <c r="B28" s="1325" t="s">
        <v>1117</v>
      </c>
      <c r="C28" s="1325"/>
      <c r="D28" s="1325"/>
      <c r="E28" s="3233"/>
      <c r="F28" s="3233"/>
      <c r="G28" s="3233"/>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24"/>
      <c r="F32" s="3224"/>
      <c r="G32" s="3224"/>
    </row>
    <row r="33" spans="1:7" hidden="1">
      <c r="A33" s="3234" t="s">
        <v>1126</v>
      </c>
      <c r="B33" s="3235"/>
      <c r="C33" s="3235"/>
      <c r="D33" s="3236"/>
      <c r="E33" s="3232"/>
      <c r="F33" s="3232"/>
      <c r="G33" s="3232"/>
    </row>
    <row r="34" spans="1:7" hidden="1">
      <c r="A34" s="1328">
        <v>1</v>
      </c>
      <c r="B34" s="1325" t="s">
        <v>1127</v>
      </c>
      <c r="C34" s="1325"/>
      <c r="D34" s="1325"/>
      <c r="E34" s="3233"/>
      <c r="F34" s="3233"/>
      <c r="G34" s="3233"/>
    </row>
    <row r="35" spans="1:7" hidden="1">
      <c r="A35" s="1328">
        <v>2</v>
      </c>
      <c r="B35" s="1325" t="s">
        <v>1128</v>
      </c>
      <c r="C35" s="1325"/>
      <c r="D35" s="1325"/>
      <c r="E35" s="3233"/>
      <c r="F35" s="3233"/>
      <c r="G35" s="3233"/>
    </row>
    <row r="36" spans="1:7" hidden="1">
      <c r="A36" s="1328">
        <v>3</v>
      </c>
      <c r="B36" s="1325" t="s">
        <v>1129</v>
      </c>
      <c r="C36" s="1325"/>
      <c r="D36" s="1325"/>
      <c r="E36" s="3233"/>
      <c r="F36" s="3233"/>
      <c r="G36" s="3233"/>
    </row>
    <row r="37" spans="1:7" hidden="1">
      <c r="A37" s="1328">
        <v>4</v>
      </c>
      <c r="B37" s="1325" t="s">
        <v>1130</v>
      </c>
      <c r="C37" s="1325"/>
      <c r="D37" s="1325"/>
      <c r="E37" s="3233"/>
      <c r="F37" s="3233"/>
      <c r="G37" s="3233"/>
    </row>
    <row r="38" spans="1:7" hidden="1">
      <c r="A38" s="3234" t="s">
        <v>1131</v>
      </c>
      <c r="B38" s="3235"/>
      <c r="C38" s="3235"/>
      <c r="D38" s="3236"/>
      <c r="E38" s="3232"/>
      <c r="F38" s="3232"/>
      <c r="G38" s="323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 zoomScale="90" zoomScaleNormal="90" workbookViewId="0">
      <selection activeCell="H34" sqref="H3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2513</v>
      </c>
      <c r="B1" s="2578" t="s">
        <v>2514</v>
      </c>
      <c r="C1" s="1633" t="s">
        <v>2515</v>
      </c>
      <c r="D1" s="1620" t="s">
        <v>3339</v>
      </c>
      <c r="E1" s="2579"/>
      <c r="F1" s="2580" t="s">
        <v>2516</v>
      </c>
      <c r="G1" s="1630" t="s">
        <v>2517</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3" customFormat="1" ht="28.5" customHeight="1" thickTop="1">
      <c r="A2" s="1616" t="s">
        <v>1389</v>
      </c>
      <c r="B2" s="1418">
        <f>IF(C2="——",ROUND(C49*D3/10000,0),ROUND(C49*D3/10000,0)-D2)</f>
        <v>22346</v>
      </c>
      <c r="C2" s="2582" t="s">
        <v>70</v>
      </c>
      <c r="D2" s="1365" t="e">
        <f ca="1">SUMIF(INDIRECT("'"&amp;F2&amp;"'"&amp;"!A:A"),"承租人权益价值",INDIRECT("'"&amp;F2&amp;"'"&amp;"!c:c"))</f>
        <v>#REF!</v>
      </c>
      <c r="E2" s="2583" t="s">
        <v>2518</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1390</v>
      </c>
      <c r="B3" s="399">
        <f>IF(C2="——",C49,ROUND(B2*10000/D3,0))</f>
        <v>5240</v>
      </c>
      <c r="C3" s="400" t="s">
        <v>2519</v>
      </c>
      <c r="D3" s="399">
        <f>IF(D1="",'数据-汇总表'!E3,SUMIF('数据-汇总表'!$C19:$C33,D1,'数据-汇总表'!$E19:$E33))</f>
        <v>42645.120000000003</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2520</v>
      </c>
      <c r="B4" s="402"/>
      <c r="C4" s="3182" t="s">
        <v>2521</v>
      </c>
      <c r="D4" s="3183"/>
      <c r="E4" s="3184" t="s">
        <v>2522</v>
      </c>
      <c r="F4" s="3185"/>
      <c r="G4" s="3182" t="s">
        <v>2523</v>
      </c>
      <c r="H4" s="3183"/>
      <c r="I4" s="3182" t="s">
        <v>2524</v>
      </c>
      <c r="J4" s="3183"/>
      <c r="K4" s="2592" t="s">
        <v>2525</v>
      </c>
      <c r="L4" s="1130"/>
      <c r="M4" s="1131"/>
      <c r="N4" s="1131"/>
      <c r="O4" s="1131"/>
      <c r="P4" s="3186" t="s">
        <v>2526</v>
      </c>
      <c r="Q4" s="3187"/>
      <c r="R4" s="3169" t="s">
        <v>2522</v>
      </c>
      <c r="S4" s="3170"/>
      <c r="T4" s="3169" t="s">
        <v>2523</v>
      </c>
      <c r="U4" s="3170"/>
      <c r="V4" s="3194" t="s">
        <v>2524</v>
      </c>
      <c r="W4" s="3194"/>
      <c r="X4" s="1812"/>
      <c r="Y4" s="3169" t="s">
        <v>2526</v>
      </c>
      <c r="Z4" s="3170"/>
      <c r="AA4" s="3164" t="s">
        <v>2522</v>
      </c>
      <c r="AB4" s="3164" t="s">
        <v>2523</v>
      </c>
      <c r="AC4" s="3164" t="s">
        <v>2524</v>
      </c>
    </row>
    <row r="5" spans="1:29" ht="15">
      <c r="A5" s="404"/>
      <c r="B5" s="405"/>
      <c r="C5" s="3175" t="s">
        <v>2527</v>
      </c>
      <c r="D5" s="3176"/>
      <c r="E5" s="3237" t="s">
        <v>3693</v>
      </c>
      <c r="F5" s="3174"/>
      <c r="G5" s="3238" t="s">
        <v>3708</v>
      </c>
      <c r="H5" s="3176"/>
      <c r="I5" s="3238" t="s">
        <v>3709</v>
      </c>
      <c r="J5" s="3176"/>
      <c r="K5" s="2593"/>
      <c r="L5" s="1130"/>
      <c r="M5" s="1131"/>
      <c r="N5" s="1131"/>
      <c r="O5" s="1131"/>
      <c r="P5" s="3188"/>
      <c r="Q5" s="3189"/>
      <c r="R5" s="3171"/>
      <c r="S5" s="3172"/>
      <c r="T5" s="3171"/>
      <c r="U5" s="3172"/>
      <c r="V5" s="3194"/>
      <c r="W5" s="3194"/>
      <c r="X5" s="1812"/>
      <c r="Y5" s="3171"/>
      <c r="Z5" s="3172"/>
      <c r="AA5" s="3165"/>
      <c r="AB5" s="3165"/>
      <c r="AC5" s="3165"/>
    </row>
    <row r="6" spans="1:29" ht="15.75" thickBot="1">
      <c r="A6" s="406"/>
      <c r="B6" s="407"/>
      <c r="C6" s="3177" t="s">
        <v>2531</v>
      </c>
      <c r="D6" s="3178"/>
      <c r="E6" s="3179" t="s">
        <v>2531</v>
      </c>
      <c r="F6" s="3180"/>
      <c r="G6" s="3177" t="s">
        <v>2531</v>
      </c>
      <c r="H6" s="3178"/>
      <c r="I6" s="3177" t="s">
        <v>2531</v>
      </c>
      <c r="J6" s="3178"/>
      <c r="K6" s="2593" t="s">
        <v>2532</v>
      </c>
      <c r="L6" s="1130"/>
      <c r="M6" s="1131"/>
      <c r="N6" s="1131"/>
      <c r="O6" s="1131"/>
      <c r="P6" s="3190"/>
      <c r="Q6" s="3191"/>
      <c r="R6" s="3171"/>
      <c r="S6" s="3172"/>
      <c r="T6" s="3192"/>
      <c r="U6" s="3193"/>
      <c r="V6" s="3194"/>
      <c r="W6" s="3194"/>
      <c r="X6" s="1812"/>
      <c r="Y6" s="3192"/>
      <c r="Z6" s="3193"/>
      <c r="AA6" s="3166"/>
      <c r="AB6" s="3166"/>
      <c r="AC6" s="3166"/>
    </row>
    <row r="7" spans="1:29" s="117" customFormat="1" ht="15.75" thickBot="1">
      <c r="A7" s="408" t="s">
        <v>2533</v>
      </c>
      <c r="B7" s="409"/>
      <c r="C7" s="410">
        <f>'数据-取费表'!B2</f>
        <v>44018</v>
      </c>
      <c r="D7" s="411">
        <v>100</v>
      </c>
      <c r="E7" s="412">
        <v>44013</v>
      </c>
      <c r="F7" s="413">
        <f>SUMIF(58:58,YEAR(E7)&amp;"-"&amp;MONTH(E7),59:59)</f>
        <v>100</v>
      </c>
      <c r="G7" s="412">
        <v>44013</v>
      </c>
      <c r="H7" s="411">
        <f>SUMIF(58:58,YEAR(G7)&amp;"-"&amp;MONTH(G7),59:59)</f>
        <v>100</v>
      </c>
      <c r="I7" s="412">
        <v>44013</v>
      </c>
      <c r="J7" s="411">
        <f>SUMIF(58:58,YEAR(I7)&amp;"-"&amp;MONTH(I7),59:59)</f>
        <v>100</v>
      </c>
      <c r="K7" s="2594"/>
      <c r="L7" s="1132"/>
      <c r="M7" s="1133"/>
      <c r="N7" s="1133"/>
      <c r="O7" s="1133"/>
      <c r="P7" s="3167" t="s">
        <v>2534</v>
      </c>
      <c r="Q7" s="3195"/>
      <c r="R7" s="770" t="s">
        <v>23</v>
      </c>
      <c r="S7" s="771">
        <f t="shared" ref="S7:S15" si="0">F7</f>
        <v>100</v>
      </c>
      <c r="T7" s="770" t="s">
        <v>23</v>
      </c>
      <c r="U7" s="771">
        <f t="shared" ref="U7:U15" si="1">H7</f>
        <v>100</v>
      </c>
      <c r="V7" s="770" t="s">
        <v>23</v>
      </c>
      <c r="W7" s="771">
        <f t="shared" ref="W7:W15" si="2">J7</f>
        <v>100</v>
      </c>
      <c r="X7" s="772"/>
      <c r="Y7" s="3167" t="s">
        <v>2534</v>
      </c>
      <c r="Z7" s="3168"/>
      <c r="AA7" s="773">
        <f>D7/F7</f>
        <v>1</v>
      </c>
      <c r="AB7" s="773">
        <f>D7/H7</f>
        <v>1</v>
      </c>
      <c r="AC7" s="773">
        <f>D7/J7</f>
        <v>1</v>
      </c>
    </row>
    <row r="8" spans="1:29" s="117" customFormat="1" ht="15.75" thickBot="1">
      <c r="A8" s="408" t="s">
        <v>2535</v>
      </c>
      <c r="B8" s="409"/>
      <c r="C8" s="414" t="s">
        <v>2536</v>
      </c>
      <c r="D8" s="411">
        <v>100</v>
      </c>
      <c r="E8" s="2595" t="s">
        <v>3694</v>
      </c>
      <c r="F8" s="413">
        <f>SUMIF(61:61,E8,62:62)-SUMIF(61:61,C8,62:62)+100</f>
        <v>100</v>
      </c>
      <c r="G8" s="2595" t="s">
        <v>3694</v>
      </c>
      <c r="H8" s="411">
        <f>SUMIF(61:61,G8,62:62)-SUMIF(61:61,C8,62:62)+100</f>
        <v>100</v>
      </c>
      <c r="I8" s="2595" t="s">
        <v>3694</v>
      </c>
      <c r="J8" s="411">
        <f>SUMIF(61:61,I8,62:62)-SUMIF(61:61,C8,62:62)+100</f>
        <v>100</v>
      </c>
      <c r="K8" s="2594"/>
      <c r="L8" s="1132"/>
      <c r="M8" s="1133"/>
      <c r="N8" s="1133"/>
      <c r="O8" s="1133"/>
      <c r="P8" s="3167" t="s">
        <v>2537</v>
      </c>
      <c r="Q8" s="3168"/>
      <c r="R8" s="770" t="s">
        <v>23</v>
      </c>
      <c r="S8" s="771">
        <f t="shared" si="0"/>
        <v>100</v>
      </c>
      <c r="T8" s="770" t="s">
        <v>23</v>
      </c>
      <c r="U8" s="771">
        <f t="shared" si="1"/>
        <v>100</v>
      </c>
      <c r="V8" s="770" t="s">
        <v>23</v>
      </c>
      <c r="W8" s="771">
        <f t="shared" si="2"/>
        <v>100</v>
      </c>
      <c r="X8" s="772"/>
      <c r="Y8" s="3167" t="s">
        <v>2537</v>
      </c>
      <c r="Z8" s="3168"/>
      <c r="AA8" s="773">
        <f t="shared" ref="AA8:AA19" si="3">D8/F8</f>
        <v>1</v>
      </c>
      <c r="AB8" s="773">
        <f t="shared" ref="AB8:AB19" si="4">D8/H8</f>
        <v>1</v>
      </c>
      <c r="AC8" s="773">
        <f t="shared" ref="AC8:AC19" si="5">D8/J8</f>
        <v>1</v>
      </c>
    </row>
    <row r="9" spans="1:29" s="117" customFormat="1">
      <c r="A9" s="415" t="s">
        <v>2538</v>
      </c>
      <c r="B9" s="71" t="s">
        <v>2539</v>
      </c>
      <c r="C9" s="2977" t="s">
        <v>3691</v>
      </c>
      <c r="D9" s="135">
        <v>100</v>
      </c>
      <c r="E9" s="417" t="s">
        <v>3339</v>
      </c>
      <c r="F9" s="418">
        <f>SUMIF(63:63,E9,64:64)-SUMIF(63:63,C9,64:64)+100</f>
        <v>100</v>
      </c>
      <c r="G9" s="417" t="s">
        <v>3339</v>
      </c>
      <c r="H9" s="135">
        <f>SUMIF(63:63,G9,64:64)-SUMIF(63:63,C9,64:64)+100</f>
        <v>100</v>
      </c>
      <c r="I9" s="417" t="s">
        <v>3339</v>
      </c>
      <c r="J9" s="135">
        <f>SUMIF(63:63,I9,64:64)-SUMIF(63:63,C9,64:64)+100</f>
        <v>100</v>
      </c>
      <c r="K9" s="2594"/>
      <c r="L9" s="1132"/>
      <c r="M9" s="1133"/>
      <c r="N9" s="1133"/>
      <c r="O9" s="1133"/>
      <c r="P9" s="3205" t="s">
        <v>2540</v>
      </c>
      <c r="Q9" s="1794" t="str">
        <f t="shared" ref="Q9:Q15" si="6">B9</f>
        <v>用途</v>
      </c>
      <c r="R9" s="770" t="s">
        <v>17</v>
      </c>
      <c r="S9" s="771">
        <f t="shared" si="0"/>
        <v>100</v>
      </c>
      <c r="T9" s="770" t="s">
        <v>17</v>
      </c>
      <c r="U9" s="771">
        <f t="shared" si="1"/>
        <v>100</v>
      </c>
      <c r="V9" s="770" t="s">
        <v>17</v>
      </c>
      <c r="W9" s="771">
        <f t="shared" si="2"/>
        <v>100</v>
      </c>
      <c r="X9" s="772"/>
      <c r="Y9" s="3044" t="s">
        <v>2541</v>
      </c>
      <c r="Z9" s="55" t="str">
        <f t="shared" ref="Z9:Z15" si="7">Q9</f>
        <v>用途</v>
      </c>
      <c r="AA9" s="773">
        <f t="shared" si="3"/>
        <v>1</v>
      </c>
      <c r="AB9" s="773">
        <f t="shared" si="4"/>
        <v>1</v>
      </c>
      <c r="AC9" s="773">
        <f t="shared" si="5"/>
        <v>1</v>
      </c>
    </row>
    <row r="10" spans="1:29" s="427" customFormat="1" ht="27">
      <c r="A10" s="421"/>
      <c r="B10" s="422" t="s">
        <v>2542</v>
      </c>
      <c r="C10" s="423" t="s">
        <v>3692</v>
      </c>
      <c r="D10" s="136">
        <v>100</v>
      </c>
      <c r="E10" s="423" t="s">
        <v>3692</v>
      </c>
      <c r="F10" s="425">
        <f>SUMIF(65:65,E10,66:66)-SUMIF(65:65,C10,66:66)+100</f>
        <v>100</v>
      </c>
      <c r="G10" s="423" t="s">
        <v>3692</v>
      </c>
      <c r="H10" s="136">
        <f>SUMIF(65:65,G10,66:66)-SUMIF(65:65,C10,66:66)+100</f>
        <v>100</v>
      </c>
      <c r="I10" s="423" t="s">
        <v>3692</v>
      </c>
      <c r="J10" s="136">
        <f>SUMIF(65:65,I10,66:66)-SUMIF(65:65,C10,66:66)+100</f>
        <v>100</v>
      </c>
      <c r="K10" s="426">
        <v>1</v>
      </c>
      <c r="L10" s="1135"/>
      <c r="M10" s="1136"/>
      <c r="N10" s="1136"/>
      <c r="O10" s="1136"/>
      <c r="P10" s="3205"/>
      <c r="Q10" s="1794"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75" thickBot="1">
      <c r="A11" s="428"/>
      <c r="B11" s="422" t="s">
        <v>2543</v>
      </c>
      <c r="C11" s="429">
        <f>'数据-汇总表'!I6</f>
        <v>2.5</v>
      </c>
      <c r="D11" s="136">
        <v>100</v>
      </c>
      <c r="E11" s="430">
        <v>3.1</v>
      </c>
      <c r="F11" s="425">
        <f>LOOKUP(E11,68:68,69:69)-LOOKUP(C11,68:68,69:69)+100</f>
        <v>97</v>
      </c>
      <c r="G11" s="429">
        <v>5</v>
      </c>
      <c r="H11" s="136">
        <f>LOOKUP(G11,68:68,69:69)-LOOKUP(C11,68:68,69:69)+100</f>
        <v>91</v>
      </c>
      <c r="I11" s="429">
        <v>5</v>
      </c>
      <c r="J11" s="136">
        <f>LOOKUP(I11,68:68,69:69)-LOOKUP(C11,68:68,69:69)+100</f>
        <v>91</v>
      </c>
      <c r="K11" s="426">
        <v>3</v>
      </c>
      <c r="L11" s="1138"/>
      <c r="M11" s="1131"/>
      <c r="N11" s="1131"/>
      <c r="O11" s="1131"/>
      <c r="P11" s="3205"/>
      <c r="Q11" s="1794" t="str">
        <f t="shared" si="6"/>
        <v>容积率</v>
      </c>
      <c r="R11" s="770" t="s">
        <v>21</v>
      </c>
      <c r="S11" s="771">
        <f t="shared" si="0"/>
        <v>97</v>
      </c>
      <c r="T11" s="770" t="s">
        <v>21</v>
      </c>
      <c r="U11" s="771">
        <f t="shared" si="1"/>
        <v>91</v>
      </c>
      <c r="V11" s="770" t="s">
        <v>21</v>
      </c>
      <c r="W11" s="771">
        <f t="shared" si="2"/>
        <v>91</v>
      </c>
      <c r="X11" s="772"/>
      <c r="Y11" s="3044"/>
      <c r="Z11" s="55" t="str">
        <f t="shared" si="7"/>
        <v>容积率</v>
      </c>
      <c r="AA11" s="773">
        <f t="shared" si="3"/>
        <v>1.0309278350515463</v>
      </c>
      <c r="AB11" s="773">
        <f t="shared" si="4"/>
        <v>1.098901098901099</v>
      </c>
      <c r="AC11" s="773">
        <f t="shared" si="5"/>
        <v>1.098901098901099</v>
      </c>
    </row>
    <row r="12" spans="1:29" s="117" customFormat="1" ht="15" hidden="1">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205"/>
      <c r="Q12" s="1794">
        <f t="shared" si="6"/>
        <v>111</v>
      </c>
      <c r="R12" s="770" t="s">
        <v>21</v>
      </c>
      <c r="S12" s="771">
        <f t="shared" si="0"/>
        <v>100</v>
      </c>
      <c r="T12" s="770" t="s">
        <v>21</v>
      </c>
      <c r="U12" s="771">
        <f t="shared" si="1"/>
        <v>100</v>
      </c>
      <c r="V12" s="770" t="s">
        <v>21</v>
      </c>
      <c r="W12" s="771">
        <f t="shared" si="2"/>
        <v>100</v>
      </c>
      <c r="X12" s="772"/>
      <c r="Y12" s="3044"/>
      <c r="Z12" s="55">
        <f t="shared" si="7"/>
        <v>111</v>
      </c>
      <c r="AA12" s="773">
        <f>D12/F12</f>
        <v>1</v>
      </c>
      <c r="AB12" s="773">
        <f>D12/H12</f>
        <v>1</v>
      </c>
      <c r="AC12" s="773">
        <f>D12/J12</f>
        <v>1</v>
      </c>
    </row>
    <row r="13" spans="1:29" ht="15" hidden="1">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205"/>
      <c r="Q13" s="1794">
        <f t="shared" si="6"/>
        <v>111</v>
      </c>
      <c r="R13" s="770" t="s">
        <v>21</v>
      </c>
      <c r="S13" s="771">
        <f t="shared" si="0"/>
        <v>100</v>
      </c>
      <c r="T13" s="770" t="s">
        <v>21</v>
      </c>
      <c r="U13" s="771">
        <f t="shared" si="1"/>
        <v>100</v>
      </c>
      <c r="V13" s="770" t="s">
        <v>21</v>
      </c>
      <c r="W13" s="771">
        <f t="shared" si="2"/>
        <v>100</v>
      </c>
      <c r="X13" s="772"/>
      <c r="Y13" s="3044"/>
      <c r="Z13" s="55">
        <f t="shared" si="7"/>
        <v>111</v>
      </c>
      <c r="AA13" s="773">
        <f t="shared" si="3"/>
        <v>1</v>
      </c>
      <c r="AB13" s="773">
        <f t="shared" si="4"/>
        <v>1</v>
      </c>
      <c r="AC13" s="773">
        <f t="shared" si="5"/>
        <v>1</v>
      </c>
    </row>
    <row r="14" spans="1:29" ht="15.75" hidden="1"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205"/>
      <c r="Q14" s="1794">
        <f t="shared" si="6"/>
        <v>111</v>
      </c>
      <c r="R14" s="770" t="s">
        <v>21</v>
      </c>
      <c r="S14" s="771">
        <f t="shared" si="0"/>
        <v>100</v>
      </c>
      <c r="T14" s="770" t="s">
        <v>21</v>
      </c>
      <c r="U14" s="771">
        <f t="shared" si="1"/>
        <v>100</v>
      </c>
      <c r="V14" s="770" t="s">
        <v>21</v>
      </c>
      <c r="W14" s="771">
        <f t="shared" si="2"/>
        <v>100</v>
      </c>
      <c r="X14" s="772"/>
      <c r="Y14" s="3044"/>
      <c r="Z14" s="55">
        <f t="shared" si="7"/>
        <v>111</v>
      </c>
      <c r="AA14" s="773">
        <f t="shared" si="3"/>
        <v>1</v>
      </c>
      <c r="AB14" s="773">
        <f t="shared" si="4"/>
        <v>1</v>
      </c>
      <c r="AC14" s="773">
        <f t="shared" si="5"/>
        <v>1</v>
      </c>
    </row>
    <row r="15" spans="1:29" ht="15">
      <c r="A15" s="440" t="s">
        <v>2544</v>
      </c>
      <c r="B15" s="69" t="s">
        <v>2076</v>
      </c>
      <c r="C15" s="2599" t="str">
        <f>估价对象房地状况!C3</f>
        <v>一般</v>
      </c>
      <c r="D15" s="441">
        <v>100</v>
      </c>
      <c r="E15" s="444"/>
      <c r="F15" s="441">
        <f>SUMIF(76:76,E16,77:77)-SUMIF(76:76,C16,77:77)+100</f>
        <v>105</v>
      </c>
      <c r="G15" s="442"/>
      <c r="H15" s="441">
        <f>SUMIF(76:76,G16,77:77)-SUMIF(76:76,C16,77:77)+100</f>
        <v>105</v>
      </c>
      <c r="I15" s="442"/>
      <c r="J15" s="441">
        <f>SUMIF(76:76,I16,77:77)-SUMIF(76:76,C16,77:77)+100</f>
        <v>105</v>
      </c>
      <c r="K15" s="445">
        <v>5</v>
      </c>
      <c r="L15" s="1140"/>
      <c r="M15" s="1131"/>
      <c r="N15" s="1131"/>
      <c r="O15" s="1131"/>
      <c r="P15" s="3245" t="s">
        <v>2545</v>
      </c>
      <c r="Q15" s="1809" t="str">
        <f t="shared" si="6"/>
        <v>居住社区成熟度</v>
      </c>
      <c r="R15" s="774" t="s">
        <v>21</v>
      </c>
      <c r="S15" s="775">
        <f t="shared" si="0"/>
        <v>105</v>
      </c>
      <c r="T15" s="774" t="s">
        <v>21</v>
      </c>
      <c r="U15" s="775">
        <f t="shared" si="1"/>
        <v>105</v>
      </c>
      <c r="V15" s="774" t="s">
        <v>21</v>
      </c>
      <c r="W15" s="775">
        <f t="shared" si="2"/>
        <v>105</v>
      </c>
      <c r="X15" s="1812"/>
      <c r="Y15" s="3196" t="s">
        <v>2545</v>
      </c>
      <c r="Z15" s="1813" t="str">
        <f t="shared" si="7"/>
        <v>居住社区成熟度</v>
      </c>
      <c r="AA15" s="1810">
        <f t="shared" si="3"/>
        <v>0.95238095238095233</v>
      </c>
      <c r="AB15" s="1810">
        <f t="shared" si="4"/>
        <v>0.95238095238095233</v>
      </c>
      <c r="AC15" s="1810">
        <f t="shared" si="5"/>
        <v>0.95238095238095233</v>
      </c>
    </row>
    <row r="16" spans="1:29" ht="15">
      <c r="A16" s="428"/>
      <c r="B16" s="446"/>
      <c r="C16" s="447" t="s">
        <v>3093</v>
      </c>
      <c r="D16" s="448"/>
      <c r="E16" s="2600" t="s">
        <v>3091</v>
      </c>
      <c r="F16" s="448"/>
      <c r="G16" s="2600" t="s">
        <v>3091</v>
      </c>
      <c r="H16" s="450"/>
      <c r="I16" s="2600" t="s">
        <v>3091</v>
      </c>
      <c r="J16" s="448"/>
      <c r="K16" s="2602"/>
      <c r="L16" s="1140"/>
      <c r="M16" s="1131"/>
      <c r="N16" s="1131"/>
      <c r="O16" s="1131"/>
      <c r="P16" s="3246"/>
      <c r="Q16" s="1809"/>
      <c r="R16" s="774"/>
      <c r="S16" s="775"/>
      <c r="T16" s="774"/>
      <c r="U16" s="775"/>
      <c r="V16" s="774"/>
      <c r="W16" s="775"/>
      <c r="X16" s="1812"/>
      <c r="Y16" s="3197"/>
      <c r="Z16" s="1813"/>
      <c r="AA16" s="1810">
        <v>1</v>
      </c>
      <c r="AB16" s="1810">
        <v>1</v>
      </c>
      <c r="AC16" s="1810">
        <v>1</v>
      </c>
    </row>
    <row r="17" spans="1:29" ht="15">
      <c r="A17" s="428"/>
      <c r="B17" s="451" t="s">
        <v>2085</v>
      </c>
      <c r="C17" s="2603" t="str">
        <f>估价对象房地状况!C6</f>
        <v>一般</v>
      </c>
      <c r="D17" s="450">
        <v>100</v>
      </c>
      <c r="E17" s="454"/>
      <c r="F17" s="450">
        <f>SUMIF(78:78,E18,79:79)-SUMIF(78:78,C18,79:79)+100</f>
        <v>103</v>
      </c>
      <c r="G17" s="452"/>
      <c r="H17" s="455">
        <f>SUMIF(78:78,G18,79:79)-SUMIF(78:78,C18,79:79)+100</f>
        <v>103</v>
      </c>
      <c r="I17" s="452"/>
      <c r="J17" s="455">
        <f>SUMIF(78:78,I18,79:79)-SUMIF(78:78,C18,79:79)+100</f>
        <v>103</v>
      </c>
      <c r="K17" s="445">
        <v>3</v>
      </c>
      <c r="L17" s="1140"/>
      <c r="M17" s="1131"/>
      <c r="N17" s="1131"/>
      <c r="O17" s="1131"/>
      <c r="P17" s="3246"/>
      <c r="Q17" s="1809" t="str">
        <f>B17</f>
        <v>交通便捷度</v>
      </c>
      <c r="R17" s="774" t="s">
        <v>21</v>
      </c>
      <c r="S17" s="775">
        <f>F17</f>
        <v>103</v>
      </c>
      <c r="T17" s="774" t="s">
        <v>21</v>
      </c>
      <c r="U17" s="775">
        <f>H17</f>
        <v>103</v>
      </c>
      <c r="V17" s="774" t="s">
        <v>21</v>
      </c>
      <c r="W17" s="775">
        <f>J17</f>
        <v>103</v>
      </c>
      <c r="X17" s="1812"/>
      <c r="Y17" s="3197"/>
      <c r="Z17" s="1813" t="str">
        <f>Q17</f>
        <v>交通便捷度</v>
      </c>
      <c r="AA17" s="1810">
        <f t="shared" si="3"/>
        <v>0.970873786407767</v>
      </c>
      <c r="AB17" s="1810">
        <f t="shared" si="4"/>
        <v>0.970873786407767</v>
      </c>
      <c r="AC17" s="1810">
        <f t="shared" si="5"/>
        <v>0.970873786407767</v>
      </c>
    </row>
    <row r="18" spans="1:29" ht="15">
      <c r="A18" s="428"/>
      <c r="B18" s="456"/>
      <c r="C18" s="2604" t="s">
        <v>3093</v>
      </c>
      <c r="D18" s="450"/>
      <c r="E18" s="2600" t="s">
        <v>3091</v>
      </c>
      <c r="F18" s="450"/>
      <c r="G18" s="2600" t="s">
        <v>3091</v>
      </c>
      <c r="H18" s="448"/>
      <c r="I18" s="2600" t="s">
        <v>3091</v>
      </c>
      <c r="J18" s="448"/>
      <c r="K18" s="2602"/>
      <c r="L18" s="1140"/>
      <c r="M18" s="1131"/>
      <c r="N18" s="1131"/>
      <c r="O18" s="1131"/>
      <c r="P18" s="3246"/>
      <c r="Q18" s="1809"/>
      <c r="R18" s="774"/>
      <c r="S18" s="775"/>
      <c r="T18" s="774"/>
      <c r="U18" s="775"/>
      <c r="V18" s="774"/>
      <c r="W18" s="775"/>
      <c r="X18" s="1812"/>
      <c r="Y18" s="3197"/>
      <c r="Z18" s="1813"/>
      <c r="AA18" s="1810">
        <v>1</v>
      </c>
      <c r="AB18" s="1810">
        <v>1</v>
      </c>
      <c r="AC18" s="1810">
        <v>1</v>
      </c>
    </row>
    <row r="19" spans="1:29" ht="15">
      <c r="A19" s="428"/>
      <c r="B19" s="451" t="s">
        <v>2083</v>
      </c>
      <c r="C19" s="2603" t="str">
        <f>估价对象房地状况!C7</f>
        <v>较好</v>
      </c>
      <c r="D19" s="455">
        <v>100</v>
      </c>
      <c r="E19" s="459"/>
      <c r="F19" s="455">
        <f>SUMIF(80:80,E20,81:81)-SUMIF(80:80,C20,81:81)+100</f>
        <v>102</v>
      </c>
      <c r="G19" s="457"/>
      <c r="H19" s="450">
        <f>SUMIF(80:80,G20,81:81)-SUMIF(80:80,C20,81:81)+100</f>
        <v>102</v>
      </c>
      <c r="I19" s="457"/>
      <c r="J19" s="450">
        <f>SUMIF(80:80,I20,81:81)-SUMIF(80:80,C20,81:81)+100</f>
        <v>102</v>
      </c>
      <c r="K19" s="445">
        <v>2</v>
      </c>
      <c r="L19" s="1140"/>
      <c r="M19" s="1131"/>
      <c r="N19" s="1131"/>
      <c r="O19" s="1131"/>
      <c r="P19" s="3246"/>
      <c r="Q19" s="1809" t="str">
        <f>B19</f>
        <v>公共配套设施</v>
      </c>
      <c r="R19" s="774" t="s">
        <v>21</v>
      </c>
      <c r="S19" s="775">
        <f>F19</f>
        <v>102</v>
      </c>
      <c r="T19" s="774" t="s">
        <v>21</v>
      </c>
      <c r="U19" s="775">
        <f>H19</f>
        <v>102</v>
      </c>
      <c r="V19" s="774" t="s">
        <v>21</v>
      </c>
      <c r="W19" s="775">
        <f>J19</f>
        <v>102</v>
      </c>
      <c r="X19" s="1812"/>
      <c r="Y19" s="3197"/>
      <c r="Z19" s="1813" t="str">
        <f>Q19</f>
        <v>公共配套设施</v>
      </c>
      <c r="AA19" s="1810">
        <f t="shared" si="3"/>
        <v>0.98039215686274506</v>
      </c>
      <c r="AB19" s="1810">
        <f t="shared" si="4"/>
        <v>0.98039215686274506</v>
      </c>
      <c r="AC19" s="1810">
        <f t="shared" si="5"/>
        <v>0.98039215686274506</v>
      </c>
    </row>
    <row r="20" spans="1:29" ht="15">
      <c r="A20" s="428"/>
      <c r="B20" s="456"/>
      <c r="C20" s="447" t="s">
        <v>3093</v>
      </c>
      <c r="D20" s="448"/>
      <c r="E20" s="2600" t="s">
        <v>3091</v>
      </c>
      <c r="F20" s="448"/>
      <c r="G20" s="2600" t="s">
        <v>3091</v>
      </c>
      <c r="H20" s="448"/>
      <c r="I20" s="2600" t="s">
        <v>3091</v>
      </c>
      <c r="J20" s="448"/>
      <c r="K20" s="2602"/>
      <c r="L20" s="1140"/>
      <c r="M20" s="1131"/>
      <c r="N20" s="1131"/>
      <c r="O20" s="1131"/>
      <c r="P20" s="3246"/>
      <c r="Q20" s="1809"/>
      <c r="R20" s="774"/>
      <c r="S20" s="775"/>
      <c r="T20" s="774"/>
      <c r="U20" s="775"/>
      <c r="V20" s="774"/>
      <c r="W20" s="775"/>
      <c r="X20" s="1812"/>
      <c r="Y20" s="3197"/>
      <c r="Z20" s="1813"/>
      <c r="AA20" s="1810">
        <v>1</v>
      </c>
      <c r="AB20" s="1810">
        <v>1</v>
      </c>
      <c r="AC20" s="1810">
        <v>1</v>
      </c>
    </row>
    <row r="21" spans="1:29" ht="15">
      <c r="A21" s="428"/>
      <c r="B21" s="1384" t="s">
        <v>2086</v>
      </c>
      <c r="C21" s="2603"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v>1</v>
      </c>
      <c r="L21" s="1140"/>
      <c r="M21" s="1131"/>
      <c r="N21" s="1131"/>
      <c r="O21" s="1131"/>
      <c r="P21" s="3246"/>
      <c r="Q21" s="1809" t="str">
        <f>B21</f>
        <v>基础设施水平</v>
      </c>
      <c r="R21" s="774" t="s">
        <v>17</v>
      </c>
      <c r="S21" s="775">
        <f>F21</f>
        <v>100</v>
      </c>
      <c r="T21" s="774" t="s">
        <v>17</v>
      </c>
      <c r="U21" s="775">
        <f>H21</f>
        <v>100</v>
      </c>
      <c r="V21" s="774" t="s">
        <v>17</v>
      </c>
      <c r="W21" s="775">
        <f>J21</f>
        <v>100</v>
      </c>
      <c r="X21" s="1812"/>
      <c r="Y21" s="3197"/>
      <c r="Z21" s="1813" t="str">
        <f>Q21</f>
        <v>基础设施水平</v>
      </c>
      <c r="AA21" s="1810">
        <f t="shared" ref="AA21" si="8">D21/F21</f>
        <v>1</v>
      </c>
      <c r="AB21" s="1810">
        <f t="shared" ref="AB21" si="9">D21/H21</f>
        <v>1</v>
      </c>
      <c r="AC21" s="1810">
        <f t="shared" ref="AC21" si="10">D21/J21</f>
        <v>1</v>
      </c>
    </row>
    <row r="22" spans="1:29" ht="15">
      <c r="A22" s="428"/>
      <c r="B22" s="1384"/>
      <c r="C22" s="2604" t="s">
        <v>3097</v>
      </c>
      <c r="D22" s="448"/>
      <c r="E22" s="447" t="s">
        <v>3097</v>
      </c>
      <c r="F22" s="448"/>
      <c r="G22" s="447" t="s">
        <v>3097</v>
      </c>
      <c r="H22" s="448"/>
      <c r="I22" s="447" t="s">
        <v>3097</v>
      </c>
      <c r="J22" s="448"/>
      <c r="K22" s="2608"/>
      <c r="L22" s="1140"/>
      <c r="M22" s="1131"/>
      <c r="N22" s="1131"/>
      <c r="O22" s="1131"/>
      <c r="P22" s="3246"/>
      <c r="Q22" s="1809"/>
      <c r="R22" s="774"/>
      <c r="S22" s="775"/>
      <c r="T22" s="774"/>
      <c r="U22" s="775"/>
      <c r="V22" s="774"/>
      <c r="W22" s="775"/>
      <c r="X22" s="1812"/>
      <c r="Y22" s="3197"/>
      <c r="Z22" s="1813"/>
      <c r="AA22" s="1810">
        <v>1</v>
      </c>
      <c r="AB22" s="1810">
        <v>1</v>
      </c>
      <c r="AC22" s="1810">
        <v>1</v>
      </c>
    </row>
    <row r="23" spans="1:29" ht="15">
      <c r="A23" s="428"/>
      <c r="B23" s="451" t="s">
        <v>2090</v>
      </c>
      <c r="C23" s="2603" t="str">
        <f>估价对象房地状况!C9</f>
        <v>较好</v>
      </c>
      <c r="D23" s="450">
        <v>100</v>
      </c>
      <c r="E23" s="454"/>
      <c r="F23" s="450">
        <f>SUMIF(84:84,E24,85:85)-SUMIF(84:84,C24,85:85)+100</f>
        <v>105</v>
      </c>
      <c r="G23" s="452"/>
      <c r="H23" s="450">
        <f>SUMIF(84:84,G24,85:85)-SUMIF(84:84,C24,85:85)+100</f>
        <v>105</v>
      </c>
      <c r="I23" s="452"/>
      <c r="J23" s="450">
        <f>SUMIF(84:84,I24,85:85)-SUMIF(84:84,C24,85:85)+100</f>
        <v>105</v>
      </c>
      <c r="K23" s="445">
        <v>5</v>
      </c>
      <c r="L23" s="1140"/>
      <c r="M23" s="1131"/>
      <c r="N23" s="1131"/>
      <c r="O23" s="1131"/>
      <c r="P23" s="3246"/>
      <c r="Q23" s="1809" t="str">
        <f>B23</f>
        <v>自然及人文环境</v>
      </c>
      <c r="R23" s="774" t="s">
        <v>21</v>
      </c>
      <c r="S23" s="775">
        <f>F23</f>
        <v>105</v>
      </c>
      <c r="T23" s="774" t="s">
        <v>21</v>
      </c>
      <c r="U23" s="775">
        <f>H23</f>
        <v>105</v>
      </c>
      <c r="V23" s="774" t="s">
        <v>21</v>
      </c>
      <c r="W23" s="775">
        <f>J23</f>
        <v>105</v>
      </c>
      <c r="X23" s="1812"/>
      <c r="Y23" s="3197"/>
      <c r="Z23" s="1813" t="str">
        <f>Q23</f>
        <v>自然及人文环境</v>
      </c>
      <c r="AA23" s="1810">
        <f>D23/F23</f>
        <v>0.95238095238095233</v>
      </c>
      <c r="AB23" s="1810">
        <f>D23/H23</f>
        <v>0.95238095238095233</v>
      </c>
      <c r="AC23" s="1810">
        <f>D23/J23</f>
        <v>0.95238095238095233</v>
      </c>
    </row>
    <row r="24" spans="1:29" ht="15.75" thickBot="1">
      <c r="A24" s="428"/>
      <c r="B24" s="456"/>
      <c r="C24" s="447" t="s">
        <v>3093</v>
      </c>
      <c r="D24" s="448"/>
      <c r="E24" s="2600" t="s">
        <v>3091</v>
      </c>
      <c r="F24" s="448"/>
      <c r="G24" s="2600" t="s">
        <v>3091</v>
      </c>
      <c r="H24" s="448"/>
      <c r="I24" s="2601" t="s">
        <v>3091</v>
      </c>
      <c r="J24" s="448"/>
      <c r="K24" s="2602"/>
      <c r="L24" s="1140"/>
      <c r="M24" s="1131"/>
      <c r="N24" s="1131"/>
      <c r="O24" s="1131"/>
      <c r="P24" s="3246"/>
      <c r="Q24" s="1809"/>
      <c r="R24" s="774"/>
      <c r="S24" s="775"/>
      <c r="T24" s="774"/>
      <c r="U24" s="775"/>
      <c r="V24" s="774"/>
      <c r="W24" s="775"/>
      <c r="X24" s="1812"/>
      <c r="Y24" s="3197"/>
      <c r="Z24" s="1813"/>
      <c r="AA24" s="1810">
        <v>1</v>
      </c>
      <c r="AB24" s="1810">
        <v>1</v>
      </c>
      <c r="AC24" s="1810">
        <v>1</v>
      </c>
    </row>
    <row r="25" spans="1:29" ht="15" hidden="1">
      <c r="A25" s="428"/>
      <c r="B25" s="422" t="s">
        <v>2546</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246"/>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97"/>
      <c r="Z25" s="1813" t="str">
        <f>Q25</f>
        <v>楼层-1</v>
      </c>
      <c r="AA25" s="1810">
        <f t="shared" ref="AA25:AA46" si="15">D25/F25</f>
        <v>1</v>
      </c>
      <c r="AB25" s="1810">
        <f t="shared" ref="AB25:AB46" si="16">D25/H25</f>
        <v>1</v>
      </c>
      <c r="AC25" s="1810">
        <f t="shared" ref="AC25:AC46" si="17">D25/J25</f>
        <v>1</v>
      </c>
    </row>
    <row r="26" spans="1:29" ht="15" hidden="1">
      <c r="A26" s="428"/>
      <c r="B26" s="422" t="s">
        <v>2547</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246"/>
      <c r="Q26" s="1809" t="str">
        <f t="shared" si="11"/>
        <v>朝向</v>
      </c>
      <c r="R26" s="774" t="s">
        <v>21</v>
      </c>
      <c r="S26" s="775">
        <f t="shared" si="12"/>
        <v>100</v>
      </c>
      <c r="T26" s="774" t="s">
        <v>21</v>
      </c>
      <c r="U26" s="775">
        <f t="shared" si="13"/>
        <v>100</v>
      </c>
      <c r="V26" s="774" t="s">
        <v>21</v>
      </c>
      <c r="W26" s="775">
        <f t="shared" si="14"/>
        <v>100</v>
      </c>
      <c r="X26" s="1812"/>
      <c r="Y26" s="3197"/>
      <c r="Z26" s="1813" t="str">
        <f>Q26</f>
        <v>朝向</v>
      </c>
      <c r="AA26" s="1810">
        <f t="shared" si="15"/>
        <v>1</v>
      </c>
      <c r="AB26" s="1810">
        <f t="shared" si="16"/>
        <v>1</v>
      </c>
      <c r="AC26" s="1810">
        <f t="shared" si="17"/>
        <v>1</v>
      </c>
    </row>
    <row r="27" spans="1:29" s="117"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246"/>
      <c r="Q27" s="1794">
        <f t="shared" si="11"/>
        <v>111</v>
      </c>
      <c r="R27" s="770" t="s">
        <v>21</v>
      </c>
      <c r="S27" s="771">
        <f t="shared" si="12"/>
        <v>100</v>
      </c>
      <c r="T27" s="770" t="s">
        <v>21</v>
      </c>
      <c r="U27" s="771">
        <f t="shared" si="13"/>
        <v>100</v>
      </c>
      <c r="V27" s="770" t="s">
        <v>21</v>
      </c>
      <c r="W27" s="771">
        <f t="shared" si="14"/>
        <v>100</v>
      </c>
      <c r="X27" s="772"/>
      <c r="Y27" s="3197"/>
      <c r="Z27" s="55">
        <f>Q27</f>
        <v>111</v>
      </c>
      <c r="AA27" s="1810">
        <f t="shared" si="15"/>
        <v>1</v>
      </c>
      <c r="AB27" s="1810">
        <f t="shared" si="16"/>
        <v>1</v>
      </c>
      <c r="AC27" s="1810">
        <f t="shared" si="17"/>
        <v>1</v>
      </c>
    </row>
    <row r="28" spans="1:29" ht="15" hidden="1">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246"/>
      <c r="Q28" s="1809">
        <f t="shared" si="11"/>
        <v>111</v>
      </c>
      <c r="R28" s="774" t="s">
        <v>21</v>
      </c>
      <c r="S28" s="775">
        <f t="shared" si="12"/>
        <v>100</v>
      </c>
      <c r="T28" s="774" t="s">
        <v>21</v>
      </c>
      <c r="U28" s="775">
        <f t="shared" si="13"/>
        <v>100</v>
      </c>
      <c r="V28" s="774" t="s">
        <v>21</v>
      </c>
      <c r="W28" s="775">
        <f t="shared" si="14"/>
        <v>100</v>
      </c>
      <c r="X28" s="1812"/>
      <c r="Y28" s="3197"/>
      <c r="Z28" s="1813">
        <f t="shared" ref="Z28:Z46" si="18">Q28</f>
        <v>111</v>
      </c>
      <c r="AA28" s="1810">
        <f t="shared" si="15"/>
        <v>1</v>
      </c>
      <c r="AB28" s="1810">
        <f t="shared" si="16"/>
        <v>1</v>
      </c>
      <c r="AC28" s="1810">
        <f t="shared" si="17"/>
        <v>1</v>
      </c>
    </row>
    <row r="29" spans="1:29" ht="15" hidden="1">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246"/>
      <c r="Q29" s="1809">
        <f t="shared" si="11"/>
        <v>111</v>
      </c>
      <c r="R29" s="774" t="s">
        <v>21</v>
      </c>
      <c r="S29" s="775">
        <f t="shared" si="12"/>
        <v>100</v>
      </c>
      <c r="T29" s="774" t="s">
        <v>21</v>
      </c>
      <c r="U29" s="775">
        <f t="shared" si="13"/>
        <v>100</v>
      </c>
      <c r="V29" s="774" t="s">
        <v>21</v>
      </c>
      <c r="W29" s="775">
        <f t="shared" si="14"/>
        <v>100</v>
      </c>
      <c r="X29" s="1812"/>
      <c r="Y29" s="3197"/>
      <c r="Z29" s="1813">
        <f t="shared" si="18"/>
        <v>111</v>
      </c>
      <c r="AA29" s="1810">
        <f t="shared" si="15"/>
        <v>1</v>
      </c>
      <c r="AB29" s="1810">
        <f t="shared" si="16"/>
        <v>1</v>
      </c>
      <c r="AC29" s="1810">
        <f t="shared" si="17"/>
        <v>1</v>
      </c>
    </row>
    <row r="30" spans="1:29" ht="15" hidden="1">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246"/>
      <c r="Q30" s="1809">
        <f t="shared" si="11"/>
        <v>111</v>
      </c>
      <c r="R30" s="774" t="s">
        <v>21</v>
      </c>
      <c r="S30" s="775">
        <f t="shared" si="12"/>
        <v>100</v>
      </c>
      <c r="T30" s="774" t="s">
        <v>21</v>
      </c>
      <c r="U30" s="775">
        <f t="shared" si="13"/>
        <v>100</v>
      </c>
      <c r="V30" s="774" t="s">
        <v>21</v>
      </c>
      <c r="W30" s="775">
        <f t="shared" si="14"/>
        <v>100</v>
      </c>
      <c r="X30" s="1812"/>
      <c r="Y30" s="3197"/>
      <c r="Z30" s="1813">
        <f t="shared" si="18"/>
        <v>111</v>
      </c>
      <c r="AA30" s="1810">
        <f t="shared" si="15"/>
        <v>1</v>
      </c>
      <c r="AB30" s="1810">
        <f t="shared" si="16"/>
        <v>1</v>
      </c>
      <c r="AC30" s="1810">
        <f t="shared" si="17"/>
        <v>1</v>
      </c>
    </row>
    <row r="31" spans="1:29" ht="15.75" hidden="1"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246"/>
      <c r="Q31" s="1809">
        <f t="shared" si="11"/>
        <v>111</v>
      </c>
      <c r="R31" s="774" t="s">
        <v>21</v>
      </c>
      <c r="S31" s="775">
        <f t="shared" si="12"/>
        <v>100</v>
      </c>
      <c r="T31" s="774" t="s">
        <v>21</v>
      </c>
      <c r="U31" s="775">
        <f t="shared" si="13"/>
        <v>100</v>
      </c>
      <c r="V31" s="774" t="s">
        <v>21</v>
      </c>
      <c r="W31" s="775">
        <f t="shared" si="14"/>
        <v>100</v>
      </c>
      <c r="X31" s="1812"/>
      <c r="Y31" s="3197"/>
      <c r="Z31" s="1813">
        <f t="shared" si="18"/>
        <v>111</v>
      </c>
      <c r="AA31" s="1810">
        <f t="shared" si="15"/>
        <v>1</v>
      </c>
      <c r="AB31" s="1810">
        <f t="shared" si="16"/>
        <v>1</v>
      </c>
      <c r="AC31" s="1810">
        <f t="shared" si="17"/>
        <v>1</v>
      </c>
    </row>
    <row r="32" spans="1:29" ht="15">
      <c r="A32" s="440" t="s">
        <v>2548</v>
      </c>
      <c r="B32" s="71" t="s">
        <v>2549</v>
      </c>
      <c r="C32" s="2613" t="s">
        <v>3696</v>
      </c>
      <c r="D32" s="467">
        <v>100</v>
      </c>
      <c r="E32" s="2613" t="s">
        <v>3696</v>
      </c>
      <c r="F32" s="461">
        <f>SUMIF(100:100,E32,101:101)-SUMIF(100:100,C32,101:101)+100</f>
        <v>100</v>
      </c>
      <c r="G32" s="2613" t="s">
        <v>3696</v>
      </c>
      <c r="H32" s="467">
        <f>SUMIF(100:100,G32,101:101)-SUMIF(100:100,C32,101:101)+100</f>
        <v>100</v>
      </c>
      <c r="I32" s="2613" t="s">
        <v>3696</v>
      </c>
      <c r="J32" s="435">
        <f>SUMIF(100:100,I32,101:101)-SUMIF(100:100,C32,101:101)+100</f>
        <v>100</v>
      </c>
      <c r="K32" s="426">
        <v>2</v>
      </c>
      <c r="L32" s="1140"/>
      <c r="M32" s="1131"/>
      <c r="N32" s="1131"/>
      <c r="O32" s="1131"/>
      <c r="P32" s="3241" t="s">
        <v>2550</v>
      </c>
      <c r="Q32" s="1809" t="str">
        <f t="shared" si="11"/>
        <v>建筑类型</v>
      </c>
      <c r="R32" s="774" t="s">
        <v>21</v>
      </c>
      <c r="S32" s="775">
        <f t="shared" si="12"/>
        <v>100</v>
      </c>
      <c r="T32" s="774" t="s">
        <v>21</v>
      </c>
      <c r="U32" s="775">
        <f t="shared" si="13"/>
        <v>100</v>
      </c>
      <c r="V32" s="774" t="s">
        <v>21</v>
      </c>
      <c r="W32" s="775">
        <f t="shared" si="14"/>
        <v>100</v>
      </c>
      <c r="X32" s="1812"/>
      <c r="Y32" s="3199" t="s">
        <v>2550</v>
      </c>
      <c r="Z32" s="1813" t="str">
        <f t="shared" si="18"/>
        <v>建筑类型</v>
      </c>
      <c r="AA32" s="1810">
        <f t="shared" si="15"/>
        <v>1</v>
      </c>
      <c r="AB32" s="1810">
        <f t="shared" si="16"/>
        <v>1</v>
      </c>
      <c r="AC32" s="1810">
        <f t="shared" si="17"/>
        <v>1</v>
      </c>
    </row>
    <row r="33" spans="1:29" s="471" customFormat="1" ht="15">
      <c r="A33" s="468"/>
      <c r="B33" s="422" t="s">
        <v>2551</v>
      </c>
      <c r="C33" s="469">
        <f>'数据-汇总表'!E3</f>
        <v>53306.400000000001</v>
      </c>
      <c r="D33" s="136">
        <v>100</v>
      </c>
      <c r="E33" s="430">
        <v>770000</v>
      </c>
      <c r="F33" s="425">
        <f>LOOKUP(E33,103:103,104:104)-LOOKUP(C33,103:103,104:104)+100</f>
        <v>106</v>
      </c>
      <c r="G33" s="429">
        <v>50000</v>
      </c>
      <c r="H33" s="136">
        <f>LOOKUP(G33,103:103,104:104)-LOOKUP(C33,103:103,104:104)+100</f>
        <v>100</v>
      </c>
      <c r="I33" s="430">
        <v>170000</v>
      </c>
      <c r="J33" s="136">
        <f>LOOKUP(I33,103:103,104:104)-LOOKUP(C33,103:103,104:104)+100</f>
        <v>100</v>
      </c>
      <c r="K33" s="2597"/>
      <c r="L33" s="1138"/>
      <c r="M33" s="1141"/>
      <c r="N33" s="1141"/>
      <c r="O33" s="1141"/>
      <c r="P33" s="3242"/>
      <c r="Q33" s="776" t="str">
        <f t="shared" si="11"/>
        <v>项目建筑规模</v>
      </c>
      <c r="R33" s="777" t="s">
        <v>21</v>
      </c>
      <c r="S33" s="778">
        <f t="shared" si="12"/>
        <v>106</v>
      </c>
      <c r="T33" s="777" t="s">
        <v>21</v>
      </c>
      <c r="U33" s="778">
        <f t="shared" si="13"/>
        <v>100</v>
      </c>
      <c r="V33" s="777" t="s">
        <v>21</v>
      </c>
      <c r="W33" s="778">
        <f t="shared" si="14"/>
        <v>100</v>
      </c>
      <c r="X33" s="779"/>
      <c r="Y33" s="3199"/>
      <c r="Z33" s="780" t="str">
        <f t="shared" si="18"/>
        <v>项目建筑规模</v>
      </c>
      <c r="AA33" s="1810">
        <f t="shared" si="15"/>
        <v>0.94339622641509435</v>
      </c>
      <c r="AB33" s="1810">
        <f t="shared" si="16"/>
        <v>1</v>
      </c>
      <c r="AC33" s="1810">
        <f t="shared" si="17"/>
        <v>1</v>
      </c>
    </row>
    <row r="34" spans="1:29" ht="15">
      <c r="A34" s="472"/>
      <c r="B34" s="422" t="s">
        <v>2552</v>
      </c>
      <c r="C34" s="2614" t="s">
        <v>3102</v>
      </c>
      <c r="D34" s="435">
        <v>100</v>
      </c>
      <c r="E34" s="2614" t="s">
        <v>3102</v>
      </c>
      <c r="F34" s="461">
        <f>SUMIF(105:105,E34,106:106)-SUMIF(105:105,C34,106:106)+100</f>
        <v>100</v>
      </c>
      <c r="G34" s="2614" t="s">
        <v>3102</v>
      </c>
      <c r="H34" s="435">
        <f>SUMIF(105:105,G34,106:106)-SUMIF(105:105,C34,106:106)+100</f>
        <v>100</v>
      </c>
      <c r="I34" s="2614" t="s">
        <v>3102</v>
      </c>
      <c r="J34" s="435">
        <f>SUMIF(105:105,I34,106:106)-SUMIF(105:105,C34,106:106)+100</f>
        <v>100</v>
      </c>
      <c r="K34" s="426">
        <v>2</v>
      </c>
      <c r="L34" s="1140"/>
      <c r="M34" s="1131"/>
      <c r="N34" s="1131"/>
      <c r="O34" s="1131"/>
      <c r="P34" s="3242"/>
      <c r="Q34" s="1809" t="str">
        <f t="shared" si="11"/>
        <v>建筑结构</v>
      </c>
      <c r="R34" s="774" t="s">
        <v>21</v>
      </c>
      <c r="S34" s="775">
        <f t="shared" si="12"/>
        <v>100</v>
      </c>
      <c r="T34" s="774" t="s">
        <v>21</v>
      </c>
      <c r="U34" s="775">
        <f t="shared" si="13"/>
        <v>100</v>
      </c>
      <c r="V34" s="774" t="s">
        <v>21</v>
      </c>
      <c r="W34" s="775">
        <f t="shared" si="14"/>
        <v>100</v>
      </c>
      <c r="X34" s="1812"/>
      <c r="Y34" s="3199"/>
      <c r="Z34" s="1813" t="str">
        <f t="shared" si="18"/>
        <v>建筑结构</v>
      </c>
      <c r="AA34" s="1810">
        <f t="shared" si="15"/>
        <v>1</v>
      </c>
      <c r="AB34" s="1810">
        <f t="shared" si="16"/>
        <v>1</v>
      </c>
      <c r="AC34" s="1810">
        <f t="shared" si="17"/>
        <v>1</v>
      </c>
    </row>
    <row r="35" spans="1:29" ht="15">
      <c r="A35" s="472"/>
      <c r="B35" s="422" t="s">
        <v>2553</v>
      </c>
      <c r="C35" s="2609" t="s">
        <v>3091</v>
      </c>
      <c r="D35" s="435">
        <v>100</v>
      </c>
      <c r="E35" s="2609" t="s">
        <v>3091</v>
      </c>
      <c r="F35" s="461">
        <f>SUMIF(107:107,E35,108:108)-SUMIF(107:107,C35,108:108)+100</f>
        <v>100</v>
      </c>
      <c r="G35" s="2609" t="s">
        <v>3091</v>
      </c>
      <c r="H35" s="435">
        <f>SUMIF(107:107,G35,108:108)-SUMIF(107:107,C35,108:108)+100</f>
        <v>100</v>
      </c>
      <c r="I35" s="2609" t="s">
        <v>3091</v>
      </c>
      <c r="J35" s="435">
        <f>SUMIF(107:107,I35,108:108)-SUMIF(107:107,C35,108:108)+100</f>
        <v>100</v>
      </c>
      <c r="K35" s="426">
        <v>2</v>
      </c>
      <c r="L35" s="1140"/>
      <c r="M35" s="1131"/>
      <c r="N35" s="1131"/>
      <c r="O35" s="1131"/>
      <c r="P35" s="3242"/>
      <c r="Q35" s="1809" t="str">
        <f t="shared" si="11"/>
        <v>建筑品质</v>
      </c>
      <c r="R35" s="774" t="s">
        <v>21</v>
      </c>
      <c r="S35" s="775">
        <f t="shared" si="12"/>
        <v>100</v>
      </c>
      <c r="T35" s="774" t="s">
        <v>21</v>
      </c>
      <c r="U35" s="775">
        <f t="shared" si="13"/>
        <v>100</v>
      </c>
      <c r="V35" s="774" t="s">
        <v>21</v>
      </c>
      <c r="W35" s="775">
        <f t="shared" si="14"/>
        <v>100</v>
      </c>
      <c r="X35" s="1812"/>
      <c r="Y35" s="3199"/>
      <c r="Z35" s="1813" t="str">
        <f t="shared" si="18"/>
        <v>建筑品质</v>
      </c>
      <c r="AA35" s="1810">
        <f t="shared" si="15"/>
        <v>1</v>
      </c>
      <c r="AB35" s="1810">
        <f t="shared" si="16"/>
        <v>1</v>
      </c>
      <c r="AC35" s="1810">
        <f t="shared" si="17"/>
        <v>1</v>
      </c>
    </row>
    <row r="36" spans="1:29" ht="15">
      <c r="A36" s="472"/>
      <c r="B36" s="422" t="s">
        <v>2554</v>
      </c>
      <c r="C36" s="2609" t="s">
        <v>3699</v>
      </c>
      <c r="D36" s="435">
        <v>100</v>
      </c>
      <c r="E36" s="2609" t="s">
        <v>3699</v>
      </c>
      <c r="F36" s="461">
        <f>SUMIF(109:109,E36,110:110)-SUMIF(109:109,C36,110:110)+100</f>
        <v>100</v>
      </c>
      <c r="G36" s="2609" t="s">
        <v>3699</v>
      </c>
      <c r="H36" s="435">
        <f>SUMIF(109:109,G36,110:110)-SUMIF(109:109,C36,110:110)+100</f>
        <v>100</v>
      </c>
      <c r="I36" s="2609" t="s">
        <v>3699</v>
      </c>
      <c r="J36" s="435">
        <f>SUMIF(109:109,I36,110:110)-SUMIF(109:109,C36,110:110)+100</f>
        <v>100</v>
      </c>
      <c r="K36" s="426">
        <v>2</v>
      </c>
      <c r="L36" s="1140"/>
      <c r="M36" s="1131"/>
      <c r="N36" s="1131"/>
      <c r="O36" s="1131"/>
      <c r="P36" s="3242"/>
      <c r="Q36" s="1809" t="str">
        <f t="shared" si="11"/>
        <v>公共部分装修</v>
      </c>
      <c r="R36" s="774" t="s">
        <v>21</v>
      </c>
      <c r="S36" s="775">
        <f t="shared" si="12"/>
        <v>100</v>
      </c>
      <c r="T36" s="774" t="s">
        <v>21</v>
      </c>
      <c r="U36" s="775">
        <f t="shared" si="13"/>
        <v>100</v>
      </c>
      <c r="V36" s="774" t="s">
        <v>21</v>
      </c>
      <c r="W36" s="775">
        <f t="shared" si="14"/>
        <v>100</v>
      </c>
      <c r="X36" s="1812"/>
      <c r="Y36" s="3199"/>
      <c r="Z36" s="1813" t="str">
        <f t="shared" si="18"/>
        <v>公共部分装修</v>
      </c>
      <c r="AA36" s="1810">
        <f t="shared" si="15"/>
        <v>1</v>
      </c>
      <c r="AB36" s="1810">
        <f t="shared" si="16"/>
        <v>1</v>
      </c>
      <c r="AC36" s="1810">
        <f t="shared" si="17"/>
        <v>1</v>
      </c>
    </row>
    <row r="37" spans="1:29" s="117" customFormat="1" ht="15">
      <c r="A37" s="473"/>
      <c r="B37" s="422" t="s">
        <v>2555</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42"/>
      <c r="Q37" s="1794" t="str">
        <f t="shared" si="11"/>
        <v>成新度</v>
      </c>
      <c r="R37" s="770" t="s">
        <v>21</v>
      </c>
      <c r="S37" s="771">
        <f t="shared" si="12"/>
        <v>100</v>
      </c>
      <c r="T37" s="770" t="s">
        <v>21</v>
      </c>
      <c r="U37" s="771">
        <f t="shared" si="13"/>
        <v>100</v>
      </c>
      <c r="V37" s="770" t="s">
        <v>21</v>
      </c>
      <c r="W37" s="771">
        <f t="shared" si="14"/>
        <v>100</v>
      </c>
      <c r="X37" s="772"/>
      <c r="Y37" s="3199"/>
      <c r="Z37" s="55" t="str">
        <f t="shared" si="18"/>
        <v>成新度</v>
      </c>
      <c r="AA37" s="773">
        <f t="shared" si="15"/>
        <v>1</v>
      </c>
      <c r="AB37" s="773">
        <f t="shared" si="16"/>
        <v>1</v>
      </c>
      <c r="AC37" s="773">
        <f t="shared" si="17"/>
        <v>1</v>
      </c>
    </row>
    <row r="38" spans="1:29" ht="15">
      <c r="A38" s="472"/>
      <c r="B38" s="422" t="s">
        <v>2556</v>
      </c>
      <c r="C38" s="2609" t="s">
        <v>3091</v>
      </c>
      <c r="D38" s="435">
        <v>100</v>
      </c>
      <c r="E38" s="2609" t="s">
        <v>3091</v>
      </c>
      <c r="F38" s="461">
        <f>SUMIF(114:114,E38,115:115)-SUMIF(114:114,C38,115:115)+100</f>
        <v>100</v>
      </c>
      <c r="G38" s="2609" t="s">
        <v>3091</v>
      </c>
      <c r="H38" s="435">
        <f>SUMIF(114:114,G38,115:115)-SUMIF(114:114,C38,115:115)+100</f>
        <v>100</v>
      </c>
      <c r="I38" s="2609" t="s">
        <v>3091</v>
      </c>
      <c r="J38" s="435">
        <f>SUMIF(114:114,I38,115:115)-SUMIF(114:114,C38,115:115)+100</f>
        <v>100</v>
      </c>
      <c r="K38" s="426">
        <v>2</v>
      </c>
      <c r="L38" s="1140"/>
      <c r="M38" s="1131"/>
      <c r="N38" s="1131"/>
      <c r="O38" s="1131"/>
      <c r="P38" s="3242" t="s">
        <v>2550</v>
      </c>
      <c r="Q38" s="1809" t="str">
        <f t="shared" si="11"/>
        <v>物业管理</v>
      </c>
      <c r="R38" s="774" t="s">
        <v>21</v>
      </c>
      <c r="S38" s="775">
        <f t="shared" si="12"/>
        <v>100</v>
      </c>
      <c r="T38" s="774" t="s">
        <v>21</v>
      </c>
      <c r="U38" s="775">
        <f t="shared" si="13"/>
        <v>100</v>
      </c>
      <c r="V38" s="774" t="s">
        <v>21</v>
      </c>
      <c r="W38" s="775">
        <f t="shared" si="14"/>
        <v>100</v>
      </c>
      <c r="X38" s="1812"/>
      <c r="Y38" s="3199" t="s">
        <v>2550</v>
      </c>
      <c r="Z38" s="1813" t="str">
        <f t="shared" si="18"/>
        <v>物业管理</v>
      </c>
      <c r="AA38" s="1810">
        <f t="shared" si="15"/>
        <v>1</v>
      </c>
      <c r="AB38" s="1810">
        <f t="shared" si="16"/>
        <v>1</v>
      </c>
      <c r="AC38" s="1810">
        <f t="shared" si="17"/>
        <v>1</v>
      </c>
    </row>
    <row r="39" spans="1:29" ht="15">
      <c r="A39" s="472"/>
      <c r="B39" s="422" t="s">
        <v>2557</v>
      </c>
      <c r="C39" s="2609" t="s">
        <v>3097</v>
      </c>
      <c r="D39" s="435">
        <v>100</v>
      </c>
      <c r="E39" s="2609" t="s">
        <v>3097</v>
      </c>
      <c r="F39" s="461">
        <f>SUMIF(116:116,E39,117:117)-SUMIF(116:116,C39,117:117)+100</f>
        <v>100</v>
      </c>
      <c r="G39" s="2609" t="s">
        <v>3097</v>
      </c>
      <c r="H39" s="435">
        <f>SUMIF(116:116,G39,117:117)-SUMIF(116:116,C39,117:117)+100</f>
        <v>100</v>
      </c>
      <c r="I39" s="2609" t="s">
        <v>3097</v>
      </c>
      <c r="J39" s="435">
        <f>SUMIF(116:116,I39,117:117)-SUMIF(116:116,C39,117:117)+100</f>
        <v>100</v>
      </c>
      <c r="K39" s="426">
        <v>1</v>
      </c>
      <c r="L39" s="1140"/>
      <c r="M39" s="1131"/>
      <c r="N39" s="1131"/>
      <c r="O39" s="1131"/>
      <c r="P39" s="3242"/>
      <c r="Q39" s="1809" t="str">
        <f t="shared" si="11"/>
        <v>市政基础设施</v>
      </c>
      <c r="R39" s="774" t="s">
        <v>21</v>
      </c>
      <c r="S39" s="775">
        <f t="shared" si="12"/>
        <v>100</v>
      </c>
      <c r="T39" s="774" t="s">
        <v>21</v>
      </c>
      <c r="U39" s="775">
        <f t="shared" si="13"/>
        <v>100</v>
      </c>
      <c r="V39" s="774" t="s">
        <v>21</v>
      </c>
      <c r="W39" s="775">
        <f t="shared" si="14"/>
        <v>100</v>
      </c>
      <c r="X39" s="1812"/>
      <c r="Y39" s="3199"/>
      <c r="Z39" s="1813" t="str">
        <f t="shared" si="18"/>
        <v>市政基础设施</v>
      </c>
      <c r="AA39" s="1810">
        <f t="shared" si="15"/>
        <v>1</v>
      </c>
      <c r="AB39" s="1810">
        <f t="shared" si="16"/>
        <v>1</v>
      </c>
      <c r="AC39" s="1810">
        <f t="shared" si="17"/>
        <v>1</v>
      </c>
    </row>
    <row r="40" spans="1:29" ht="15" hidden="1">
      <c r="A40" s="472"/>
      <c r="B40" s="422" t="s">
        <v>2558</v>
      </c>
      <c r="C40" s="2609"/>
      <c r="D40" s="435">
        <v>100</v>
      </c>
      <c r="E40" s="2609"/>
      <c r="F40" s="461">
        <f>SUMIF(118:118,E40,119:119)-SUMIF(118:118,C40,119:119)+100</f>
        <v>100</v>
      </c>
      <c r="G40" s="2609"/>
      <c r="H40" s="435">
        <f>SUMIF(118:118,G40,119:119)-SUMIF(118:118,C40,119:119)+100</f>
        <v>100</v>
      </c>
      <c r="I40" s="2609"/>
      <c r="J40" s="435">
        <f>SUMIF(118:118,I40,119:119)-SUMIF(118:118,C40,119:119)+100</f>
        <v>100</v>
      </c>
      <c r="K40" s="426"/>
      <c r="L40" s="1140"/>
      <c r="M40" s="1131"/>
      <c r="N40" s="1131"/>
      <c r="O40" s="1131"/>
      <c r="P40" s="3242"/>
      <c r="Q40" s="1809" t="str">
        <f t="shared" si="11"/>
        <v>房型</v>
      </c>
      <c r="R40" s="774" t="s">
        <v>21</v>
      </c>
      <c r="S40" s="775">
        <f t="shared" si="12"/>
        <v>100</v>
      </c>
      <c r="T40" s="774" t="s">
        <v>21</v>
      </c>
      <c r="U40" s="775">
        <f t="shared" si="13"/>
        <v>100</v>
      </c>
      <c r="V40" s="774" t="s">
        <v>21</v>
      </c>
      <c r="W40" s="775">
        <f t="shared" si="14"/>
        <v>100</v>
      </c>
      <c r="X40" s="1812"/>
      <c r="Y40" s="3199"/>
      <c r="Z40" s="1813" t="str">
        <f t="shared" si="18"/>
        <v>房型</v>
      </c>
      <c r="AA40" s="1810">
        <f t="shared" si="15"/>
        <v>1</v>
      </c>
      <c r="AB40" s="1810">
        <f t="shared" si="16"/>
        <v>1</v>
      </c>
      <c r="AC40" s="1810">
        <f t="shared" si="17"/>
        <v>1</v>
      </c>
    </row>
    <row r="41" spans="1:29" s="471" customFormat="1" ht="28.5" hidden="1">
      <c r="A41" s="468"/>
      <c r="B41" s="422" t="s">
        <v>2559</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7"/>
      <c r="L41" s="1138"/>
      <c r="M41" s="1141"/>
      <c r="N41" s="1141"/>
      <c r="O41" s="1141"/>
      <c r="P41" s="3242"/>
      <c r="Q41" s="776" t="str">
        <f t="shared" si="11"/>
        <v>单套/主力户型建筑面积</v>
      </c>
      <c r="R41" s="777" t="s">
        <v>21</v>
      </c>
      <c r="S41" s="778">
        <f t="shared" si="12"/>
        <v>100</v>
      </c>
      <c r="T41" s="777" t="s">
        <v>21</v>
      </c>
      <c r="U41" s="778">
        <f t="shared" si="13"/>
        <v>100</v>
      </c>
      <c r="V41" s="777" t="s">
        <v>21</v>
      </c>
      <c r="W41" s="778">
        <f t="shared" si="14"/>
        <v>100</v>
      </c>
      <c r="X41" s="779"/>
      <c r="Y41" s="3199"/>
      <c r="Z41" s="780" t="str">
        <f t="shared" si="18"/>
        <v>单套/主力户型建筑面积</v>
      </c>
      <c r="AA41" s="1810">
        <f t="shared" si="15"/>
        <v>1</v>
      </c>
      <c r="AB41" s="1810">
        <f t="shared" si="16"/>
        <v>1</v>
      </c>
      <c r="AC41" s="1810">
        <f t="shared" si="17"/>
        <v>1</v>
      </c>
    </row>
    <row r="42" spans="1:29" ht="15.75" thickBot="1">
      <c r="A42" s="472"/>
      <c r="B42" s="422" t="s">
        <v>2560</v>
      </c>
      <c r="C42" s="2609" t="s">
        <v>3703</v>
      </c>
      <c r="D42" s="435">
        <v>100</v>
      </c>
      <c r="E42" s="2609" t="s">
        <v>3703</v>
      </c>
      <c r="F42" s="461">
        <f>SUMIF(122:122,E42,123:123)-SUMIF(122:122,C42,123:123)+100</f>
        <v>100</v>
      </c>
      <c r="G42" s="2609" t="s">
        <v>3703</v>
      </c>
      <c r="H42" s="435">
        <f>SUMIF(122:122,G42,123:123)-SUMIF(122:122,C42,123:123)+100</f>
        <v>100</v>
      </c>
      <c r="I42" s="2609" t="s">
        <v>3703</v>
      </c>
      <c r="J42" s="435">
        <f>SUMIF(122:122,I42,123:123)-SUMIF(122:122,C42,123:123)+100</f>
        <v>100</v>
      </c>
      <c r="K42" s="426">
        <v>2</v>
      </c>
      <c r="L42" s="1140"/>
      <c r="M42" s="1131"/>
      <c r="N42" s="1131"/>
      <c r="O42" s="1131"/>
      <c r="P42" s="3242"/>
      <c r="Q42" s="1809" t="str">
        <f t="shared" si="11"/>
        <v>内部装修</v>
      </c>
      <c r="R42" s="774" t="s">
        <v>21</v>
      </c>
      <c r="S42" s="775">
        <f t="shared" si="12"/>
        <v>100</v>
      </c>
      <c r="T42" s="774" t="s">
        <v>21</v>
      </c>
      <c r="U42" s="775">
        <f t="shared" si="13"/>
        <v>100</v>
      </c>
      <c r="V42" s="774" t="s">
        <v>21</v>
      </c>
      <c r="W42" s="775">
        <f t="shared" si="14"/>
        <v>100</v>
      </c>
      <c r="X42" s="1812"/>
      <c r="Y42" s="3199"/>
      <c r="Z42" s="1813" t="str">
        <f t="shared" si="18"/>
        <v>内部装修</v>
      </c>
      <c r="AA42" s="1810">
        <f t="shared" si="15"/>
        <v>1</v>
      </c>
      <c r="AB42" s="1810">
        <f t="shared" si="16"/>
        <v>1</v>
      </c>
      <c r="AC42" s="1810">
        <f t="shared" si="17"/>
        <v>1</v>
      </c>
    </row>
    <row r="43" spans="1:29" ht="15.75" hidden="1" thickBot="1">
      <c r="A43" s="472"/>
      <c r="B43" s="422" t="s">
        <v>2561</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242"/>
      <c r="Q43" s="1809" t="str">
        <f t="shared" si="11"/>
        <v>内部装修维护情况</v>
      </c>
      <c r="R43" s="774" t="s">
        <v>21</v>
      </c>
      <c r="S43" s="775">
        <f t="shared" si="12"/>
        <v>100</v>
      </c>
      <c r="T43" s="774" t="s">
        <v>21</v>
      </c>
      <c r="U43" s="775">
        <f t="shared" si="13"/>
        <v>100</v>
      </c>
      <c r="V43" s="774" t="s">
        <v>21</v>
      </c>
      <c r="W43" s="775">
        <f t="shared" si="14"/>
        <v>100</v>
      </c>
      <c r="X43" s="1812"/>
      <c r="Y43" s="3199"/>
      <c r="Z43" s="1813" t="str">
        <f t="shared" si="18"/>
        <v>内部装修维护情况</v>
      </c>
      <c r="AA43" s="1810">
        <f t="shared" si="15"/>
        <v>1</v>
      </c>
      <c r="AB43" s="1810">
        <f t="shared" si="16"/>
        <v>1</v>
      </c>
      <c r="AC43" s="1810">
        <f t="shared" si="17"/>
        <v>1</v>
      </c>
    </row>
    <row r="44" spans="1:29" s="117" customFormat="1" ht="15" hidden="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242"/>
      <c r="Q44" s="1794">
        <f t="shared" si="11"/>
        <v>111</v>
      </c>
      <c r="R44" s="770" t="s">
        <v>21</v>
      </c>
      <c r="S44" s="771">
        <f t="shared" si="12"/>
        <v>100</v>
      </c>
      <c r="T44" s="770" t="s">
        <v>21</v>
      </c>
      <c r="U44" s="771">
        <f t="shared" si="13"/>
        <v>100</v>
      </c>
      <c r="V44" s="770" t="s">
        <v>21</v>
      </c>
      <c r="W44" s="771">
        <f t="shared" si="14"/>
        <v>100</v>
      </c>
      <c r="X44" s="772"/>
      <c r="Y44" s="3199"/>
      <c r="Z44" s="55">
        <f t="shared" si="18"/>
        <v>111</v>
      </c>
      <c r="AA44" s="773">
        <f t="shared" si="15"/>
        <v>1</v>
      </c>
      <c r="AB44" s="773">
        <f t="shared" si="16"/>
        <v>1</v>
      </c>
      <c r="AC44" s="773">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242"/>
      <c r="Q45" s="1809">
        <f t="shared" si="11"/>
        <v>111</v>
      </c>
      <c r="R45" s="774" t="s">
        <v>21</v>
      </c>
      <c r="S45" s="775">
        <f t="shared" si="12"/>
        <v>100</v>
      </c>
      <c r="T45" s="774" t="s">
        <v>21</v>
      </c>
      <c r="U45" s="775">
        <f t="shared" si="13"/>
        <v>100</v>
      </c>
      <c r="V45" s="774" t="s">
        <v>21</v>
      </c>
      <c r="W45" s="775">
        <f t="shared" si="14"/>
        <v>100</v>
      </c>
      <c r="X45" s="1812"/>
      <c r="Y45" s="3199"/>
      <c r="Z45" s="1813">
        <f t="shared" si="18"/>
        <v>111</v>
      </c>
      <c r="AA45" s="1810">
        <f t="shared" si="15"/>
        <v>1</v>
      </c>
      <c r="AB45" s="1810">
        <f t="shared" si="16"/>
        <v>1</v>
      </c>
      <c r="AC45" s="1810">
        <f t="shared" si="17"/>
        <v>1</v>
      </c>
    </row>
    <row r="46" spans="1:29" ht="15.75" hidden="1"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243"/>
      <c r="Q46" s="1809">
        <f t="shared" si="11"/>
        <v>111</v>
      </c>
      <c r="R46" s="774" t="s">
        <v>20</v>
      </c>
      <c r="S46" s="775">
        <f t="shared" si="12"/>
        <v>100</v>
      </c>
      <c r="T46" s="774" t="s">
        <v>20</v>
      </c>
      <c r="U46" s="775">
        <f t="shared" si="13"/>
        <v>100</v>
      </c>
      <c r="V46" s="774" t="s">
        <v>20</v>
      </c>
      <c r="W46" s="775">
        <f t="shared" si="14"/>
        <v>100</v>
      </c>
      <c r="X46" s="1812"/>
      <c r="Y46" s="3244"/>
      <c r="Z46" s="1813">
        <f t="shared" si="18"/>
        <v>111</v>
      </c>
      <c r="AA46" s="1810">
        <f t="shared" si="15"/>
        <v>1</v>
      </c>
      <c r="AB46" s="1810">
        <f t="shared" si="16"/>
        <v>1</v>
      </c>
      <c r="AC46" s="1810">
        <f t="shared" si="17"/>
        <v>1</v>
      </c>
    </row>
    <row r="47" spans="1:29" ht="15">
      <c r="A47" s="479" t="s">
        <v>2562</v>
      </c>
      <c r="B47" s="480"/>
      <c r="C47" s="1407" t="s">
        <v>19</v>
      </c>
      <c r="D47" s="1408"/>
      <c r="E47" s="1409">
        <v>5500</v>
      </c>
      <c r="F47" s="1410"/>
      <c r="G47" s="1411">
        <v>5800</v>
      </c>
      <c r="H47" s="1412"/>
      <c r="I47" s="1409">
        <v>5900</v>
      </c>
      <c r="J47" s="1412"/>
      <c r="K47" s="2615"/>
      <c r="L47" s="1143"/>
      <c r="M47" s="1144"/>
      <c r="N47" s="1131"/>
      <c r="O47" s="1144"/>
      <c r="P47" s="3181" t="str">
        <f>A47</f>
        <v>成交单价（元/平方米）</v>
      </c>
      <c r="Q47" s="3181"/>
      <c r="R47" s="3240">
        <f>E47</f>
        <v>5500</v>
      </c>
      <c r="S47" s="3240"/>
      <c r="T47" s="3240">
        <f>G47</f>
        <v>5800</v>
      </c>
      <c r="U47" s="3240"/>
      <c r="V47" s="3240">
        <f>I47</f>
        <v>5900</v>
      </c>
      <c r="W47" s="3240"/>
      <c r="X47" s="759"/>
      <c r="Y47" s="781"/>
      <c r="Z47" s="759"/>
      <c r="AA47" s="759"/>
      <c r="AB47" s="759"/>
      <c r="AC47" s="759"/>
    </row>
    <row r="48" spans="1:29" ht="15.75" thickBot="1">
      <c r="A48" s="486" t="s">
        <v>2563</v>
      </c>
      <c r="B48" s="487"/>
      <c r="C48" s="1413">
        <f>R49</f>
        <v>5240</v>
      </c>
      <c r="D48" s="1414"/>
      <c r="E48" s="1415">
        <f>R48</f>
        <v>4618</v>
      </c>
      <c r="F48" s="1415"/>
      <c r="G48" s="1413">
        <f>T48</f>
        <v>5503</v>
      </c>
      <c r="H48" s="1414"/>
      <c r="I48" s="1415">
        <f>V48</f>
        <v>5598</v>
      </c>
      <c r="J48" s="1414"/>
      <c r="K48" s="2616"/>
      <c r="L48" s="1143"/>
      <c r="M48" s="1144"/>
      <c r="N48" s="1144"/>
      <c r="O48" s="1144"/>
      <c r="P48" s="3181" t="str">
        <f>A48</f>
        <v>比较价值（元/平方米）</v>
      </c>
      <c r="Q48" s="3181"/>
      <c r="R48" s="3240">
        <f>IF(F1="售价",ROUND(PRODUCT(R47,AA7:AA46),0),ROUND(PRODUCT(R47,AA7:AA46),1))</f>
        <v>4618</v>
      </c>
      <c r="S48" s="3240"/>
      <c r="T48" s="3240">
        <f>IF(F1="售价",ROUND(PRODUCT(T47,AB7:AB46),0),ROUND(PRODUCT(T47,AB7:AB46),1))</f>
        <v>5503</v>
      </c>
      <c r="U48" s="3240"/>
      <c r="V48" s="3240">
        <f>IF(F1="售价",ROUND(PRODUCT(V47,AC7:AC46),0),ROUND(PRODUCT(V47,AC7:AC46),1))</f>
        <v>5598</v>
      </c>
      <c r="W48" s="3240"/>
      <c r="X48" s="759"/>
      <c r="Y48" s="759"/>
      <c r="Z48" s="759"/>
      <c r="AA48" s="759"/>
      <c r="AB48" s="759"/>
      <c r="AC48" s="759"/>
    </row>
    <row r="49" spans="1:29" ht="15.75" thickBot="1">
      <c r="A49" s="492" t="s">
        <v>2564</v>
      </c>
      <c r="B49" s="493"/>
      <c r="C49" s="1416">
        <f>R49</f>
        <v>5240</v>
      </c>
      <c r="D49" s="1417"/>
      <c r="E49" s="1417"/>
      <c r="F49" s="1417"/>
      <c r="G49" s="1417"/>
      <c r="H49" s="1417"/>
      <c r="I49" s="1417"/>
      <c r="J49" s="1417"/>
      <c r="K49" s="2617"/>
      <c r="L49" s="1143"/>
      <c r="M49" s="1144"/>
      <c r="N49" s="1144"/>
      <c r="O49" s="1144"/>
      <c r="P49" s="3201" t="str">
        <f>A49</f>
        <v>估价对象XX用房的比较价值（楼面单价，元/平方米）</v>
      </c>
      <c r="Q49" s="3202"/>
      <c r="R49" s="3239">
        <f>IF(F1="售价",ROUND(AVERAGE(R48:V48),0),ROUND(AVERAGE(R48:V48),1))</f>
        <v>5240</v>
      </c>
      <c r="S49" s="3239"/>
      <c r="T49" s="3239"/>
      <c r="U49" s="3239"/>
      <c r="V49" s="3239"/>
      <c r="W49" s="323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2565</v>
      </c>
      <c r="D52" s="498"/>
      <c r="E52" s="499">
        <f>IF(E47&lt;E48,E48/E47-1,E47/E48-1)</f>
        <v>0.1909917713295799</v>
      </c>
      <c r="F52" s="500" t="str">
        <f>IF(OR(E52&gt;=0.3,E52&lt;=-0.3),"超过30%","")</f>
        <v/>
      </c>
      <c r="G52" s="499">
        <f>IF(G47&lt;G48,G48/G47-1,G47/G48-1)</f>
        <v>5.3970561511902604E-2</v>
      </c>
      <c r="H52" s="500" t="str">
        <f>IF(OR(G52&gt;=0.3,G52&lt;=-0.3),"超过30%","")</f>
        <v/>
      </c>
      <c r="I52" s="499">
        <f>IF(I47&lt;I48,I48/I47-1,I47/I48-1)</f>
        <v>5.3947838513754842E-2</v>
      </c>
      <c r="J52" s="500" t="str">
        <f>IF(OR(I52&gt;=0.3,I52&lt;=-0.3),"超过30%","")</f>
        <v/>
      </c>
      <c r="K52" s="1105"/>
      <c r="L52" s="1106"/>
      <c r="M52" s="1144"/>
      <c r="N52" s="1144"/>
      <c r="O52" s="1144"/>
    </row>
    <row r="53" spans="1:29" ht="13.5" customHeight="1">
      <c r="A53" s="1144"/>
      <c r="B53" s="1144"/>
      <c r="C53" s="497" t="s">
        <v>2566</v>
      </c>
      <c r="D53" s="501"/>
      <c r="E53" s="499">
        <f>IF(E48&lt;G48,G48/E48-1,E48/G48-1)</f>
        <v>0.19164140320485057</v>
      </c>
      <c r="F53" s="500" t="str">
        <f>IF(OR(E53&gt;=0.2,E53&lt;=-0.2),"超过20%","")</f>
        <v/>
      </c>
      <c r="G53" s="499">
        <f>IF(G48&lt;I48,I48/G48-1,G48/I48-1)</f>
        <v>1.7263310921315611E-2</v>
      </c>
      <c r="H53" s="500" t="str">
        <f>IF(OR(G53&gt;=0.2,G53&lt;=-0.2),"超过20%","")</f>
        <v/>
      </c>
      <c r="I53" s="499">
        <f>IF(I48&lt;E48,E48/I48-1,I48/E48-1)</f>
        <v>0.2122130792550887</v>
      </c>
      <c r="J53" s="500" t="str">
        <f>IF(OR(I53&gt;=0.2,I53&lt;=-0.2),"超过20%","")</f>
        <v>超过20%</v>
      </c>
      <c r="K53" s="1105"/>
      <c r="L53" s="1106"/>
      <c r="M53" s="1144"/>
      <c r="N53" s="1144"/>
      <c r="O53" s="1144"/>
    </row>
    <row r="54" spans="1:29" s="502" customFormat="1" ht="13.5" customHeight="1">
      <c r="A54" s="1145"/>
      <c r="B54" s="1145"/>
      <c r="C54" s="497" t="s">
        <v>2567</v>
      </c>
      <c r="D54" s="501"/>
      <c r="E54" s="499">
        <f>IF(E47&lt;G47,G47/E47-1,E47/G47-1)</f>
        <v>5.4545454545454453E-2</v>
      </c>
      <c r="F54" s="500" t="str">
        <f>IF(OR(E54&gt;=0.3,E54&lt;=-0.3),"超过30%","")</f>
        <v/>
      </c>
      <c r="G54" s="499">
        <f>IF(G47&lt;I47,I47/G47-1,G47/I47-1)</f>
        <v>1.7241379310344751E-2</v>
      </c>
      <c r="H54" s="500" t="str">
        <f>IF(OR(G54&gt;=0.3,G54&lt;=-0.3),"超过30%","")</f>
        <v/>
      </c>
      <c r="I54" s="499">
        <f>IF(I47&lt;E47,E47/I47-1,I47/E47-1)</f>
        <v>7.2727272727272751E-2</v>
      </c>
      <c r="J54" s="500" t="str">
        <f>IF(OR(I54&gt;=0.3,I54&lt;=-0.3),"超过30%","")</f>
        <v/>
      </c>
      <c r="K54" s="1148"/>
      <c r="L54" s="1149"/>
      <c r="M54" s="1145"/>
      <c r="N54" s="1145"/>
      <c r="O54" s="1145"/>
      <c r="P54" s="2619"/>
    </row>
    <row r="55" spans="1:29" s="502"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75" thickBot="1">
      <c r="A57" s="763" t="s">
        <v>2568</v>
      </c>
      <c r="B57" s="759"/>
      <c r="C57" s="764"/>
      <c r="D57" s="764"/>
      <c r="E57" s="764"/>
      <c r="F57" s="765"/>
      <c r="G57" s="765"/>
      <c r="H57" s="764"/>
      <c r="I57" s="764"/>
      <c r="J57" s="764"/>
      <c r="K57" s="1160"/>
      <c r="L57" s="1161"/>
      <c r="M57" s="1159"/>
      <c r="N57" s="1159"/>
      <c r="O57" s="1159"/>
      <c r="P57" s="2620"/>
      <c r="Q57" s="504"/>
    </row>
    <row r="58" spans="1:29" s="508" customFormat="1" ht="15">
      <c r="A58" s="505" t="s">
        <v>2569</v>
      </c>
      <c r="B58" s="506"/>
      <c r="C58" s="1575" t="str">
        <f>YEAR(C7)&amp;"-"&amp;MONTH(C7)</f>
        <v>2020-7</v>
      </c>
      <c r="D58" s="1574">
        <f>EDATE(C58,-1)</f>
        <v>43983</v>
      </c>
      <c r="E58" s="1574">
        <f>EDATE(D58,-1)</f>
        <v>43952</v>
      </c>
      <c r="F58" s="1574">
        <f t="shared" ref="F58:O58" si="19">EDATE(E58,-1)</f>
        <v>43922</v>
      </c>
      <c r="G58" s="1574">
        <f t="shared" si="19"/>
        <v>43891</v>
      </c>
      <c r="H58" s="1574">
        <f t="shared" si="19"/>
        <v>43862</v>
      </c>
      <c r="I58" s="1574">
        <f t="shared" si="19"/>
        <v>43831</v>
      </c>
      <c r="J58" s="1574">
        <f t="shared" si="19"/>
        <v>43800</v>
      </c>
      <c r="K58" s="1574">
        <f t="shared" si="19"/>
        <v>43770</v>
      </c>
      <c r="L58" s="1574">
        <f t="shared" si="19"/>
        <v>43739</v>
      </c>
      <c r="M58" s="1574">
        <f t="shared" si="19"/>
        <v>43709</v>
      </c>
      <c r="N58" s="1574">
        <f t="shared" si="19"/>
        <v>43678</v>
      </c>
      <c r="O58" s="1574">
        <f t="shared" si="19"/>
        <v>43647</v>
      </c>
      <c r="P58" s="1569"/>
    </row>
    <row r="59" spans="1:29" s="117" customFormat="1" ht="15">
      <c r="A59" s="509"/>
      <c r="B59" s="2621"/>
      <c r="C59" s="1572">
        <v>100</v>
      </c>
      <c r="D59" s="511"/>
      <c r="E59" s="512"/>
      <c r="F59" s="512"/>
      <c r="G59" s="512"/>
      <c r="H59" s="512"/>
      <c r="I59" s="512"/>
      <c r="J59" s="512"/>
      <c r="K59" s="512"/>
      <c r="L59" s="512"/>
      <c r="M59" s="513"/>
      <c r="N59" s="512"/>
      <c r="O59" s="513"/>
      <c r="P59" s="2622"/>
    </row>
    <row r="60" spans="1:29" s="117" customFormat="1" ht="15.75" thickBot="1">
      <c r="A60" s="515" t="s">
        <v>2570</v>
      </c>
      <c r="B60" s="516"/>
      <c r="C60" s="517"/>
      <c r="D60" s="518"/>
      <c r="E60" s="518"/>
      <c r="F60" s="518"/>
      <c r="G60" s="518"/>
      <c r="H60" s="518"/>
      <c r="I60" s="518"/>
      <c r="J60" s="518"/>
      <c r="K60" s="518"/>
      <c r="L60" s="518"/>
      <c r="M60" s="519"/>
      <c r="N60" s="518"/>
      <c r="O60" s="519"/>
      <c r="P60" s="2622"/>
      <c r="Q60" s="504"/>
    </row>
    <row r="61" spans="1:29" s="117" customFormat="1" ht="15">
      <c r="A61" s="521" t="s">
        <v>2571</v>
      </c>
      <c r="B61" s="510"/>
      <c r="C61" s="522" t="s">
        <v>2572</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2573</v>
      </c>
      <c r="B63" s="528" t="s">
        <v>2539</v>
      </c>
      <c r="C63" s="529" t="str">
        <f>C9</f>
        <v>住宅</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4"/>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4"/>
      <c r="Q66" s="504"/>
    </row>
    <row r="67" spans="1:17" ht="15.75" thickTop="1">
      <c r="A67" s="534"/>
      <c r="B67" s="546" t="s">
        <v>2543</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3"/>
      <c r="O67" s="1153"/>
      <c r="P67" s="2624"/>
      <c r="Q67" s="504"/>
    </row>
    <row r="68" spans="1:17" ht="15">
      <c r="A68" s="534"/>
      <c r="B68" s="548"/>
      <c r="C68" s="549">
        <v>0</v>
      </c>
      <c r="D68" s="549">
        <v>1</v>
      </c>
      <c r="E68" s="549">
        <v>2</v>
      </c>
      <c r="F68" s="549">
        <v>3</v>
      </c>
      <c r="G68" s="549">
        <v>4</v>
      </c>
      <c r="H68" s="549">
        <v>5</v>
      </c>
      <c r="I68" s="549"/>
      <c r="J68" s="549"/>
      <c r="K68" s="550"/>
      <c r="L68" s="551"/>
      <c r="M68" s="552"/>
      <c r="N68" s="1152"/>
      <c r="O68" s="1152"/>
      <c r="P68" s="2624"/>
      <c r="Q68" s="504"/>
    </row>
    <row r="69" spans="1:17" ht="15.75" thickBot="1">
      <c r="A69" s="534"/>
      <c r="B69" s="535"/>
      <c r="C69" s="544">
        <v>100</v>
      </c>
      <c r="D69" s="544">
        <f t="shared" ref="D69:M69" si="22">C69-$K11</f>
        <v>97</v>
      </c>
      <c r="E69" s="544">
        <f t="shared" si="22"/>
        <v>94</v>
      </c>
      <c r="F69" s="544">
        <f t="shared" si="22"/>
        <v>91</v>
      </c>
      <c r="G69" s="544">
        <f t="shared" si="22"/>
        <v>88</v>
      </c>
      <c r="H69" s="544">
        <f t="shared" si="22"/>
        <v>85</v>
      </c>
      <c r="I69" s="544">
        <f t="shared" si="22"/>
        <v>82</v>
      </c>
      <c r="J69" s="544">
        <f t="shared" si="22"/>
        <v>79</v>
      </c>
      <c r="K69" s="544">
        <f t="shared" si="22"/>
        <v>76</v>
      </c>
      <c r="L69" s="544">
        <f t="shared" si="22"/>
        <v>73</v>
      </c>
      <c r="M69" s="545">
        <f t="shared" si="22"/>
        <v>70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60"/>
      <c r="E73" s="560"/>
      <c r="F73" s="560"/>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2"/>
      <c r="O76" s="1152"/>
      <c r="P76" s="2628"/>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3"/>
      <c r="O77" s="1153"/>
      <c r="P77" s="2624"/>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4"/>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3"/>
      <c r="O79" s="1153"/>
      <c r="P79" s="2624"/>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4"/>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4"/>
      <c r="Q81" s="504"/>
    </row>
    <row r="82" spans="1:17" ht="15.75" thickTop="1">
      <c r="A82" s="534"/>
      <c r="B82" s="546" t="s">
        <v>2086</v>
      </c>
      <c r="C82" s="539" t="s">
        <v>2589</v>
      </c>
      <c r="D82" s="539" t="s">
        <v>2590</v>
      </c>
      <c r="E82" s="539" t="s">
        <v>2591</v>
      </c>
      <c r="F82" s="539" t="s">
        <v>2592</v>
      </c>
      <c r="G82" s="539" t="s">
        <v>2593</v>
      </c>
      <c r="H82" s="539"/>
      <c r="I82" s="539"/>
      <c r="J82" s="539"/>
      <c r="K82" s="539"/>
      <c r="L82" s="539"/>
      <c r="M82" s="1382"/>
      <c r="N82" s="1153"/>
      <c r="O82" s="1153"/>
      <c r="P82" s="2624"/>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4"/>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4"/>
      <c r="Q84" s="504"/>
    </row>
    <row r="85" spans="1:17" ht="15.75" thickBot="1">
      <c r="A85" s="534"/>
      <c r="B85" s="543"/>
      <c r="C85" s="544">
        <v>100</v>
      </c>
      <c r="D85" s="544">
        <f>C85-$K23</f>
        <v>95</v>
      </c>
      <c r="E85" s="544">
        <f>D85-$K23</f>
        <v>90</v>
      </c>
      <c r="F85" s="544">
        <f>E85-$K23</f>
        <v>85</v>
      </c>
      <c r="G85" s="544">
        <f>F85-$K23</f>
        <v>80</v>
      </c>
      <c r="H85" s="544"/>
      <c r="I85" s="544"/>
      <c r="J85" s="544"/>
      <c r="K85" s="544"/>
      <c r="L85" s="544"/>
      <c r="M85" s="545"/>
      <c r="N85" s="1153"/>
      <c r="O85" s="1153"/>
      <c r="P85" s="2624"/>
      <c r="Q85" s="504"/>
    </row>
    <row r="86" spans="1:17" s="117" customFormat="1" ht="15.75" thickTop="1">
      <c r="A86" s="579"/>
      <c r="B86" s="538" t="s">
        <v>2595</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4"/>
      <c r="Q87" s="504"/>
    </row>
    <row r="88" spans="1:17" s="117" customFormat="1" ht="15.75" thickTop="1">
      <c r="A88" s="579"/>
      <c r="B88" s="538" t="s">
        <v>2596</v>
      </c>
      <c r="C88" s="554"/>
      <c r="D88" s="554"/>
      <c r="E88" s="554"/>
      <c r="F88" s="2629"/>
      <c r="G88" s="554"/>
      <c r="H88" s="554"/>
      <c r="I88" s="554"/>
      <c r="J88" s="554"/>
      <c r="K88" s="554"/>
      <c r="L88" s="554"/>
      <c r="M88" s="581"/>
      <c r="N88" s="1151"/>
      <c r="O88" s="1151"/>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4"/>
      <c r="Q89" s="504"/>
    </row>
    <row r="90" spans="1:17" s="471" customFormat="1" ht="15.75" thickTop="1">
      <c r="A90" s="553"/>
      <c r="B90" s="538">
        <f>B27</f>
        <v>111</v>
      </c>
      <c r="C90" s="554"/>
      <c r="D90" s="554"/>
      <c r="E90" s="554"/>
      <c r="F90" s="554"/>
      <c r="G90" s="554"/>
      <c r="H90" s="555"/>
      <c r="I90" s="555"/>
      <c r="J90" s="555"/>
      <c r="K90" s="555"/>
      <c r="L90" s="556"/>
      <c r="M90" s="557"/>
      <c r="N90" s="1154"/>
      <c r="O90" s="1154"/>
      <c r="P90" s="2625"/>
      <c r="Q90" s="559"/>
    </row>
    <row r="91" spans="1:17" s="471" customFormat="1" ht="15.75" thickBot="1">
      <c r="A91" s="553"/>
      <c r="B91" s="543"/>
      <c r="C91" s="560"/>
      <c r="D91" s="560"/>
      <c r="E91" s="560"/>
      <c r="F91" s="560"/>
      <c r="G91" s="560"/>
      <c r="H91" s="562"/>
      <c r="I91" s="562"/>
      <c r="J91" s="562"/>
      <c r="K91" s="562"/>
      <c r="L91" s="562"/>
      <c r="M91" s="563"/>
      <c r="N91" s="1154"/>
      <c r="O91" s="1154"/>
      <c r="P91" s="2625"/>
      <c r="Q91" s="559"/>
    </row>
    <row r="92" spans="1:17" ht="15.75" thickTop="1">
      <c r="A92" s="534"/>
      <c r="B92" s="538">
        <f>B28</f>
        <v>111</v>
      </c>
      <c r="C92" s="554"/>
      <c r="D92" s="554"/>
      <c r="E92" s="554"/>
      <c r="F92" s="554"/>
      <c r="G92" s="583"/>
      <c r="H92" s="583"/>
      <c r="I92" s="583"/>
      <c r="J92" s="583"/>
      <c r="K92" s="584"/>
      <c r="L92" s="585"/>
      <c r="M92" s="586"/>
      <c r="N92" s="1152"/>
      <c r="O92" s="1152"/>
      <c r="P92" s="2624"/>
      <c r="Q92" s="504"/>
    </row>
    <row r="93" spans="1:17" ht="15.75" thickBot="1">
      <c r="A93" s="534"/>
      <c r="B93" s="543"/>
      <c r="C93" s="560"/>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60"/>
      <c r="E95" s="560"/>
      <c r="F95" s="560"/>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70"/>
      <c r="D97" s="570"/>
      <c r="E97" s="570"/>
      <c r="F97" s="570"/>
      <c r="G97" s="536"/>
      <c r="H97" s="536"/>
      <c r="I97" s="536"/>
      <c r="J97" s="536"/>
      <c r="K97" s="536"/>
      <c r="L97" s="536"/>
      <c r="M97" s="537"/>
      <c r="N97" s="1153"/>
      <c r="O97" s="1153"/>
      <c r="P97" s="2624"/>
      <c r="Q97" s="504"/>
    </row>
    <row r="98" spans="1:17" ht="15.75" thickTop="1">
      <c r="A98" s="534"/>
      <c r="B98" s="546">
        <f>B31</f>
        <v>111</v>
      </c>
      <c r="C98" s="587"/>
      <c r="D98" s="587"/>
      <c r="E98" s="587"/>
      <c r="F98" s="587"/>
      <c r="G98" s="587"/>
      <c r="H98" s="587"/>
      <c r="I98" s="587"/>
      <c r="J98" s="587"/>
      <c r="K98" s="588"/>
      <c r="L98" s="589"/>
      <c r="M98" s="590"/>
      <c r="N98" s="1152"/>
      <c r="O98" s="1152"/>
      <c r="P98" s="2624"/>
      <c r="Q98" s="504"/>
    </row>
    <row r="99" spans="1:17" ht="15.75" thickBot="1">
      <c r="A99" s="2630"/>
      <c r="B99" s="569"/>
      <c r="C99" s="591"/>
      <c r="D99" s="591"/>
      <c r="E99" s="591"/>
      <c r="F99" s="591"/>
      <c r="G99" s="591"/>
      <c r="H99" s="591"/>
      <c r="I99" s="591"/>
      <c r="J99" s="591"/>
      <c r="K99" s="591"/>
      <c r="L99" s="591"/>
      <c r="M99" s="592"/>
      <c r="N99" s="1153"/>
      <c r="O99" s="1153"/>
      <c r="P99" s="2624"/>
      <c r="Q99" s="504"/>
    </row>
    <row r="100" spans="1:17">
      <c r="A100" s="527" t="s">
        <v>2548</v>
      </c>
      <c r="B100" s="528" t="s">
        <v>2597</v>
      </c>
      <c r="C100" s="2965" t="s">
        <v>3697</v>
      </c>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24"/>
      <c r="Q101" s="504"/>
    </row>
    <row r="102" spans="1:17" ht="29.25" thickTop="1">
      <c r="A102" s="534"/>
      <c r="B102" s="538" t="s">
        <v>2598</v>
      </c>
      <c r="C102" s="578" t="str">
        <f>C103&amp;"(含)"&amp;"-"&amp;D103</f>
        <v>0(含)-200000</v>
      </c>
      <c r="D102" s="578" t="str">
        <f t="shared" ref="D102:L102" si="27">D103&amp;"(含)"&amp;"-"&amp;E103</f>
        <v>200000(含)-400000</v>
      </c>
      <c r="E102" s="578" t="str">
        <f t="shared" si="27"/>
        <v>400000(含)-600000</v>
      </c>
      <c r="F102" s="578" t="str">
        <f t="shared" si="27"/>
        <v>600000(含)-800000</v>
      </c>
      <c r="G102" s="578" t="str">
        <f t="shared" si="27"/>
        <v>800000(含)-1000000</v>
      </c>
      <c r="H102" s="578" t="str">
        <f t="shared" si="27"/>
        <v>1000000(含)-1200000</v>
      </c>
      <c r="I102" s="578" t="str">
        <f t="shared" si="27"/>
        <v>1200000(含)-</v>
      </c>
      <c r="J102" s="578" t="str">
        <f t="shared" si="27"/>
        <v>(含)-</v>
      </c>
      <c r="K102" s="578" t="str">
        <f>K103&amp;"(含)"&amp;"-"&amp;L103</f>
        <v>(含)-</v>
      </c>
      <c r="L102" s="578" t="str">
        <f t="shared" si="27"/>
        <v>(含)-</v>
      </c>
      <c r="M102" s="578" t="str">
        <f>M103&amp;"(含)"&amp;"-"&amp;P103</f>
        <v>(含)-</v>
      </c>
      <c r="N102" s="1151"/>
      <c r="O102" s="1151"/>
      <c r="P102" s="2624"/>
      <c r="Q102" s="504"/>
    </row>
    <row r="103" spans="1:17" s="471" customFormat="1">
      <c r="A103" s="593"/>
      <c r="B103" s="594"/>
      <c r="C103" s="595">
        <v>0</v>
      </c>
      <c r="D103" s="595">
        <f>C103+200000</f>
        <v>200000</v>
      </c>
      <c r="E103" s="595">
        <f t="shared" ref="E103:I103" si="28">D103+200000</f>
        <v>400000</v>
      </c>
      <c r="F103" s="595">
        <f t="shared" si="28"/>
        <v>600000</v>
      </c>
      <c r="G103" s="595">
        <f t="shared" si="28"/>
        <v>800000</v>
      </c>
      <c r="H103" s="595">
        <f t="shared" si="28"/>
        <v>1000000</v>
      </c>
      <c r="I103" s="595">
        <f t="shared" si="28"/>
        <v>1200000</v>
      </c>
      <c r="J103" s="596"/>
      <c r="K103" s="596"/>
      <c r="L103" s="597"/>
      <c r="M103" s="598"/>
      <c r="N103" s="1154"/>
      <c r="O103" s="1154"/>
      <c r="P103" s="2625"/>
      <c r="Q103" s="559"/>
    </row>
    <row r="104" spans="1:17" s="471" customFormat="1" ht="15.75" thickBot="1">
      <c r="A104" s="553"/>
      <c r="B104" s="543"/>
      <c r="C104" s="560">
        <v>100</v>
      </c>
      <c r="D104" s="536">
        <f>C104+2</f>
        <v>102</v>
      </c>
      <c r="E104" s="536">
        <f t="shared" ref="E104:I104" si="29">D104+2</f>
        <v>104</v>
      </c>
      <c r="F104" s="536">
        <f t="shared" si="29"/>
        <v>106</v>
      </c>
      <c r="G104" s="536">
        <f t="shared" si="29"/>
        <v>108</v>
      </c>
      <c r="H104" s="536">
        <f t="shared" si="29"/>
        <v>110</v>
      </c>
      <c r="I104" s="536">
        <f t="shared" si="29"/>
        <v>112</v>
      </c>
      <c r="J104" s="536"/>
      <c r="K104" s="536"/>
      <c r="L104" s="536"/>
      <c r="M104" s="536"/>
      <c r="N104" s="1153"/>
      <c r="O104" s="1153"/>
      <c r="P104" s="2625"/>
      <c r="Q104" s="559"/>
    </row>
    <row r="105" spans="1:17" ht="15" thickTop="1">
      <c r="A105" s="599"/>
      <c r="B105" s="538" t="s">
        <v>2599</v>
      </c>
      <c r="C105" s="2967" t="s">
        <v>3695</v>
      </c>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30">C106-$K34</f>
        <v>98</v>
      </c>
      <c r="E106" s="544">
        <f t="shared" si="30"/>
        <v>96</v>
      </c>
      <c r="F106" s="544">
        <f t="shared" si="30"/>
        <v>94</v>
      </c>
      <c r="G106" s="544">
        <f t="shared" si="30"/>
        <v>92</v>
      </c>
      <c r="H106" s="544">
        <f t="shared" si="30"/>
        <v>90</v>
      </c>
      <c r="I106" s="544">
        <f t="shared" si="30"/>
        <v>88</v>
      </c>
      <c r="J106" s="544">
        <f t="shared" si="30"/>
        <v>86</v>
      </c>
      <c r="K106" s="544">
        <f t="shared" si="30"/>
        <v>84</v>
      </c>
      <c r="L106" s="544">
        <f t="shared" si="30"/>
        <v>82</v>
      </c>
      <c r="M106" s="544">
        <f t="shared" si="30"/>
        <v>80</v>
      </c>
      <c r="N106" s="1153"/>
      <c r="O106" s="1153"/>
      <c r="P106" s="2624"/>
      <c r="Q106" s="504"/>
    </row>
    <row r="107" spans="1:17" ht="15" thickTop="1">
      <c r="A107" s="599"/>
      <c r="B107" s="538" t="s">
        <v>2600</v>
      </c>
      <c r="C107" s="2966" t="s">
        <v>3698</v>
      </c>
      <c r="D107" s="583"/>
      <c r="E107" s="583"/>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31">C108-$K35</f>
        <v>98</v>
      </c>
      <c r="E108" s="544">
        <f t="shared" si="31"/>
        <v>96</v>
      </c>
      <c r="F108" s="544">
        <f t="shared" si="31"/>
        <v>94</v>
      </c>
      <c r="G108" s="544">
        <f t="shared" si="31"/>
        <v>92</v>
      </c>
      <c r="H108" s="544">
        <f t="shared" si="31"/>
        <v>90</v>
      </c>
      <c r="I108" s="544">
        <f t="shared" si="31"/>
        <v>88</v>
      </c>
      <c r="J108" s="544">
        <f t="shared" si="31"/>
        <v>86</v>
      </c>
      <c r="K108" s="544">
        <f t="shared" si="31"/>
        <v>84</v>
      </c>
      <c r="L108" s="544">
        <f t="shared" si="31"/>
        <v>82</v>
      </c>
      <c r="M108" s="544">
        <f t="shared" si="31"/>
        <v>80</v>
      </c>
      <c r="N108" s="1153"/>
      <c r="O108" s="1153"/>
      <c r="P108" s="2624"/>
      <c r="Q108" s="504"/>
    </row>
    <row r="109" spans="1:17" ht="15" thickTop="1">
      <c r="A109" s="599"/>
      <c r="B109" s="538" t="s">
        <v>2601</v>
      </c>
      <c r="C109" s="2967" t="s">
        <v>3700</v>
      </c>
      <c r="D109" s="2967" t="s">
        <v>3701</v>
      </c>
      <c r="E109" s="2967" t="s">
        <v>3702</v>
      </c>
      <c r="F109" s="2966" t="s">
        <v>3704</v>
      </c>
      <c r="G109" s="583"/>
      <c r="H109" s="583"/>
      <c r="I109" s="583"/>
      <c r="J109" s="583"/>
      <c r="K109" s="584"/>
      <c r="L109" s="585"/>
      <c r="M109" s="586"/>
      <c r="N109" s="1152"/>
      <c r="O109" s="1152"/>
      <c r="P109" s="2624"/>
      <c r="Q109" s="504"/>
    </row>
    <row r="110" spans="1:17" ht="15.75" thickBot="1">
      <c r="A110" s="534"/>
      <c r="B110" s="543"/>
      <c r="C110" s="544">
        <v>100</v>
      </c>
      <c r="D110" s="544">
        <f t="shared" ref="D110:M110" si="32">C110-$K36</f>
        <v>98</v>
      </c>
      <c r="E110" s="544">
        <f t="shared" si="32"/>
        <v>96</v>
      </c>
      <c r="F110" s="544">
        <f t="shared" si="32"/>
        <v>94</v>
      </c>
      <c r="G110" s="544">
        <f t="shared" si="32"/>
        <v>92</v>
      </c>
      <c r="H110" s="544">
        <f t="shared" si="32"/>
        <v>90</v>
      </c>
      <c r="I110" s="544">
        <f t="shared" si="32"/>
        <v>88</v>
      </c>
      <c r="J110" s="544">
        <f t="shared" si="32"/>
        <v>86</v>
      </c>
      <c r="K110" s="544">
        <f t="shared" si="32"/>
        <v>84</v>
      </c>
      <c r="L110" s="544">
        <f t="shared" si="32"/>
        <v>82</v>
      </c>
      <c r="M110" s="544">
        <f t="shared" si="32"/>
        <v>80</v>
      </c>
      <c r="N110" s="1153"/>
      <c r="O110" s="1153"/>
      <c r="P110" s="2624"/>
      <c r="Q110" s="504"/>
    </row>
    <row r="111" spans="1:17" s="471" customFormat="1" ht="15" thickTop="1">
      <c r="A111" s="593"/>
      <c r="B111" s="538" t="s">
        <v>1986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5"/>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5"/>
      <c r="Q113" s="559"/>
    </row>
    <row r="114" spans="1:17" ht="15" thickTop="1">
      <c r="A114" s="599"/>
      <c r="B114" s="538" t="s">
        <v>2602</v>
      </c>
      <c r="C114" s="2966" t="s">
        <v>3698</v>
      </c>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33">C115-$K38</f>
        <v>98</v>
      </c>
      <c r="E115" s="544">
        <f t="shared" si="33"/>
        <v>96</v>
      </c>
      <c r="F115" s="544">
        <f t="shared" si="33"/>
        <v>94</v>
      </c>
      <c r="G115" s="544">
        <f t="shared" si="33"/>
        <v>92</v>
      </c>
      <c r="H115" s="544">
        <f t="shared" si="33"/>
        <v>90</v>
      </c>
      <c r="I115" s="544">
        <f t="shared" si="33"/>
        <v>88</v>
      </c>
      <c r="J115" s="544">
        <f t="shared" si="33"/>
        <v>86</v>
      </c>
      <c r="K115" s="544">
        <f t="shared" si="33"/>
        <v>84</v>
      </c>
      <c r="L115" s="544">
        <f t="shared" si="33"/>
        <v>82</v>
      </c>
      <c r="M115" s="544">
        <f t="shared" si="33"/>
        <v>80</v>
      </c>
      <c r="N115" s="1153"/>
      <c r="O115" s="1153"/>
      <c r="P115" s="2624"/>
      <c r="Q115" s="504"/>
    </row>
    <row r="116" spans="1:17" ht="15" thickTop="1">
      <c r="A116" s="599"/>
      <c r="B116" s="538" t="s">
        <v>2603</v>
      </c>
      <c r="C116" s="554" t="s">
        <v>3705</v>
      </c>
      <c r="D116" s="554" t="s">
        <v>3097</v>
      </c>
      <c r="E116" s="554" t="s">
        <v>3706</v>
      </c>
      <c r="F116" s="554" t="s">
        <v>3707</v>
      </c>
      <c r="G116" s="554" t="s">
        <v>3688</v>
      </c>
      <c r="H116" s="583"/>
      <c r="I116" s="583"/>
      <c r="J116" s="583"/>
      <c r="K116" s="584"/>
      <c r="L116" s="585"/>
      <c r="M116" s="586"/>
      <c r="N116" s="1152"/>
      <c r="O116" s="1152"/>
      <c r="P116" s="2624"/>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4"/>
      <c r="Q117" s="504"/>
    </row>
    <row r="118" spans="1:17" ht="15" thickTop="1">
      <c r="A118" s="599"/>
      <c r="B118" s="538" t="s">
        <v>2604</v>
      </c>
      <c r="C118" s="583"/>
      <c r="D118" s="583"/>
      <c r="E118" s="583"/>
      <c r="F118" s="583"/>
      <c r="G118" s="583"/>
      <c r="H118" s="583"/>
      <c r="I118" s="583"/>
      <c r="J118" s="583"/>
      <c r="K118" s="584"/>
      <c r="L118" s="585"/>
      <c r="M118" s="586"/>
      <c r="N118" s="1152"/>
      <c r="O118" s="1152"/>
      <c r="P118" s="2624"/>
      <c r="Q118" s="504"/>
    </row>
    <row r="119" spans="1:17" ht="15.75" thickBot="1">
      <c r="A119" s="534"/>
      <c r="B119" s="543"/>
      <c r="C119" s="544">
        <v>100</v>
      </c>
      <c r="D119" s="544">
        <f t="shared" ref="D119:M119" si="34">C119-$K40</f>
        <v>100</v>
      </c>
      <c r="E119" s="544">
        <f t="shared" si="34"/>
        <v>100</v>
      </c>
      <c r="F119" s="544">
        <f t="shared" si="34"/>
        <v>100</v>
      </c>
      <c r="G119" s="544">
        <f t="shared" si="34"/>
        <v>100</v>
      </c>
      <c r="H119" s="544">
        <f t="shared" si="34"/>
        <v>100</v>
      </c>
      <c r="I119" s="544">
        <f t="shared" si="34"/>
        <v>100</v>
      </c>
      <c r="J119" s="544">
        <f t="shared" si="34"/>
        <v>100</v>
      </c>
      <c r="K119" s="544">
        <f t="shared" si="34"/>
        <v>100</v>
      </c>
      <c r="L119" s="544">
        <f t="shared" si="34"/>
        <v>100</v>
      </c>
      <c r="M119" s="544">
        <f t="shared" si="34"/>
        <v>100</v>
      </c>
      <c r="N119" s="1153"/>
      <c r="O119" s="1153"/>
      <c r="P119" s="2624"/>
      <c r="Q119" s="504"/>
    </row>
    <row r="120" spans="1:17" s="471" customFormat="1" ht="28.5" thickTop="1">
      <c r="A120" s="593"/>
      <c r="B120" s="538" t="s">
        <v>2559</v>
      </c>
      <c r="C120" s="554"/>
      <c r="D120" s="554"/>
      <c r="E120" s="554"/>
      <c r="F120" s="554"/>
      <c r="G120" s="554"/>
      <c r="H120" s="554"/>
      <c r="I120" s="554"/>
      <c r="J120" s="554"/>
      <c r="K120" s="554"/>
      <c r="L120" s="580"/>
      <c r="M120" s="581"/>
      <c r="N120" s="1154"/>
      <c r="O120" s="1154"/>
      <c r="P120" s="262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5"/>
      <c r="Q121" s="559"/>
    </row>
    <row r="122" spans="1:17" ht="15" thickTop="1">
      <c r="A122" s="599"/>
      <c r="B122" s="538" t="s">
        <v>2605</v>
      </c>
      <c r="C122" s="2967" t="s">
        <v>3700</v>
      </c>
      <c r="D122" s="2967" t="s">
        <v>3701</v>
      </c>
      <c r="E122" s="2967" t="s">
        <v>3702</v>
      </c>
      <c r="F122" s="2966" t="s">
        <v>3704</v>
      </c>
      <c r="G122" s="583"/>
      <c r="H122" s="583"/>
      <c r="I122" s="583"/>
      <c r="J122" s="583"/>
      <c r="K122" s="584"/>
      <c r="L122" s="585"/>
      <c r="M122" s="586"/>
      <c r="N122" s="1152"/>
      <c r="O122" s="1152"/>
      <c r="P122" s="2624"/>
      <c r="Q122" s="504"/>
    </row>
    <row r="123" spans="1:17" ht="15.75" thickBot="1">
      <c r="A123" s="534"/>
      <c r="B123" s="543"/>
      <c r="C123" s="544">
        <v>100</v>
      </c>
      <c r="D123" s="544">
        <f t="shared" ref="D123:M123" si="35">C123-$K42</f>
        <v>98</v>
      </c>
      <c r="E123" s="544">
        <f t="shared" si="35"/>
        <v>96</v>
      </c>
      <c r="F123" s="544">
        <f t="shared" si="35"/>
        <v>94</v>
      </c>
      <c r="G123" s="544">
        <f t="shared" si="35"/>
        <v>92</v>
      </c>
      <c r="H123" s="544">
        <f t="shared" si="35"/>
        <v>90</v>
      </c>
      <c r="I123" s="544">
        <f t="shared" si="35"/>
        <v>88</v>
      </c>
      <c r="J123" s="544">
        <f t="shared" si="35"/>
        <v>86</v>
      </c>
      <c r="K123" s="544">
        <f t="shared" si="35"/>
        <v>84</v>
      </c>
      <c r="L123" s="544">
        <f t="shared" si="35"/>
        <v>82</v>
      </c>
      <c r="M123" s="544">
        <f t="shared" si="35"/>
        <v>80</v>
      </c>
      <c r="N123" s="1153"/>
      <c r="O123" s="1153"/>
      <c r="P123" s="2624"/>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60"/>
      <c r="E129" s="560"/>
      <c r="F129" s="560"/>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row r="136" spans="1:17" ht="15" thickBot="1">
      <c r="B136" s="2631" t="s">
        <v>2607</v>
      </c>
    </row>
    <row r="137" spans="1:17" ht="15">
      <c r="B137" s="2632" t="s">
        <v>2608</v>
      </c>
      <c r="C137" s="2633"/>
      <c r="D137" s="2633"/>
      <c r="E137" s="2633"/>
      <c r="F137" s="2633"/>
      <c r="G137" s="2634"/>
      <c r="H137" s="2635"/>
      <c r="I137" s="2636" t="s">
        <v>2609</v>
      </c>
      <c r="J137" s="2633"/>
      <c r="K137" s="2637"/>
    </row>
    <row r="138" spans="1:17" ht="15">
      <c r="B138" s="2638"/>
      <c r="C138" s="146" t="s">
        <v>2610</v>
      </c>
      <c r="D138" s="146" t="s">
        <v>2611</v>
      </c>
      <c r="E138" s="2639" t="s">
        <v>2612</v>
      </c>
      <c r="F138" s="2640" t="s">
        <v>2613</v>
      </c>
      <c r="G138" s="146" t="s">
        <v>2611</v>
      </c>
      <c r="H138" s="147" t="s">
        <v>2612</v>
      </c>
      <c r="I138" s="2641"/>
      <c r="J138" s="146" t="s">
        <v>2614</v>
      </c>
      <c r="K138" s="147" t="s">
        <v>2615</v>
      </c>
    </row>
    <row r="139" spans="1:17" ht="15">
      <c r="B139" s="1084">
        <v>6</v>
      </c>
      <c r="C139" s="1085">
        <v>96</v>
      </c>
      <c r="D139" s="2642" t="s">
        <v>2616</v>
      </c>
      <c r="E139" s="1086">
        <v>100</v>
      </c>
      <c r="F139" s="1087">
        <v>102.5</v>
      </c>
      <c r="G139" s="2642" t="s">
        <v>2616</v>
      </c>
      <c r="H139" s="1088">
        <v>105</v>
      </c>
      <c r="I139" s="2643" t="s">
        <v>2617</v>
      </c>
      <c r="J139" s="1085">
        <v>20</v>
      </c>
      <c r="K139" s="1089">
        <f>C145/(J139-2)</f>
        <v>4.0555555555555553E-3</v>
      </c>
    </row>
    <row r="140" spans="1:17" ht="15">
      <c r="B140" s="1090">
        <v>5</v>
      </c>
      <c r="C140" s="1091">
        <v>100</v>
      </c>
      <c r="D140" s="1091"/>
      <c r="E140" s="1092"/>
      <c r="F140" s="1093">
        <v>102</v>
      </c>
      <c r="G140" s="1091"/>
      <c r="H140" s="1094"/>
      <c r="I140" s="2644" t="s">
        <v>2618</v>
      </c>
      <c r="J140" s="315">
        <f>ROUNDUP((J139-1)/2,0)</f>
        <v>10</v>
      </c>
      <c r="K140" s="1095">
        <v>100</v>
      </c>
    </row>
    <row r="141" spans="1:17" ht="15">
      <c r="B141" s="1090">
        <v>4</v>
      </c>
      <c r="C141" s="1091">
        <v>102</v>
      </c>
      <c r="D141" s="1091"/>
      <c r="E141" s="1092"/>
      <c r="F141" s="1093">
        <v>101.5</v>
      </c>
      <c r="G141" s="1091"/>
      <c r="H141" s="1094"/>
      <c r="I141" s="2644" t="s">
        <v>2619</v>
      </c>
      <c r="J141" s="315">
        <v>1</v>
      </c>
      <c r="K141" s="1096">
        <f>ROUND(100+(J141-J140)*K139*100,1)</f>
        <v>96.4</v>
      </c>
    </row>
    <row r="142" spans="1:17" ht="15">
      <c r="B142" s="1090">
        <v>3</v>
      </c>
      <c r="C142" s="1091">
        <v>103</v>
      </c>
      <c r="D142" s="1091"/>
      <c r="E142" s="1092"/>
      <c r="F142" s="1093">
        <v>101</v>
      </c>
      <c r="G142" s="1091"/>
      <c r="H142" s="1094"/>
      <c r="I142" s="2644" t="s">
        <v>2620</v>
      </c>
      <c r="J142" s="315">
        <f>J139</f>
        <v>20</v>
      </c>
      <c r="K142" s="1097">
        <v>95</v>
      </c>
    </row>
    <row r="143" spans="1:17" ht="15">
      <c r="B143" s="1090">
        <v>2</v>
      </c>
      <c r="C143" s="1091">
        <v>100</v>
      </c>
      <c r="D143" s="1091"/>
      <c r="E143" s="1092"/>
      <c r="F143" s="1093">
        <v>100.5</v>
      </c>
      <c r="G143" s="1091"/>
      <c r="H143" s="1094"/>
      <c r="I143" s="2644" t="s">
        <v>2621</v>
      </c>
      <c r="J143" s="1091">
        <v>15</v>
      </c>
      <c r="K143" s="1096">
        <f>ROUND(100+(J143-J140)*K139*100,1)</f>
        <v>102</v>
      </c>
    </row>
    <row r="144" spans="1:17" ht="15">
      <c r="B144" s="1090">
        <v>1</v>
      </c>
      <c r="C144" s="1091">
        <v>98</v>
      </c>
      <c r="D144" s="2645" t="s">
        <v>2622</v>
      </c>
      <c r="E144" s="1092">
        <v>102</v>
      </c>
      <c r="F144" s="1098">
        <v>100</v>
      </c>
      <c r="G144" s="2645" t="s">
        <v>2622</v>
      </c>
      <c r="H144" s="1094">
        <v>105</v>
      </c>
      <c r="I144" s="2644" t="s">
        <v>2621</v>
      </c>
      <c r="J144" s="1091">
        <v>18</v>
      </c>
      <c r="K144" s="1096">
        <f>ROUND(100+(J144-J140)*K139*100,1)</f>
        <v>103.2</v>
      </c>
    </row>
    <row r="145" spans="2:11" ht="15.75" thickBot="1">
      <c r="B145" s="2646" t="s">
        <v>2623</v>
      </c>
      <c r="C145" s="1099">
        <f>ROUND(MAX(C139:C144)/MIN(C139:C144)-1,3)</f>
        <v>7.2999999999999995E-2</v>
      </c>
      <c r="D145" s="1100"/>
      <c r="E145" s="1100"/>
      <c r="F145" s="2647" t="s">
        <v>2624</v>
      </c>
      <c r="G145" s="2648"/>
      <c r="H145" s="2649"/>
      <c r="I145" s="2650" t="s">
        <v>2621</v>
      </c>
      <c r="J145" s="1101">
        <v>8</v>
      </c>
      <c r="K145" s="1102">
        <f>ROUND(100+(J145-J140)*K139*100,1)</f>
        <v>99.2</v>
      </c>
    </row>
    <row r="147" spans="2:11">
      <c r="B147" s="2631" t="s">
        <v>2625</v>
      </c>
    </row>
    <row r="148" spans="2:11">
      <c r="B148" s="2631" t="s">
        <v>2626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9" sqref="F1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2513</v>
      </c>
      <c r="B1" s="2578" t="s">
        <v>2627</v>
      </c>
      <c r="C1" s="1633" t="s">
        <v>2515</v>
      </c>
      <c r="D1" s="1620"/>
      <c r="E1" s="2651"/>
      <c r="F1" s="2580"/>
      <c r="G1" s="1630" t="s">
        <v>2628</v>
      </c>
      <c r="H1" s="1629"/>
      <c r="I1" s="1629"/>
      <c r="J1" s="1629"/>
      <c r="K1" s="1631"/>
      <c r="L1" s="1632"/>
      <c r="M1" s="1633"/>
      <c r="N1" s="1633"/>
      <c r="O1" s="1633"/>
      <c r="P1" s="2652"/>
      <c r="Q1" s="2653"/>
      <c r="R1" s="2653"/>
      <c r="S1" s="2653"/>
      <c r="T1" s="2653"/>
      <c r="U1" s="2653"/>
      <c r="V1" s="2653"/>
      <c r="W1" s="2653"/>
      <c r="X1" s="2653"/>
      <c r="Y1" s="2653"/>
      <c r="Z1" s="2653"/>
      <c r="AA1" s="2653"/>
      <c r="AB1" s="2653"/>
      <c r="AC1" s="2654"/>
    </row>
    <row r="2" spans="1:29" s="398" customFormat="1" ht="28.5" customHeight="1" thickTop="1">
      <c r="A2" s="1616" t="s">
        <v>2315</v>
      </c>
      <c r="B2" s="1418" t="e">
        <f ca="1">IF(C2="——",ROUND(C49*D3/10000,0),ROUND(C49*D3/10000,0)-D2)</f>
        <v>#DIV/0!</v>
      </c>
      <c r="C2" s="2582"/>
      <c r="D2" s="1365" t="e">
        <f ca="1">SUMIF(INDIRECT("'"&amp;F2&amp;"'"&amp;"!A:A"),"承租人权益价值",INDIRECT("'"&amp;F2&amp;"'"&amp;"!c:c"))</f>
        <v>#REF!</v>
      </c>
      <c r="E2" s="2583" t="s">
        <v>2316</v>
      </c>
      <c r="F2" s="2584"/>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8" customFormat="1" ht="28.5" customHeight="1" thickBot="1">
      <c r="A3" s="247" t="s">
        <v>2317</v>
      </c>
      <c r="B3" s="609" t="e">
        <f ca="1">IF(C2="——",C49,ROUND(B2*10000/D3,0))</f>
        <v>#DIV/0!</v>
      </c>
      <c r="C3" s="400" t="s">
        <v>2629</v>
      </c>
      <c r="D3" s="399">
        <f>IF(D1="",'数据-汇总表'!E3,SUMIF('数据-汇总表'!$C19:$C33,D1,'数据-汇总表'!$E19:$E33))</f>
        <v>53306.400000000001</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5">
      <c r="A4" s="401" t="s">
        <v>2630</v>
      </c>
      <c r="B4" s="402"/>
      <c r="C4" s="3182" t="s">
        <v>2631</v>
      </c>
      <c r="D4" s="3183"/>
      <c r="E4" s="3184" t="s">
        <v>2632</v>
      </c>
      <c r="F4" s="3185"/>
      <c r="G4" s="3182" t="s">
        <v>2633</v>
      </c>
      <c r="H4" s="3183"/>
      <c r="I4" s="3182" t="s">
        <v>2634</v>
      </c>
      <c r="J4" s="3183"/>
      <c r="K4" s="610" t="s">
        <v>2635</v>
      </c>
      <c r="L4" s="1130"/>
      <c r="M4" s="1131"/>
      <c r="N4" s="1131"/>
      <c r="O4" s="1131"/>
      <c r="P4" s="3186" t="s">
        <v>2636</v>
      </c>
      <c r="Q4" s="3187"/>
      <c r="R4" s="3169" t="s">
        <v>2632</v>
      </c>
      <c r="S4" s="3170"/>
      <c r="T4" s="3169" t="s">
        <v>2633</v>
      </c>
      <c r="U4" s="3170"/>
      <c r="V4" s="3194" t="s">
        <v>2634</v>
      </c>
      <c r="W4" s="3194"/>
      <c r="X4" s="1812"/>
      <c r="Y4" s="3169" t="s">
        <v>2636</v>
      </c>
      <c r="Z4" s="3170"/>
      <c r="AA4" s="3164" t="s">
        <v>2632</v>
      </c>
      <c r="AB4" s="3194" t="s">
        <v>2633</v>
      </c>
      <c r="AC4" s="3164" t="s">
        <v>2634</v>
      </c>
    </row>
    <row r="5" spans="1:29" ht="15">
      <c r="A5" s="404"/>
      <c r="B5" s="405"/>
      <c r="C5" s="3175" t="s">
        <v>2527</v>
      </c>
      <c r="D5" s="3176"/>
      <c r="E5" s="3173" t="s">
        <v>2528</v>
      </c>
      <c r="F5" s="3174"/>
      <c r="G5" s="3175" t="s">
        <v>2529</v>
      </c>
      <c r="H5" s="3176"/>
      <c r="I5" s="3175" t="s">
        <v>2530</v>
      </c>
      <c r="J5" s="3176"/>
      <c r="K5" s="610"/>
      <c r="L5" s="1130"/>
      <c r="M5" s="1131"/>
      <c r="N5" s="1131"/>
      <c r="O5" s="1131"/>
      <c r="P5" s="3188"/>
      <c r="Q5" s="3189"/>
      <c r="R5" s="3171"/>
      <c r="S5" s="3172"/>
      <c r="T5" s="3171"/>
      <c r="U5" s="3172"/>
      <c r="V5" s="3194"/>
      <c r="W5" s="3194"/>
      <c r="X5" s="1812"/>
      <c r="Y5" s="3171"/>
      <c r="Z5" s="3172"/>
      <c r="AA5" s="3165"/>
      <c r="AB5" s="3194"/>
      <c r="AC5" s="3165"/>
    </row>
    <row r="6" spans="1:29" ht="15.75" thickBot="1">
      <c r="A6" s="406"/>
      <c r="B6" s="407"/>
      <c r="C6" s="3177" t="s">
        <v>2531</v>
      </c>
      <c r="D6" s="3178"/>
      <c r="E6" s="3179" t="s">
        <v>2531</v>
      </c>
      <c r="F6" s="3180"/>
      <c r="G6" s="3177" t="s">
        <v>2531</v>
      </c>
      <c r="H6" s="3178"/>
      <c r="I6" s="3177" t="s">
        <v>2531</v>
      </c>
      <c r="J6" s="3178"/>
      <c r="K6" s="610" t="s">
        <v>2532</v>
      </c>
      <c r="L6" s="1130"/>
      <c r="M6" s="1131"/>
      <c r="N6" s="1131"/>
      <c r="O6" s="1131"/>
      <c r="P6" s="3190"/>
      <c r="Q6" s="3191"/>
      <c r="R6" s="3171"/>
      <c r="S6" s="3172"/>
      <c r="T6" s="3192"/>
      <c r="U6" s="3193"/>
      <c r="V6" s="3194"/>
      <c r="W6" s="3194"/>
      <c r="X6" s="1812"/>
      <c r="Y6" s="3192"/>
      <c r="Z6" s="3193"/>
      <c r="AA6" s="3166"/>
      <c r="AB6" s="3194"/>
      <c r="AC6" s="3166"/>
    </row>
    <row r="7" spans="1:29" s="117" customFormat="1" ht="15.75" thickBot="1">
      <c r="A7" s="408" t="s">
        <v>2533</v>
      </c>
      <c r="B7" s="409"/>
      <c r="C7" s="410">
        <f>'数据-取费表'!B2</f>
        <v>44018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67" t="s">
        <v>2534</v>
      </c>
      <c r="Q7" s="3195"/>
      <c r="R7" s="770" t="s">
        <v>17</v>
      </c>
      <c r="S7" s="771">
        <f t="shared" ref="S7:S15" si="0">F7</f>
        <v>0</v>
      </c>
      <c r="T7" s="770" t="s">
        <v>17</v>
      </c>
      <c r="U7" s="771">
        <f t="shared" ref="U7:U15" si="1">H7</f>
        <v>0</v>
      </c>
      <c r="V7" s="770" t="s">
        <v>17</v>
      </c>
      <c r="W7" s="771">
        <f t="shared" ref="W7:W15" si="2">J7</f>
        <v>0</v>
      </c>
      <c r="X7" s="772"/>
      <c r="Y7" s="3167" t="s">
        <v>2534</v>
      </c>
      <c r="Z7" s="3168"/>
      <c r="AA7" s="773" t="e">
        <f>D7/F7</f>
        <v>#DIV/0!</v>
      </c>
      <c r="AB7" s="773" t="e">
        <f>D7/H7</f>
        <v>#DIV/0!</v>
      </c>
      <c r="AC7" s="773" t="e">
        <f>D7/J7</f>
        <v>#DIV/0!</v>
      </c>
    </row>
    <row r="8" spans="1:29" s="117" customFormat="1" ht="15.75" thickBot="1">
      <c r="A8" s="408" t="s">
        <v>2535</v>
      </c>
      <c r="B8" s="409"/>
      <c r="C8" s="414" t="s">
        <v>2637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67" t="s">
        <v>2537</v>
      </c>
      <c r="Q8" s="3168"/>
      <c r="R8" s="770" t="s">
        <v>17</v>
      </c>
      <c r="S8" s="771">
        <f t="shared" si="0"/>
        <v>0</v>
      </c>
      <c r="T8" s="770" t="s">
        <v>17</v>
      </c>
      <c r="U8" s="771">
        <f t="shared" si="1"/>
        <v>0</v>
      </c>
      <c r="V8" s="770" t="s">
        <v>17</v>
      </c>
      <c r="W8" s="771">
        <f t="shared" si="2"/>
        <v>0</v>
      </c>
      <c r="X8" s="772"/>
      <c r="Y8" s="3167" t="s">
        <v>2537</v>
      </c>
      <c r="Z8" s="3168"/>
      <c r="AA8" s="773" t="e">
        <f t="shared" ref="AA8:AA46" si="3">D8/F8</f>
        <v>#DIV/0!</v>
      </c>
      <c r="AB8" s="773" t="e">
        <f t="shared" ref="AB8:AB46" si="4">D8/H8</f>
        <v>#DIV/0!</v>
      </c>
      <c r="AC8" s="773" t="e">
        <f t="shared" ref="AC8:AC46" si="5">D8/J8</f>
        <v>#DIV/0!</v>
      </c>
    </row>
    <row r="9" spans="1:29" s="117" customFormat="1">
      <c r="A9" s="415" t="s">
        <v>2538</v>
      </c>
      <c r="B9" s="71" t="s">
        <v>2539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5" t="s">
        <v>2540</v>
      </c>
      <c r="Q9" s="1794" t="str">
        <f t="shared" ref="Q9:Q15" si="6">B9</f>
        <v>用途</v>
      </c>
      <c r="R9" s="770" t="s">
        <v>17</v>
      </c>
      <c r="S9" s="771">
        <f t="shared" si="0"/>
        <v>100</v>
      </c>
      <c r="T9" s="770" t="s">
        <v>17</v>
      </c>
      <c r="U9" s="771">
        <f t="shared" si="1"/>
        <v>100</v>
      </c>
      <c r="V9" s="770" t="s">
        <v>17</v>
      </c>
      <c r="W9" s="771">
        <f t="shared" si="2"/>
        <v>100</v>
      </c>
      <c r="X9" s="772"/>
      <c r="Y9" s="3044"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5"/>
      <c r="Q10" s="1794"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5"/>
      <c r="Q11" s="1794"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5"/>
      <c r="Q12" s="1794">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5"/>
      <c r="Q13" s="1794">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5"/>
      <c r="Q14" s="1794">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15">
      <c r="A15" s="440" t="s">
        <v>2544</v>
      </c>
      <c r="B15" s="69" t="s">
        <v>2638</v>
      </c>
      <c r="C15" s="2599"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5" t="s">
        <v>2545</v>
      </c>
      <c r="Q15" s="1809" t="str">
        <f t="shared" si="6"/>
        <v>商业繁华度</v>
      </c>
      <c r="R15" s="774" t="s">
        <v>17</v>
      </c>
      <c r="S15" s="775">
        <f t="shared" si="0"/>
        <v>100</v>
      </c>
      <c r="T15" s="774" t="s">
        <v>17</v>
      </c>
      <c r="U15" s="775">
        <f t="shared" si="1"/>
        <v>100</v>
      </c>
      <c r="V15" s="774" t="s">
        <v>17</v>
      </c>
      <c r="W15" s="775">
        <f t="shared" si="2"/>
        <v>100</v>
      </c>
      <c r="X15" s="1812"/>
      <c r="Y15" s="3196" t="s">
        <v>2545</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46"/>
      <c r="Q16" s="1809"/>
      <c r="R16" s="774"/>
      <c r="S16" s="775"/>
      <c r="T16" s="774"/>
      <c r="U16" s="775"/>
      <c r="V16" s="774"/>
      <c r="W16" s="775"/>
      <c r="X16" s="1812"/>
      <c r="Y16" s="3197"/>
      <c r="Z16" s="1813"/>
      <c r="AA16" s="1810">
        <v>1</v>
      </c>
      <c r="AB16" s="1810">
        <v>1</v>
      </c>
      <c r="AC16" s="1810">
        <v>1</v>
      </c>
    </row>
    <row r="17" spans="1:29" ht="15">
      <c r="A17" s="428"/>
      <c r="B17" s="451" t="s">
        <v>2085</v>
      </c>
      <c r="C17" s="2603"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6"/>
      <c r="Q17" s="1809" t="str">
        <f>B17</f>
        <v>交通便捷度</v>
      </c>
      <c r="R17" s="774" t="s">
        <v>17</v>
      </c>
      <c r="S17" s="775">
        <f>F17</f>
        <v>100</v>
      </c>
      <c r="T17" s="774" t="s">
        <v>17</v>
      </c>
      <c r="U17" s="775">
        <f>H17</f>
        <v>100</v>
      </c>
      <c r="V17" s="774" t="s">
        <v>17</v>
      </c>
      <c r="W17" s="775">
        <f>J17</f>
        <v>100</v>
      </c>
      <c r="X17" s="1812"/>
      <c r="Y17" s="3197"/>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40"/>
      <c r="M18" s="1131"/>
      <c r="N18" s="1131"/>
      <c r="O18" s="1131"/>
      <c r="P18" s="3246"/>
      <c r="Q18" s="1809"/>
      <c r="R18" s="774"/>
      <c r="S18" s="775"/>
      <c r="T18" s="774"/>
      <c r="U18" s="775"/>
      <c r="V18" s="774"/>
      <c r="W18" s="775"/>
      <c r="X18" s="1812"/>
      <c r="Y18" s="3197"/>
      <c r="Z18" s="1813"/>
      <c r="AA18" s="1810">
        <v>1</v>
      </c>
      <c r="AB18" s="1810">
        <v>1</v>
      </c>
      <c r="AC18" s="1810">
        <v>1</v>
      </c>
    </row>
    <row r="19" spans="1:29" ht="15">
      <c r="A19" s="428"/>
      <c r="B19" s="451" t="s">
        <v>2639</v>
      </c>
      <c r="C19" s="2603"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6"/>
      <c r="Q19" s="1809" t="str">
        <f>B19</f>
        <v>公共配套设施</v>
      </c>
      <c r="R19" s="774" t="s">
        <v>17</v>
      </c>
      <c r="S19" s="775">
        <f>F19</f>
        <v>100</v>
      </c>
      <c r="T19" s="774" t="s">
        <v>17</v>
      </c>
      <c r="U19" s="775">
        <f>H19</f>
        <v>100</v>
      </c>
      <c r="V19" s="774" t="s">
        <v>17</v>
      </c>
      <c r="W19" s="775">
        <f>J19</f>
        <v>100</v>
      </c>
      <c r="X19" s="1812"/>
      <c r="Y19" s="3197"/>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40"/>
      <c r="M20" s="1131"/>
      <c r="N20" s="1131"/>
      <c r="O20" s="1131"/>
      <c r="P20" s="3246"/>
      <c r="Q20" s="1809"/>
      <c r="R20" s="774"/>
      <c r="S20" s="775"/>
      <c r="T20" s="774"/>
      <c r="U20" s="775"/>
      <c r="V20" s="774"/>
      <c r="W20" s="775"/>
      <c r="X20" s="1812"/>
      <c r="Y20" s="3197"/>
      <c r="Z20" s="1813"/>
      <c r="AA20" s="1810">
        <v>1</v>
      </c>
      <c r="AB20" s="1810">
        <v>1</v>
      </c>
      <c r="AC20" s="1810">
        <v>1</v>
      </c>
    </row>
    <row r="21" spans="1:29" ht="15">
      <c r="A21" s="428"/>
      <c r="B21" s="1384" t="s">
        <v>2640</v>
      </c>
      <c r="C21" s="2603"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6"/>
      <c r="Q21" s="1809" t="str">
        <f>B21</f>
        <v>基础设施水平</v>
      </c>
      <c r="R21" s="774" t="s">
        <v>17</v>
      </c>
      <c r="S21" s="775">
        <f>F21</f>
        <v>100</v>
      </c>
      <c r="T21" s="774" t="s">
        <v>17</v>
      </c>
      <c r="U21" s="775">
        <f>H21</f>
        <v>100</v>
      </c>
      <c r="V21" s="774" t="s">
        <v>17</v>
      </c>
      <c r="W21" s="775">
        <f>J21</f>
        <v>100</v>
      </c>
      <c r="X21" s="1812"/>
      <c r="Y21" s="3197"/>
      <c r="Z21" s="1813" t="str">
        <f>Q21</f>
        <v>基础设施水平</v>
      </c>
      <c r="AA21" s="1810">
        <f t="shared" ref="AA21" si="8">D21/F21</f>
        <v>1</v>
      </c>
      <c r="AB21" s="1810">
        <f t="shared" ref="AB21" si="9">D21/H21</f>
        <v>1</v>
      </c>
      <c r="AC21" s="1810">
        <f t="shared" ref="AC21" si="10">D21/J21</f>
        <v>1</v>
      </c>
    </row>
    <row r="22" spans="1:29" ht="15">
      <c r="A22" s="428"/>
      <c r="B22" s="1384"/>
      <c r="C22" s="2604"/>
      <c r="D22" s="448"/>
      <c r="E22" s="447"/>
      <c r="F22" s="449"/>
      <c r="G22" s="447"/>
      <c r="H22" s="448"/>
      <c r="I22" s="447"/>
      <c r="J22" s="448"/>
      <c r="K22" s="1383"/>
      <c r="L22" s="1140"/>
      <c r="M22" s="1131"/>
      <c r="N22" s="1131"/>
      <c r="O22" s="1131"/>
      <c r="P22" s="3246"/>
      <c r="Q22" s="1809"/>
      <c r="R22" s="774"/>
      <c r="S22" s="775"/>
      <c r="T22" s="774"/>
      <c r="U22" s="775"/>
      <c r="V22" s="774"/>
      <c r="W22" s="775"/>
      <c r="X22" s="1812"/>
      <c r="Y22" s="3197"/>
      <c r="Z22" s="1813"/>
      <c r="AA22" s="1810">
        <v>1</v>
      </c>
      <c r="AB22" s="1810">
        <v>1</v>
      </c>
      <c r="AC22" s="1810">
        <v>1</v>
      </c>
    </row>
    <row r="23" spans="1:29" ht="15">
      <c r="A23" s="428"/>
      <c r="B23" s="451" t="s">
        <v>2090</v>
      </c>
      <c r="C23" s="2658"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6"/>
      <c r="Q23" s="1809" t="str">
        <f>B23</f>
        <v>自然及人文环境</v>
      </c>
      <c r="R23" s="774" t="s">
        <v>17</v>
      </c>
      <c r="S23" s="775">
        <f>F23</f>
        <v>100</v>
      </c>
      <c r="T23" s="774" t="s">
        <v>17</v>
      </c>
      <c r="U23" s="775">
        <f>H23</f>
        <v>100</v>
      </c>
      <c r="V23" s="774" t="s">
        <v>17</v>
      </c>
      <c r="W23" s="775">
        <f>J23</f>
        <v>100</v>
      </c>
      <c r="X23" s="1812"/>
      <c r="Y23" s="3197"/>
      <c r="Z23" s="1813" t="str">
        <f>Q23</f>
        <v>自然及人文环境</v>
      </c>
      <c r="AA23" s="1810">
        <f t="shared" si="3"/>
        <v>1</v>
      </c>
      <c r="AB23" s="1810">
        <f t="shared" si="4"/>
        <v>1</v>
      </c>
      <c r="AC23" s="1810">
        <f t="shared" si="5"/>
        <v>1</v>
      </c>
    </row>
    <row r="24" spans="1:29" ht="15">
      <c r="A24" s="428"/>
      <c r="B24" s="456"/>
      <c r="C24" s="447"/>
      <c r="D24" s="448"/>
      <c r="E24" s="2601"/>
      <c r="F24" s="449"/>
      <c r="G24" s="2600"/>
      <c r="H24" s="448"/>
      <c r="I24" s="2601"/>
      <c r="J24" s="448"/>
      <c r="K24" s="615"/>
      <c r="L24" s="1140"/>
      <c r="M24" s="1131"/>
      <c r="N24" s="1131"/>
      <c r="O24" s="1131"/>
      <c r="P24" s="3246"/>
      <c r="Q24" s="1809"/>
      <c r="R24" s="774"/>
      <c r="S24" s="775"/>
      <c r="T24" s="774"/>
      <c r="U24" s="775"/>
      <c r="V24" s="774"/>
      <c r="W24" s="775"/>
      <c r="X24" s="1812"/>
      <c r="Y24" s="3197"/>
      <c r="Z24" s="1813"/>
      <c r="AA24" s="1810">
        <v>1</v>
      </c>
      <c r="AB24" s="1810">
        <v>1</v>
      </c>
      <c r="AC24" s="1810">
        <v>1</v>
      </c>
    </row>
    <row r="25" spans="1:29" ht="15">
      <c r="A25" s="428"/>
      <c r="B25" s="422" t="s">
        <v>2641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6"/>
      <c r="Q25" s="1809" t="str">
        <f t="shared" ref="Q25:Q46" si="11">B25</f>
        <v>临街状况</v>
      </c>
      <c r="R25" s="774" t="s">
        <v>17</v>
      </c>
      <c r="S25" s="775">
        <f>F25</f>
        <v>100</v>
      </c>
      <c r="T25" s="774" t="s">
        <v>17</v>
      </c>
      <c r="U25" s="775">
        <f>H25</f>
        <v>100</v>
      </c>
      <c r="V25" s="774" t="s">
        <v>17</v>
      </c>
      <c r="W25" s="775">
        <f>J25</f>
        <v>100</v>
      </c>
      <c r="X25" s="1812"/>
      <c r="Y25" s="3197"/>
      <c r="Z25" s="1813" t="str">
        <f>Q25</f>
        <v>临街状况</v>
      </c>
      <c r="AA25" s="1810">
        <f t="shared" si="3"/>
        <v>1</v>
      </c>
      <c r="AB25" s="1810">
        <f t="shared" si="4"/>
        <v>1</v>
      </c>
      <c r="AC25" s="1810">
        <f t="shared" si="5"/>
        <v>1</v>
      </c>
    </row>
    <row r="26" spans="1:29" ht="15">
      <c r="A26" s="428"/>
      <c r="B26" s="1386" t="s">
        <v>2642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6"/>
      <c r="Q26" s="1809" t="str">
        <f t="shared" si="11"/>
        <v>平面位置/可视性</v>
      </c>
      <c r="R26" s="774" t="s">
        <v>17</v>
      </c>
      <c r="S26" s="775">
        <f>F26</f>
        <v>100</v>
      </c>
      <c r="T26" s="774" t="s">
        <v>17</v>
      </c>
      <c r="U26" s="775">
        <f>H26</f>
        <v>100</v>
      </c>
      <c r="V26" s="774" t="s">
        <v>17</v>
      </c>
      <c r="W26" s="775">
        <f>J26</f>
        <v>100</v>
      </c>
      <c r="X26" s="1812"/>
      <c r="Y26" s="3197"/>
      <c r="Z26" s="1813" t="str">
        <f>Q26</f>
        <v>平面位置/可视性</v>
      </c>
      <c r="AA26" s="1810">
        <f t="shared" si="3"/>
        <v>1</v>
      </c>
      <c r="AB26" s="1810">
        <f t="shared" si="4"/>
        <v>1</v>
      </c>
      <c r="AC26" s="1810">
        <f t="shared" si="5"/>
        <v>1</v>
      </c>
    </row>
    <row r="27" spans="1:29" s="117" customFormat="1" ht="15">
      <c r="A27" s="431"/>
      <c r="B27" s="451" t="s">
        <v>2643</v>
      </c>
      <c r="C27" s="2659"/>
      <c r="D27" s="462">
        <v>100</v>
      </c>
      <c r="E27" s="2659"/>
      <c r="F27" s="464">
        <f>SUMIF(90:90,E27,91:91)-SUMIF(90:90,C27,91:91)+100</f>
        <v>100</v>
      </c>
      <c r="G27" s="2659"/>
      <c r="H27" s="462">
        <f>SUMIF(90:90,G27,91:91)-SUMIF(90:90,C27,91:91)+100</f>
        <v>100</v>
      </c>
      <c r="I27" s="2659"/>
      <c r="J27" s="462">
        <f>SUMIF(90:90,I27,91:91)-SUMIF(90:90,C27,91:91)+100</f>
        <v>100</v>
      </c>
      <c r="K27" s="612"/>
      <c r="L27" s="1132"/>
      <c r="M27" s="1133"/>
      <c r="N27" s="1133"/>
      <c r="O27" s="1133"/>
      <c r="P27" s="3246"/>
      <c r="Q27" s="1794" t="str">
        <f t="shared" si="11"/>
        <v>人流量</v>
      </c>
      <c r="R27" s="770" t="s">
        <v>17</v>
      </c>
      <c r="S27" s="771">
        <f>F27</f>
        <v>100</v>
      </c>
      <c r="T27" s="770" t="s">
        <v>17</v>
      </c>
      <c r="U27" s="771">
        <f>H27</f>
        <v>100</v>
      </c>
      <c r="V27" s="770" t="s">
        <v>17</v>
      </c>
      <c r="W27" s="771">
        <f>J27</f>
        <v>100</v>
      </c>
      <c r="X27" s="772"/>
      <c r="Y27" s="3197"/>
      <c r="Z27" s="55" t="str">
        <f>Q27</f>
        <v>人流量</v>
      </c>
      <c r="AA27" s="1810">
        <f>D27/F27</f>
        <v>1</v>
      </c>
      <c r="AB27" s="1810">
        <f>D27/H27</f>
        <v>1</v>
      </c>
      <c r="AC27" s="1810">
        <f>D27/J27</f>
        <v>1</v>
      </c>
    </row>
    <row r="28" spans="1:29" ht="15">
      <c r="A28" s="428"/>
      <c r="B28" s="422" t="s">
        <v>2644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6"/>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97"/>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6"/>
      <c r="Q29" s="1809">
        <f t="shared" si="11"/>
        <v>111</v>
      </c>
      <c r="R29" s="774" t="s">
        <v>17</v>
      </c>
      <c r="S29" s="775">
        <f t="shared" si="12"/>
        <v>100</v>
      </c>
      <c r="T29" s="774" t="s">
        <v>17</v>
      </c>
      <c r="U29" s="775">
        <f t="shared" si="13"/>
        <v>100</v>
      </c>
      <c r="V29" s="774" t="s">
        <v>17</v>
      </c>
      <c r="W29" s="775">
        <f t="shared" si="14"/>
        <v>100</v>
      </c>
      <c r="X29" s="1812"/>
      <c r="Y29" s="3197"/>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6"/>
      <c r="Q30" s="1809">
        <f t="shared" si="11"/>
        <v>111</v>
      </c>
      <c r="R30" s="774" t="s">
        <v>17</v>
      </c>
      <c r="S30" s="775">
        <f t="shared" si="12"/>
        <v>100</v>
      </c>
      <c r="T30" s="774" t="s">
        <v>17</v>
      </c>
      <c r="U30" s="775">
        <f t="shared" si="13"/>
        <v>100</v>
      </c>
      <c r="V30" s="774" t="s">
        <v>17</v>
      </c>
      <c r="W30" s="775">
        <f t="shared" si="14"/>
        <v>100</v>
      </c>
      <c r="X30" s="1812"/>
      <c r="Y30" s="3197"/>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6"/>
      <c r="Q31" s="1809">
        <f t="shared" si="11"/>
        <v>111</v>
      </c>
      <c r="R31" s="774" t="s">
        <v>17</v>
      </c>
      <c r="S31" s="775">
        <f t="shared" si="12"/>
        <v>100</v>
      </c>
      <c r="T31" s="774" t="s">
        <v>17</v>
      </c>
      <c r="U31" s="775">
        <f t="shared" si="13"/>
        <v>100</v>
      </c>
      <c r="V31" s="774" t="s">
        <v>17</v>
      </c>
      <c r="W31" s="775">
        <f t="shared" si="14"/>
        <v>100</v>
      </c>
      <c r="X31" s="1812"/>
      <c r="Y31" s="3197"/>
      <c r="Z31" s="1813">
        <f t="shared" si="15"/>
        <v>111</v>
      </c>
      <c r="AA31" s="1810">
        <f t="shared" si="3"/>
        <v>1</v>
      </c>
      <c r="AB31" s="1810">
        <f t="shared" si="4"/>
        <v>1</v>
      </c>
      <c r="AC31" s="1810">
        <f t="shared" si="5"/>
        <v>1</v>
      </c>
    </row>
    <row r="32" spans="1:29" ht="15">
      <c r="A32" s="440" t="s">
        <v>2548</v>
      </c>
      <c r="B32" s="71" t="s">
        <v>2645</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0"/>
      <c r="M32" s="1131"/>
      <c r="N32" s="1131"/>
      <c r="O32" s="1131"/>
      <c r="P32" s="3241" t="s">
        <v>2550</v>
      </c>
      <c r="Q32" s="1809" t="str">
        <f t="shared" si="11"/>
        <v>商业类型</v>
      </c>
      <c r="R32" s="774" t="s">
        <v>17</v>
      </c>
      <c r="S32" s="775">
        <f t="shared" si="12"/>
        <v>100</v>
      </c>
      <c r="T32" s="774" t="s">
        <v>17</v>
      </c>
      <c r="U32" s="775">
        <f t="shared" si="13"/>
        <v>100</v>
      </c>
      <c r="V32" s="774" t="s">
        <v>17</v>
      </c>
      <c r="W32" s="775">
        <f t="shared" si="14"/>
        <v>100</v>
      </c>
      <c r="X32" s="1812"/>
      <c r="Y32" s="3199" t="s">
        <v>2550</v>
      </c>
      <c r="Z32" s="1813" t="str">
        <f t="shared" si="15"/>
        <v>商业类型</v>
      </c>
      <c r="AA32" s="1810">
        <f t="shared" si="3"/>
        <v>1</v>
      </c>
      <c r="AB32" s="1810">
        <f t="shared" si="4"/>
        <v>1</v>
      </c>
      <c r="AC32" s="1810">
        <f t="shared" si="5"/>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2"/>
      <c r="Q33" s="776" t="str">
        <f t="shared" si="11"/>
        <v>项目建筑规模</v>
      </c>
      <c r="R33" s="777" t="s">
        <v>17</v>
      </c>
      <c r="S33" s="778" t="e">
        <f t="shared" si="12"/>
        <v>#N/A</v>
      </c>
      <c r="T33" s="777" t="s">
        <v>17</v>
      </c>
      <c r="U33" s="778" t="e">
        <f t="shared" si="13"/>
        <v>#N/A</v>
      </c>
      <c r="V33" s="777" t="s">
        <v>17</v>
      </c>
      <c r="W33" s="778" t="e">
        <f t="shared" si="14"/>
        <v>#N/A</v>
      </c>
      <c r="X33" s="779"/>
      <c r="Y33" s="3199"/>
      <c r="Z33" s="780" t="str">
        <f t="shared" si="15"/>
        <v>项目建筑规模</v>
      </c>
      <c r="AA33" s="1810" t="e">
        <f t="shared" si="3"/>
        <v>#N/A</v>
      </c>
      <c r="AB33" s="1810" t="e">
        <f t="shared" si="4"/>
        <v>#N/A</v>
      </c>
      <c r="AC33" s="1810" t="e">
        <f t="shared" si="5"/>
        <v>#N/A</v>
      </c>
    </row>
    <row r="34" spans="1:29" ht="15">
      <c r="A34" s="472"/>
      <c r="B34" s="422" t="s">
        <v>2552</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40"/>
      <c r="M34" s="1131"/>
      <c r="N34" s="1131"/>
      <c r="O34" s="1131"/>
      <c r="P34" s="3242"/>
      <c r="Q34" s="1809" t="str">
        <f t="shared" si="11"/>
        <v>建筑结构</v>
      </c>
      <c r="R34" s="774" t="s">
        <v>17</v>
      </c>
      <c r="S34" s="775">
        <f t="shared" si="12"/>
        <v>100</v>
      </c>
      <c r="T34" s="774" t="s">
        <v>17</v>
      </c>
      <c r="U34" s="775">
        <f t="shared" si="13"/>
        <v>100</v>
      </c>
      <c r="V34" s="774" t="s">
        <v>17</v>
      </c>
      <c r="W34" s="775">
        <f t="shared" si="14"/>
        <v>100</v>
      </c>
      <c r="X34" s="1812"/>
      <c r="Y34" s="3199"/>
      <c r="Z34" s="1813" t="str">
        <f t="shared" si="15"/>
        <v>建筑结构</v>
      </c>
      <c r="AA34" s="1810">
        <f t="shared" si="3"/>
        <v>1</v>
      </c>
      <c r="AB34" s="1810">
        <f t="shared" si="4"/>
        <v>1</v>
      </c>
      <c r="AC34" s="1810">
        <f t="shared" si="5"/>
        <v>1</v>
      </c>
    </row>
    <row r="35" spans="1:29" ht="15">
      <c r="A35" s="472"/>
      <c r="B35" s="422" t="s">
        <v>2646</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0"/>
      <c r="M35" s="1131"/>
      <c r="N35" s="1131"/>
      <c r="O35" s="1131"/>
      <c r="P35" s="3242"/>
      <c r="Q35" s="1809" t="str">
        <f t="shared" si="11"/>
        <v>公共部分装修</v>
      </c>
      <c r="R35" s="774" t="s">
        <v>17</v>
      </c>
      <c r="S35" s="775">
        <f t="shared" si="12"/>
        <v>100</v>
      </c>
      <c r="T35" s="774" t="s">
        <v>17</v>
      </c>
      <c r="U35" s="775">
        <f t="shared" si="13"/>
        <v>100</v>
      </c>
      <c r="V35" s="774" t="s">
        <v>17</v>
      </c>
      <c r="W35" s="775">
        <f t="shared" si="14"/>
        <v>100</v>
      </c>
      <c r="X35" s="1812"/>
      <c r="Y35" s="3199"/>
      <c r="Z35" s="1813" t="str">
        <f t="shared" si="15"/>
        <v>公共部分装修</v>
      </c>
      <c r="AA35" s="1810">
        <f t="shared" si="3"/>
        <v>1</v>
      </c>
      <c r="AB35" s="1810">
        <f t="shared" si="4"/>
        <v>1</v>
      </c>
      <c r="AC35" s="1810">
        <f t="shared" si="5"/>
        <v>1</v>
      </c>
    </row>
    <row r="36" spans="1:29" ht="15">
      <c r="A36" s="472"/>
      <c r="B36" s="422" t="s">
        <v>2647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2"/>
      <c r="Q36" s="1809" t="str">
        <f t="shared" si="11"/>
        <v>成新度</v>
      </c>
      <c r="R36" s="774" t="s">
        <v>17</v>
      </c>
      <c r="S36" s="775" t="e">
        <f t="shared" si="12"/>
        <v>#N/A</v>
      </c>
      <c r="T36" s="774" t="s">
        <v>17</v>
      </c>
      <c r="U36" s="775" t="e">
        <f t="shared" si="13"/>
        <v>#N/A</v>
      </c>
      <c r="V36" s="774" t="s">
        <v>17</v>
      </c>
      <c r="W36" s="775" t="e">
        <f t="shared" si="14"/>
        <v>#N/A</v>
      </c>
      <c r="X36" s="1812"/>
      <c r="Y36" s="3199"/>
      <c r="Z36" s="1813" t="str">
        <f t="shared" si="15"/>
        <v>成新度</v>
      </c>
      <c r="AA36" s="1810" t="e">
        <f t="shared" si="3"/>
        <v>#N/A</v>
      </c>
      <c r="AB36" s="1810" t="e">
        <f t="shared" si="4"/>
        <v>#N/A</v>
      </c>
      <c r="AC36" s="1810" t="e">
        <f t="shared" si="5"/>
        <v>#N/A</v>
      </c>
    </row>
    <row r="37" spans="1:29" s="117" customFormat="1" ht="15">
      <c r="A37" s="473"/>
      <c r="B37" s="422" t="s">
        <v>2648</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2"/>
      <c r="M37" s="1133"/>
      <c r="N37" s="1133"/>
      <c r="O37" s="1133"/>
      <c r="P37" s="3242"/>
      <c r="Q37" s="1794" t="str">
        <f t="shared" si="11"/>
        <v>市政基础设施</v>
      </c>
      <c r="R37" s="770" t="s">
        <v>17</v>
      </c>
      <c r="S37" s="771">
        <f t="shared" si="12"/>
        <v>100</v>
      </c>
      <c r="T37" s="770" t="s">
        <v>17</v>
      </c>
      <c r="U37" s="771">
        <f t="shared" si="13"/>
        <v>100</v>
      </c>
      <c r="V37" s="770" t="s">
        <v>17</v>
      </c>
      <c r="W37" s="771">
        <f t="shared" si="14"/>
        <v>100</v>
      </c>
      <c r="X37" s="772"/>
      <c r="Y37" s="3199"/>
      <c r="Z37" s="55" t="str">
        <f t="shared" si="15"/>
        <v>市政基础设施</v>
      </c>
      <c r="AA37" s="773">
        <f t="shared" si="3"/>
        <v>1</v>
      </c>
      <c r="AB37" s="773">
        <f t="shared" si="4"/>
        <v>1</v>
      </c>
      <c r="AC37" s="773">
        <f t="shared" si="5"/>
        <v>1</v>
      </c>
    </row>
    <row r="38" spans="1:29" ht="15">
      <c r="A38" s="472"/>
      <c r="B38" s="422" t="s">
        <v>2649</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0"/>
      <c r="M38" s="1131"/>
      <c r="N38" s="1131"/>
      <c r="O38" s="1131"/>
      <c r="P38" s="3242" t="s">
        <v>2550</v>
      </c>
      <c r="Q38" s="1809" t="str">
        <f t="shared" si="11"/>
        <v>业态</v>
      </c>
      <c r="R38" s="774" t="s">
        <v>17</v>
      </c>
      <c r="S38" s="775">
        <f t="shared" si="12"/>
        <v>100</v>
      </c>
      <c r="T38" s="774" t="s">
        <v>17</v>
      </c>
      <c r="U38" s="775">
        <f t="shared" si="13"/>
        <v>100</v>
      </c>
      <c r="V38" s="774" t="s">
        <v>17</v>
      </c>
      <c r="W38" s="775">
        <f t="shared" si="14"/>
        <v>100</v>
      </c>
      <c r="X38" s="1812"/>
      <c r="Y38" s="3199" t="s">
        <v>2550</v>
      </c>
      <c r="Z38" s="1813" t="str">
        <f t="shared" si="15"/>
        <v>业态</v>
      </c>
      <c r="AA38" s="1810">
        <f t="shared" si="3"/>
        <v>1</v>
      </c>
      <c r="AB38" s="1810">
        <f t="shared" si="4"/>
        <v>1</v>
      </c>
      <c r="AC38" s="1810">
        <f t="shared" si="5"/>
        <v>1</v>
      </c>
    </row>
    <row r="39" spans="1:29" ht="15">
      <c r="A39" s="472"/>
      <c r="B39" s="422" t="s">
        <v>2650</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0"/>
      <c r="M39" s="1131"/>
      <c r="N39" s="1131"/>
      <c r="O39" s="1131"/>
      <c r="P39" s="3242"/>
      <c r="Q39" s="1809" t="str">
        <f t="shared" si="11"/>
        <v>层高</v>
      </c>
      <c r="R39" s="774" t="s">
        <v>17</v>
      </c>
      <c r="S39" s="775">
        <f t="shared" si="12"/>
        <v>100</v>
      </c>
      <c r="T39" s="774" t="s">
        <v>17</v>
      </c>
      <c r="U39" s="775">
        <f t="shared" si="13"/>
        <v>100</v>
      </c>
      <c r="V39" s="774" t="s">
        <v>17</v>
      </c>
      <c r="W39" s="775">
        <f t="shared" si="14"/>
        <v>100</v>
      </c>
      <c r="X39" s="1812"/>
      <c r="Y39" s="3199"/>
      <c r="Z39" s="1813" t="str">
        <f t="shared" si="15"/>
        <v>层高</v>
      </c>
      <c r="AA39" s="1810">
        <f t="shared" si="3"/>
        <v>1</v>
      </c>
      <c r="AB39" s="1810">
        <f t="shared" si="4"/>
        <v>1</v>
      </c>
      <c r="AC39" s="1810">
        <f t="shared" si="5"/>
        <v>1</v>
      </c>
    </row>
    <row r="40" spans="1:29" ht="15">
      <c r="A40" s="472"/>
      <c r="B40" s="422" t="s">
        <v>2651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2"/>
      <c r="Q40" s="1809" t="str">
        <f t="shared" si="11"/>
        <v>单套建筑面积</v>
      </c>
      <c r="R40" s="774" t="s">
        <v>17</v>
      </c>
      <c r="S40" s="775">
        <f t="shared" si="12"/>
        <v>100</v>
      </c>
      <c r="T40" s="774" t="s">
        <v>17</v>
      </c>
      <c r="U40" s="775">
        <f t="shared" si="13"/>
        <v>100</v>
      </c>
      <c r="V40" s="774" t="s">
        <v>17</v>
      </c>
      <c r="W40" s="775">
        <f t="shared" si="14"/>
        <v>100</v>
      </c>
      <c r="X40" s="1812"/>
      <c r="Y40" s="3199"/>
      <c r="Z40" s="1813" t="str">
        <f t="shared" si="15"/>
        <v>单套建筑面积</v>
      </c>
      <c r="AA40" s="1810">
        <f t="shared" si="3"/>
        <v>1</v>
      </c>
      <c r="AB40" s="1810">
        <f t="shared" si="4"/>
        <v>1</v>
      </c>
      <c r="AC40" s="1810">
        <f t="shared" si="5"/>
        <v>1</v>
      </c>
    </row>
    <row r="41" spans="1:29" s="471" customFormat="1" ht="15">
      <c r="A41" s="468"/>
      <c r="B41" s="1811" t="s">
        <v>2652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2"/>
      <c r="Q41" s="776" t="str">
        <f t="shared" si="11"/>
        <v>进深比</v>
      </c>
      <c r="R41" s="777" t="s">
        <v>17</v>
      </c>
      <c r="S41" s="778">
        <f t="shared" si="12"/>
        <v>100</v>
      </c>
      <c r="T41" s="777" t="s">
        <v>17</v>
      </c>
      <c r="U41" s="778">
        <f t="shared" si="13"/>
        <v>100</v>
      </c>
      <c r="V41" s="777" t="s">
        <v>17</v>
      </c>
      <c r="W41" s="778">
        <f t="shared" si="14"/>
        <v>100</v>
      </c>
      <c r="X41" s="779"/>
      <c r="Y41" s="3199"/>
      <c r="Z41" s="780" t="str">
        <f t="shared" si="15"/>
        <v>进深比</v>
      </c>
      <c r="AA41" s="1810">
        <f t="shared" si="3"/>
        <v>1</v>
      </c>
      <c r="AB41" s="1810">
        <f t="shared" si="4"/>
        <v>1</v>
      </c>
      <c r="AC41" s="1810">
        <f t="shared" si="5"/>
        <v>1</v>
      </c>
    </row>
    <row r="42" spans="1:29" ht="15">
      <c r="A42" s="472"/>
      <c r="B42" s="422" t="s">
        <v>2653</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0"/>
      <c r="M42" s="1131"/>
      <c r="N42" s="1131"/>
      <c r="O42" s="1131"/>
      <c r="P42" s="3242"/>
      <c r="Q42" s="1809" t="str">
        <f t="shared" si="11"/>
        <v>内部装修</v>
      </c>
      <c r="R42" s="774" t="s">
        <v>17</v>
      </c>
      <c r="S42" s="775">
        <f t="shared" si="12"/>
        <v>100</v>
      </c>
      <c r="T42" s="774" t="s">
        <v>17</v>
      </c>
      <c r="U42" s="775">
        <f t="shared" si="13"/>
        <v>100</v>
      </c>
      <c r="V42" s="774" t="s">
        <v>17</v>
      </c>
      <c r="W42" s="775">
        <f t="shared" si="14"/>
        <v>100</v>
      </c>
      <c r="X42" s="1812"/>
      <c r="Y42" s="3199"/>
      <c r="Z42" s="1813" t="str">
        <f t="shared" si="15"/>
        <v>内部装修</v>
      </c>
      <c r="AA42" s="1810">
        <f t="shared" si="3"/>
        <v>1</v>
      </c>
      <c r="AB42" s="1810">
        <f t="shared" si="4"/>
        <v>1</v>
      </c>
      <c r="AC42" s="1810">
        <f t="shared" si="5"/>
        <v>1</v>
      </c>
    </row>
    <row r="43" spans="1:29" ht="15">
      <c r="A43" s="472"/>
      <c r="B43" s="422" t="s">
        <v>2561</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0"/>
      <c r="M43" s="1131"/>
      <c r="N43" s="1131"/>
      <c r="O43" s="1131"/>
      <c r="P43" s="3242"/>
      <c r="Q43" s="1809" t="str">
        <f t="shared" si="11"/>
        <v>内部装修维护情况</v>
      </c>
      <c r="R43" s="774" t="s">
        <v>17</v>
      </c>
      <c r="S43" s="775">
        <f t="shared" si="12"/>
        <v>100</v>
      </c>
      <c r="T43" s="774" t="s">
        <v>17</v>
      </c>
      <c r="U43" s="775">
        <f t="shared" si="13"/>
        <v>100</v>
      </c>
      <c r="V43" s="774" t="s">
        <v>17</v>
      </c>
      <c r="W43" s="775">
        <f t="shared" si="14"/>
        <v>100</v>
      </c>
      <c r="X43" s="1812"/>
      <c r="Y43" s="3199"/>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2"/>
      <c r="Q44" s="1794">
        <f t="shared" si="11"/>
        <v>111</v>
      </c>
      <c r="R44" s="770" t="s">
        <v>17</v>
      </c>
      <c r="S44" s="771">
        <f t="shared" si="12"/>
        <v>100</v>
      </c>
      <c r="T44" s="770" t="s">
        <v>17</v>
      </c>
      <c r="U44" s="771">
        <f t="shared" si="13"/>
        <v>100</v>
      </c>
      <c r="V44" s="770" t="s">
        <v>17</v>
      </c>
      <c r="W44" s="771">
        <f t="shared" si="14"/>
        <v>100</v>
      </c>
      <c r="X44" s="772"/>
      <c r="Y44" s="319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2"/>
      <c r="Q45" s="1809">
        <f t="shared" si="11"/>
        <v>111</v>
      </c>
      <c r="R45" s="774" t="s">
        <v>17</v>
      </c>
      <c r="S45" s="775">
        <f t="shared" si="12"/>
        <v>100</v>
      </c>
      <c r="T45" s="774" t="s">
        <v>17</v>
      </c>
      <c r="U45" s="775">
        <f t="shared" si="13"/>
        <v>100</v>
      </c>
      <c r="V45" s="774" t="s">
        <v>17</v>
      </c>
      <c r="W45" s="775">
        <f t="shared" si="14"/>
        <v>100</v>
      </c>
      <c r="X45" s="1812"/>
      <c r="Y45" s="3199"/>
      <c r="Z45" s="1813">
        <f t="shared" si="15"/>
        <v>111</v>
      </c>
      <c r="AA45" s="1810">
        <f t="shared" si="3"/>
        <v>1</v>
      </c>
      <c r="AB45" s="1810">
        <f t="shared" si="4"/>
        <v>1</v>
      </c>
      <c r="AC45" s="1810">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3"/>
      <c r="Q46" s="1809">
        <f t="shared" si="11"/>
        <v>111</v>
      </c>
      <c r="R46" s="774" t="s">
        <v>17</v>
      </c>
      <c r="S46" s="775">
        <f t="shared" si="12"/>
        <v>100</v>
      </c>
      <c r="T46" s="774" t="s">
        <v>17</v>
      </c>
      <c r="U46" s="775">
        <f t="shared" si="13"/>
        <v>100</v>
      </c>
      <c r="V46" s="774" t="s">
        <v>17</v>
      </c>
      <c r="W46" s="775">
        <f t="shared" si="14"/>
        <v>100</v>
      </c>
      <c r="X46" s="1812"/>
      <c r="Y46" s="3244"/>
      <c r="Z46" s="1813">
        <f t="shared" si="15"/>
        <v>111</v>
      </c>
      <c r="AA46" s="1810">
        <f t="shared" si="3"/>
        <v>1</v>
      </c>
      <c r="AB46" s="1810">
        <f t="shared" si="4"/>
        <v>1</v>
      </c>
      <c r="AC46" s="1810">
        <f t="shared" si="5"/>
        <v>1</v>
      </c>
    </row>
    <row r="47" spans="1:29" ht="15">
      <c r="A47" s="479" t="s">
        <v>2562</v>
      </c>
      <c r="B47" s="480"/>
      <c r="C47" s="1407" t="s">
        <v>1</v>
      </c>
      <c r="D47" s="1408"/>
      <c r="E47" s="1409"/>
      <c r="F47" s="1410"/>
      <c r="G47" s="1411"/>
      <c r="H47" s="1412"/>
      <c r="I47" s="1409"/>
      <c r="J47" s="1412"/>
      <c r="K47" s="783"/>
      <c r="L47" s="1143"/>
      <c r="M47" s="1144"/>
      <c r="N47" s="1131"/>
      <c r="O47" s="1144"/>
      <c r="P47" s="3181" t="str">
        <f>A47</f>
        <v>成交单价（元/平方米）</v>
      </c>
      <c r="Q47" s="3181"/>
      <c r="R47" s="3194">
        <f>E47</f>
        <v>0</v>
      </c>
      <c r="S47" s="3194"/>
      <c r="T47" s="3194">
        <f>G47</f>
        <v>0</v>
      </c>
      <c r="U47" s="3194"/>
      <c r="V47" s="3194">
        <f>I47</f>
        <v>0</v>
      </c>
      <c r="W47" s="3194"/>
      <c r="X47" s="759"/>
      <c r="Y47" s="781"/>
      <c r="Z47" s="759"/>
      <c r="AA47" s="759"/>
      <c r="AB47" s="759"/>
      <c r="AC47" s="759"/>
    </row>
    <row r="48" spans="1:29" ht="15.75" thickBot="1">
      <c r="A48" s="486" t="s">
        <v>2654</v>
      </c>
      <c r="B48" s="487"/>
      <c r="C48" s="1413" t="e">
        <f>R49</f>
        <v>#DIV/0!</v>
      </c>
      <c r="D48" s="1414"/>
      <c r="E48" s="1415" t="e">
        <f>R48</f>
        <v>#DIV/0!</v>
      </c>
      <c r="F48" s="1415"/>
      <c r="G48" s="1413" t="e">
        <f>T48</f>
        <v>#DIV/0!</v>
      </c>
      <c r="H48" s="1414"/>
      <c r="I48" s="1415" t="e">
        <f>V48</f>
        <v>#DIV/0!</v>
      </c>
      <c r="J48" s="1414"/>
      <c r="K48" s="784"/>
      <c r="L48" s="1143"/>
      <c r="M48" s="1144"/>
      <c r="N48" s="1131"/>
      <c r="O48" s="1144"/>
      <c r="P48" s="3181" t="str">
        <f>A48</f>
        <v>比较价值（元/平方米）</v>
      </c>
      <c r="Q48" s="3181"/>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9"/>
      <c r="Y48" s="759"/>
      <c r="Z48" s="759"/>
      <c r="AA48" s="759"/>
      <c r="AB48" s="759"/>
      <c r="AC48" s="759"/>
    </row>
    <row r="49" spans="1:29" ht="15.75" thickBot="1">
      <c r="A49" s="492" t="s">
        <v>2655</v>
      </c>
      <c r="B49" s="493"/>
      <c r="C49" s="1417" t="e">
        <f>R49</f>
        <v>#DIV/0!</v>
      </c>
      <c r="D49" s="1417"/>
      <c r="E49" s="1417"/>
      <c r="F49" s="1417"/>
      <c r="G49" s="1417"/>
      <c r="H49" s="1417"/>
      <c r="I49" s="1417"/>
      <c r="J49" s="1417"/>
      <c r="K49" s="785"/>
      <c r="L49" s="1143"/>
      <c r="M49" s="1144"/>
      <c r="N49" s="1131"/>
      <c r="O49" s="1144"/>
      <c r="P49" s="3201" t="str">
        <f>A49</f>
        <v>估价对象XX用房的比较价值（楼面单价，元/平方米）</v>
      </c>
      <c r="Q49" s="3202"/>
      <c r="R49" s="3239" t="e">
        <f>IF(F1="售价",ROUND(AVERAGE(R48:V48),0),ROUND(AVERAGE(R48:V48),1))</f>
        <v>#DIV/0!</v>
      </c>
      <c r="S49" s="3239"/>
      <c r="T49" s="3239"/>
      <c r="U49" s="3239"/>
      <c r="V49" s="3239"/>
      <c r="W49" s="323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2659</v>
      </c>
      <c r="B57" s="759"/>
      <c r="C57" s="764"/>
      <c r="D57" s="764"/>
      <c r="E57" s="764"/>
      <c r="F57" s="765"/>
      <c r="G57" s="765"/>
      <c r="H57" s="764"/>
      <c r="I57" s="764"/>
      <c r="J57" s="764"/>
      <c r="K57" s="766"/>
      <c r="L57" s="1161"/>
      <c r="M57" s="1159"/>
      <c r="N57" s="1159"/>
      <c r="O57" s="1159"/>
      <c r="P57" s="2661"/>
      <c r="Q57" s="2662"/>
      <c r="R57" s="759"/>
      <c r="S57" s="759"/>
      <c r="T57" s="759"/>
      <c r="U57" s="759"/>
      <c r="V57" s="759"/>
      <c r="W57" s="759"/>
      <c r="X57" s="759"/>
      <c r="Y57" s="759"/>
      <c r="Z57" s="759"/>
      <c r="AA57" s="759"/>
      <c r="AB57" s="759"/>
      <c r="AC57" s="759"/>
    </row>
    <row r="58" spans="1:29" s="508" customFormat="1" ht="15">
      <c r="A58" s="505" t="s">
        <v>2533</v>
      </c>
      <c r="B58" s="506"/>
      <c r="C58" s="1573" t="str">
        <f>YEAR(C7)&amp;"-"&amp;MONTH(C7)</f>
        <v>2020-7</v>
      </c>
      <c r="D58" s="1574">
        <f>EDATE(C58,-1)</f>
        <v>43983</v>
      </c>
      <c r="E58" s="1574">
        <f t="shared" ref="E58:N58" si="16">EDATE(D58,-1)</f>
        <v>43952</v>
      </c>
      <c r="F58" s="1574">
        <f t="shared" si="16"/>
        <v>43922</v>
      </c>
      <c r="G58" s="1574">
        <f t="shared" si="16"/>
        <v>43891</v>
      </c>
      <c r="H58" s="1574">
        <f t="shared" si="16"/>
        <v>43862</v>
      </c>
      <c r="I58" s="1574">
        <f t="shared" si="16"/>
        <v>43831</v>
      </c>
      <c r="J58" s="1574">
        <f t="shared" si="16"/>
        <v>43800</v>
      </c>
      <c r="K58" s="1574">
        <f t="shared" si="16"/>
        <v>43770</v>
      </c>
      <c r="L58" s="1574">
        <f t="shared" si="16"/>
        <v>43739</v>
      </c>
      <c r="M58" s="1574">
        <f t="shared" si="16"/>
        <v>43709</v>
      </c>
      <c r="N58" s="1574">
        <f t="shared" si="16"/>
        <v>43678</v>
      </c>
      <c r="O58" s="1574">
        <f>EDATE(N58,-1)</f>
        <v>43647</v>
      </c>
      <c r="P58" s="1569"/>
    </row>
    <row r="59" spans="1:29" s="117" customFormat="1" ht="15">
      <c r="A59" s="509"/>
      <c r="B59" s="510"/>
      <c r="C59" s="1572">
        <v>100</v>
      </c>
      <c r="D59" s="512"/>
      <c r="E59" s="512"/>
      <c r="F59" s="512"/>
      <c r="G59" s="512"/>
      <c r="H59" s="512"/>
      <c r="I59" s="512"/>
      <c r="J59" s="512"/>
      <c r="K59" s="512"/>
      <c r="L59" s="512"/>
      <c r="M59" s="513"/>
      <c r="N59" s="512"/>
      <c r="O59" s="513"/>
      <c r="P59" s="2622"/>
    </row>
    <row r="60" spans="1:29" s="117" customFormat="1" ht="15.75" thickBot="1">
      <c r="A60" s="515" t="s">
        <v>2570</v>
      </c>
      <c r="B60" s="516"/>
      <c r="C60" s="517"/>
      <c r="D60" s="518"/>
      <c r="E60" s="518"/>
      <c r="F60" s="518"/>
      <c r="G60" s="518"/>
      <c r="H60" s="518"/>
      <c r="I60" s="518"/>
      <c r="J60" s="518"/>
      <c r="K60" s="518"/>
      <c r="L60" s="518"/>
      <c r="M60" s="519"/>
      <c r="N60" s="518"/>
      <c r="O60" s="519"/>
      <c r="P60" s="2622"/>
      <c r="Q60" s="504"/>
    </row>
    <row r="61" spans="1:29" s="117" customFormat="1" ht="15">
      <c r="A61" s="521" t="s">
        <v>2535</v>
      </c>
      <c r="B61" s="510"/>
      <c r="C61" s="522" t="s">
        <v>2637</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2573</v>
      </c>
      <c r="B63" s="528" t="s">
        <v>2539</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4"/>
      <c r="Q66" s="504"/>
    </row>
    <row r="67" spans="1:17" ht="15.75" thickTop="1">
      <c r="A67" s="534"/>
      <c r="B67" s="546" t="s">
        <v>2543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36"/>
      <c r="E73" s="536"/>
      <c r="F73" s="536"/>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2640</v>
      </c>
      <c r="C82" s="660" t="s">
        <v>2660</v>
      </c>
      <c r="D82" s="660" t="s">
        <v>2661</v>
      </c>
      <c r="E82" s="660" t="s">
        <v>2662</v>
      </c>
      <c r="F82" s="660" t="s">
        <v>2663</v>
      </c>
      <c r="G82" s="660" t="s">
        <v>2664</v>
      </c>
      <c r="H82" s="539"/>
      <c r="I82" s="539"/>
      <c r="J82" s="539"/>
      <c r="K82" s="539"/>
      <c r="L82" s="539"/>
      <c r="M82" s="1382"/>
      <c r="N82" s="1153"/>
      <c r="O82" s="1153"/>
      <c r="P82" s="262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4"/>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2665</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4"/>
      <c r="Q87" s="504"/>
    </row>
    <row r="88" spans="1:17" s="117" customFormat="1" ht="15.75" thickTop="1">
      <c r="A88" s="579"/>
      <c r="B88" s="538" t="str">
        <f>B26</f>
        <v>平面位置/可视性</v>
      </c>
      <c r="C88" s="554"/>
      <c r="D88" s="554"/>
      <c r="E88" s="554"/>
      <c r="F88" s="2629"/>
      <c r="G88" s="554"/>
      <c r="H88" s="554"/>
      <c r="I88" s="554"/>
      <c r="J88" s="554"/>
      <c r="K88" s="554"/>
      <c r="L88" s="554"/>
      <c r="M88" s="581"/>
      <c r="N88" s="1151"/>
      <c r="O88" s="1151"/>
      <c r="P88" s="2624"/>
      <c r="Q88" s="504"/>
    </row>
    <row r="89" spans="1:17" s="117" customFormat="1" ht="15.75" thickBot="1">
      <c r="A89" s="579"/>
      <c r="B89" s="543"/>
      <c r="C89" s="560"/>
      <c r="D89" s="536"/>
      <c r="E89" s="536"/>
      <c r="F89" s="536"/>
      <c r="G89" s="536"/>
      <c r="H89" s="536"/>
      <c r="I89" s="536"/>
      <c r="J89" s="536"/>
      <c r="K89" s="536"/>
      <c r="L89" s="536"/>
      <c r="M89" s="536"/>
      <c r="N89" s="1153"/>
      <c r="O89" s="1153"/>
      <c r="P89" s="262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5"/>
      <c r="Q91" s="559"/>
    </row>
    <row r="92" spans="1:17" ht="15.75" thickTop="1">
      <c r="A92" s="534"/>
      <c r="B92" s="538" t="str">
        <f>B28</f>
        <v>楼层</v>
      </c>
      <c r="C92" s="554"/>
      <c r="D92" s="554"/>
      <c r="E92" s="554"/>
      <c r="F92" s="554"/>
      <c r="G92" s="554"/>
      <c r="H92" s="554"/>
      <c r="I92" s="554"/>
      <c r="J92" s="554"/>
      <c r="K92" s="554"/>
      <c r="L92" s="580"/>
      <c r="M92" s="581"/>
      <c r="N92" s="1152"/>
      <c r="O92" s="1152"/>
      <c r="P92" s="2624"/>
      <c r="Q92" s="504"/>
    </row>
    <row r="93" spans="1:17" ht="15.75" thickBot="1">
      <c r="A93" s="534"/>
      <c r="B93" s="543"/>
      <c r="C93" s="536"/>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36"/>
      <c r="E95" s="536"/>
      <c r="F95" s="536"/>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60"/>
      <c r="D97" s="536"/>
      <c r="E97" s="536"/>
      <c r="F97" s="536"/>
      <c r="G97" s="536"/>
      <c r="H97" s="536"/>
      <c r="I97" s="536"/>
      <c r="J97" s="536"/>
      <c r="K97" s="536"/>
      <c r="L97" s="536"/>
      <c r="M97" s="537"/>
      <c r="N97" s="1153"/>
      <c r="O97" s="1153"/>
      <c r="P97" s="2624"/>
      <c r="Q97" s="504"/>
    </row>
    <row r="98" spans="1:17" ht="15.75" thickTop="1">
      <c r="A98" s="534"/>
      <c r="B98" s="546">
        <f>B31</f>
        <v>111</v>
      </c>
      <c r="C98" s="554"/>
      <c r="D98" s="554"/>
      <c r="E98" s="554"/>
      <c r="F98" s="554"/>
      <c r="G98" s="587"/>
      <c r="H98" s="587"/>
      <c r="I98" s="587"/>
      <c r="J98" s="587"/>
      <c r="K98" s="588"/>
      <c r="L98" s="589"/>
      <c r="M98" s="590"/>
      <c r="N98" s="1152"/>
      <c r="O98" s="1152"/>
      <c r="P98" s="2624"/>
      <c r="Q98" s="504"/>
    </row>
    <row r="99" spans="1:17" ht="15.75" thickBot="1">
      <c r="A99" s="2630"/>
      <c r="B99" s="569"/>
      <c r="C99" s="570"/>
      <c r="D99" s="570"/>
      <c r="E99" s="570"/>
      <c r="F99" s="570"/>
      <c r="G99" s="591"/>
      <c r="H99" s="591"/>
      <c r="I99" s="591"/>
      <c r="J99" s="591"/>
      <c r="K99" s="591"/>
      <c r="L99" s="591"/>
      <c r="M99" s="592"/>
      <c r="N99" s="1153"/>
      <c r="O99" s="1153"/>
      <c r="P99" s="2624"/>
      <c r="Q99" s="504"/>
    </row>
    <row r="100" spans="1:17">
      <c r="A100" s="527" t="s">
        <v>2548</v>
      </c>
      <c r="B100" s="528" t="s">
        <v>2666</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4"/>
      <c r="Q101" s="504"/>
    </row>
    <row r="102" spans="1:17" ht="15.75" thickTop="1">
      <c r="A102" s="534"/>
      <c r="B102" s="538" t="s">
        <v>2598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5"/>
      <c r="Q104" s="559"/>
    </row>
    <row r="105" spans="1:17" ht="15" thickTop="1">
      <c r="A105" s="599"/>
      <c r="B105" s="538" t="s">
        <v>2599</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4"/>
      <c r="Q106" s="504"/>
    </row>
    <row r="107" spans="1:17" ht="15" thickTop="1">
      <c r="A107" s="599"/>
      <c r="B107" s="538" t="s">
        <v>2601</v>
      </c>
      <c r="C107" s="554"/>
      <c r="D107" s="554"/>
      <c r="E107" s="554"/>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4"/>
      <c r="Q108" s="504"/>
    </row>
    <row r="109" spans="1:17" ht="15" thickTop="1">
      <c r="A109" s="599"/>
      <c r="B109" s="538" t="s">
        <v>1986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4"/>
      <c r="Q111" s="504"/>
    </row>
    <row r="112" spans="1:17" s="471" customFormat="1" ht="15" thickTop="1">
      <c r="A112" s="593"/>
      <c r="B112" s="538" t="s">
        <v>2603</v>
      </c>
      <c r="C112" s="554"/>
      <c r="D112" s="554"/>
      <c r="E112" s="554"/>
      <c r="F112" s="554"/>
      <c r="G112" s="554"/>
      <c r="H112" s="583"/>
      <c r="I112" s="583"/>
      <c r="J112" s="583"/>
      <c r="K112" s="584"/>
      <c r="L112" s="585"/>
      <c r="M112" s="586"/>
      <c r="N112" s="1154"/>
      <c r="O112" s="1154"/>
      <c r="P112" s="262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5"/>
      <c r="Q113" s="559"/>
    </row>
    <row r="114" spans="1:17" ht="15" thickTop="1">
      <c r="A114" s="599"/>
      <c r="B114" s="538" t="s">
        <v>2667</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4"/>
      <c r="Q115" s="504"/>
    </row>
    <row r="116" spans="1:17" ht="15" thickTop="1">
      <c r="A116" s="599"/>
      <c r="B116" s="538" t="s">
        <v>2668</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2669</v>
      </c>
      <c r="C118" s="627"/>
      <c r="D118" s="627"/>
      <c r="E118" s="627"/>
      <c r="F118" s="627"/>
      <c r="G118" s="627"/>
      <c r="H118" s="555"/>
      <c r="I118" s="555"/>
      <c r="J118" s="555"/>
      <c r="K118" s="555"/>
      <c r="L118" s="556"/>
      <c r="M118" s="557"/>
      <c r="N118" s="1152"/>
      <c r="O118" s="1152"/>
      <c r="P118" s="2624"/>
      <c r="Q118" s="504"/>
    </row>
    <row r="119" spans="1:17" ht="15.75" thickBot="1">
      <c r="A119" s="534"/>
      <c r="B119" s="543"/>
      <c r="C119" s="560"/>
      <c r="D119" s="536"/>
      <c r="E119" s="536"/>
      <c r="F119" s="536"/>
      <c r="G119" s="536"/>
      <c r="H119" s="536"/>
      <c r="I119" s="536"/>
      <c r="J119" s="536"/>
      <c r="K119" s="536"/>
      <c r="L119" s="536"/>
      <c r="M119" s="537"/>
      <c r="N119" s="1153"/>
      <c r="O119" s="1153"/>
      <c r="P119" s="2624"/>
      <c r="Q119" s="504"/>
    </row>
    <row r="120" spans="1:17" s="471" customFormat="1" ht="15" thickTop="1">
      <c r="A120" s="593"/>
      <c r="B120" s="538" t="s">
        <v>2670</v>
      </c>
      <c r="C120" s="583"/>
      <c r="D120" s="583"/>
      <c r="E120" s="583"/>
      <c r="F120" s="583"/>
      <c r="G120" s="555"/>
      <c r="H120" s="555"/>
      <c r="I120" s="555"/>
      <c r="J120" s="555"/>
      <c r="K120" s="555"/>
      <c r="L120" s="556"/>
      <c r="M120" s="557"/>
      <c r="N120" s="1154"/>
      <c r="O120" s="1154"/>
      <c r="P120" s="262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5"/>
      <c r="Q121" s="559"/>
    </row>
    <row r="122" spans="1:17" ht="15" thickTop="1">
      <c r="A122" s="599"/>
      <c r="B122" s="538" t="s">
        <v>2605</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4"/>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36"/>
      <c r="E129" s="536"/>
      <c r="F129" s="536"/>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19" sqref="F19"/>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2513</v>
      </c>
      <c r="B1" s="2663" t="s">
        <v>2671</v>
      </c>
      <c r="C1" s="1619" t="s">
        <v>2515</v>
      </c>
      <c r="D1" s="1620"/>
      <c r="E1" s="1629"/>
      <c r="F1" s="2580"/>
      <c r="G1" s="1630" t="s">
        <v>2628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2315</v>
      </c>
      <c r="B2" s="1418" t="e">
        <f ca="1">IF(C2="——",ROUND(C50*D3/10000,0),ROUND(C50*D3/10000,0)-D2)</f>
        <v>#DIV/0!</v>
      </c>
      <c r="C2" s="2582"/>
      <c r="D2" s="1365" t="e">
        <f ca="1">SUMIF(INDIRECT("'"&amp;F2&amp;"'"&amp;"!A:A"),"承租人权益价值",INDIRECT("'"&amp;F2&amp;"'"&amp;"!c:c"))</f>
        <v>#REF!</v>
      </c>
      <c r="E2" s="2583" t="s">
        <v>2316</v>
      </c>
      <c r="F2" s="2584"/>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t="e">
        <f ca="1">IF(C2="——",C50,ROUND(B2*10000/D3,0))</f>
        <v>#DIV/0!</v>
      </c>
      <c r="C3" s="400" t="s">
        <v>2629</v>
      </c>
      <c r="D3" s="399">
        <f>IF(D1="",'数据-汇总表'!E3,SUMIF('数据-汇总表'!$C19:$C33,D1,'数据-汇总表'!$E19:$E33))</f>
        <v>53306.400000000001</v>
      </c>
      <c r="E3" s="265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2630</v>
      </c>
      <c r="B4" s="402"/>
      <c r="C4" s="3182" t="s">
        <v>2631</v>
      </c>
      <c r="D4" s="3183"/>
      <c r="E4" s="3184" t="s">
        <v>2632</v>
      </c>
      <c r="F4" s="3185"/>
      <c r="G4" s="3182" t="s">
        <v>2633</v>
      </c>
      <c r="H4" s="3183"/>
      <c r="I4" s="3182" t="s">
        <v>2634</v>
      </c>
      <c r="J4" s="3183"/>
      <c r="K4" s="610" t="s">
        <v>2635</v>
      </c>
      <c r="L4" s="1130"/>
      <c r="M4" s="1131"/>
      <c r="N4" s="1131"/>
      <c r="O4" s="1131"/>
      <c r="P4" s="3253" t="s">
        <v>2636</v>
      </c>
      <c r="Q4" s="3254"/>
      <c r="R4" s="3248" t="s">
        <v>2632</v>
      </c>
      <c r="S4" s="3249"/>
      <c r="T4" s="3248" t="s">
        <v>2633</v>
      </c>
      <c r="U4" s="3249"/>
      <c r="V4" s="3257" t="s">
        <v>2634</v>
      </c>
      <c r="W4" s="3257"/>
      <c r="X4" s="2664"/>
      <c r="Y4" s="3248" t="s">
        <v>2636</v>
      </c>
      <c r="Z4" s="3249"/>
      <c r="AA4" s="3247" t="s">
        <v>2632</v>
      </c>
      <c r="AB4" s="3247" t="s">
        <v>2633</v>
      </c>
      <c r="AC4" s="3250" t="s">
        <v>2634</v>
      </c>
    </row>
    <row r="5" spans="1:29" ht="15">
      <c r="A5" s="404"/>
      <c r="B5" s="405"/>
      <c r="C5" s="3175" t="s">
        <v>2527</v>
      </c>
      <c r="D5" s="3176"/>
      <c r="E5" s="3173" t="s">
        <v>2528</v>
      </c>
      <c r="F5" s="3174"/>
      <c r="G5" s="3175" t="s">
        <v>2529</v>
      </c>
      <c r="H5" s="3176"/>
      <c r="I5" s="3175" t="s">
        <v>2530</v>
      </c>
      <c r="J5" s="3176"/>
      <c r="K5" s="610"/>
      <c r="L5" s="1130"/>
      <c r="M5" s="1131"/>
      <c r="N5" s="1131"/>
      <c r="O5" s="1131"/>
      <c r="P5" s="3255"/>
      <c r="Q5" s="3189"/>
      <c r="R5" s="3171"/>
      <c r="S5" s="3172"/>
      <c r="T5" s="3171"/>
      <c r="U5" s="3172"/>
      <c r="V5" s="3194"/>
      <c r="W5" s="3194"/>
      <c r="X5" s="1812"/>
      <c r="Y5" s="3171"/>
      <c r="Z5" s="3172"/>
      <c r="AA5" s="3165"/>
      <c r="AB5" s="3165"/>
      <c r="AC5" s="3251"/>
    </row>
    <row r="6" spans="1:29" ht="15.75" thickBot="1">
      <c r="A6" s="406"/>
      <c r="B6" s="407"/>
      <c r="C6" s="3177" t="s">
        <v>2531</v>
      </c>
      <c r="D6" s="3178"/>
      <c r="E6" s="3179" t="s">
        <v>2531</v>
      </c>
      <c r="F6" s="3180"/>
      <c r="G6" s="3177" t="s">
        <v>2531</v>
      </c>
      <c r="H6" s="3178"/>
      <c r="I6" s="3177" t="s">
        <v>2531</v>
      </c>
      <c r="J6" s="3178"/>
      <c r="K6" s="610" t="s">
        <v>2532</v>
      </c>
      <c r="L6" s="1130"/>
      <c r="M6" s="1131"/>
      <c r="N6" s="1131"/>
      <c r="O6" s="1131"/>
      <c r="P6" s="3256"/>
      <c r="Q6" s="3191"/>
      <c r="R6" s="3171"/>
      <c r="S6" s="3172"/>
      <c r="T6" s="3192"/>
      <c r="U6" s="3193"/>
      <c r="V6" s="3194"/>
      <c r="W6" s="3194"/>
      <c r="X6" s="1812"/>
      <c r="Y6" s="3192"/>
      <c r="Z6" s="3193"/>
      <c r="AA6" s="3166"/>
      <c r="AB6" s="3166"/>
      <c r="AC6" s="3252"/>
    </row>
    <row r="7" spans="1:29" s="117" customFormat="1" ht="15.75" thickBot="1">
      <c r="A7" s="408" t="s">
        <v>2533</v>
      </c>
      <c r="B7" s="409"/>
      <c r="C7" s="410">
        <f>'数据-取费表'!B2</f>
        <v>44018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8" t="s">
        <v>2534</v>
      </c>
      <c r="Q7" s="3195"/>
      <c r="R7" s="770" t="s">
        <v>17</v>
      </c>
      <c r="S7" s="771">
        <f t="shared" ref="S7:S15" si="0">F7</f>
        <v>0</v>
      </c>
      <c r="T7" s="770" t="s">
        <v>17</v>
      </c>
      <c r="U7" s="771">
        <f t="shared" ref="U7:U15" si="1">H7</f>
        <v>0</v>
      </c>
      <c r="V7" s="770" t="s">
        <v>17</v>
      </c>
      <c r="W7" s="771">
        <f t="shared" ref="W7:W15" si="2">J7</f>
        <v>0</v>
      </c>
      <c r="X7" s="772"/>
      <c r="Y7" s="3167" t="s">
        <v>2534</v>
      </c>
      <c r="Z7" s="3168"/>
      <c r="AA7" s="773" t="e">
        <f>D7/F7</f>
        <v>#DIV/0!</v>
      </c>
      <c r="AB7" s="773" t="e">
        <f>D7/H7</f>
        <v>#DIV/0!</v>
      </c>
      <c r="AC7" s="2665" t="e">
        <f>D7/J7</f>
        <v>#DIV/0!</v>
      </c>
    </row>
    <row r="8" spans="1:29" s="117" customFormat="1" ht="15.75" thickBot="1">
      <c r="A8" s="408" t="s">
        <v>2535</v>
      </c>
      <c r="B8" s="409"/>
      <c r="C8" s="414" t="s">
        <v>2637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8" t="s">
        <v>2537</v>
      </c>
      <c r="Q8" s="3168"/>
      <c r="R8" s="770" t="s">
        <v>17</v>
      </c>
      <c r="S8" s="771">
        <f t="shared" si="0"/>
        <v>0</v>
      </c>
      <c r="T8" s="770" t="s">
        <v>17</v>
      </c>
      <c r="U8" s="771">
        <f t="shared" si="1"/>
        <v>0</v>
      </c>
      <c r="V8" s="770" t="s">
        <v>17</v>
      </c>
      <c r="W8" s="771">
        <f t="shared" si="2"/>
        <v>0</v>
      </c>
      <c r="X8" s="772"/>
      <c r="Y8" s="3167" t="s">
        <v>2537</v>
      </c>
      <c r="Z8" s="3168"/>
      <c r="AA8" s="773" t="e">
        <f t="shared" ref="AA8:AA47" si="3">D8/F8</f>
        <v>#DIV/0!</v>
      </c>
      <c r="AB8" s="773" t="e">
        <f t="shared" ref="AB8:AB47" si="4">D8/H8</f>
        <v>#DIV/0!</v>
      </c>
      <c r="AC8" s="2665" t="e">
        <f t="shared" ref="AC8:AC47" si="5">D8/J8</f>
        <v>#DIV/0!</v>
      </c>
    </row>
    <row r="9" spans="1:29" s="117" customFormat="1">
      <c r="A9" s="415" t="s">
        <v>2538</v>
      </c>
      <c r="B9" s="71" t="s">
        <v>2539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5" t="s">
        <v>2540</v>
      </c>
      <c r="Q9" s="1794" t="str">
        <f t="shared" ref="Q9:Q15" si="6">B9</f>
        <v>用途</v>
      </c>
      <c r="R9" s="770" t="s">
        <v>17</v>
      </c>
      <c r="S9" s="771">
        <f t="shared" si="0"/>
        <v>100</v>
      </c>
      <c r="T9" s="770" t="s">
        <v>17</v>
      </c>
      <c r="U9" s="771">
        <f t="shared" si="1"/>
        <v>100</v>
      </c>
      <c r="V9" s="770" t="s">
        <v>17</v>
      </c>
      <c r="W9" s="771">
        <f t="shared" si="2"/>
        <v>100</v>
      </c>
      <c r="X9" s="772"/>
      <c r="Y9" s="3044" t="s">
        <v>2541</v>
      </c>
      <c r="Z9" s="55" t="str">
        <f t="shared" ref="Z9:Z15" si="7">Q9</f>
        <v>用途</v>
      </c>
      <c r="AA9" s="773">
        <f t="shared" si="3"/>
        <v>1</v>
      </c>
      <c r="AB9" s="773">
        <f t="shared" si="4"/>
        <v>1</v>
      </c>
      <c r="AC9" s="2665">
        <f t="shared" si="5"/>
        <v>1</v>
      </c>
    </row>
    <row r="10" spans="1:29" s="427" customFormat="1" ht="27">
      <c r="A10" s="421"/>
      <c r="B10" s="422" t="s">
        <v>2542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5"/>
      <c r="Q10" s="1794"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2665">
        <f t="shared" si="5"/>
        <v>1</v>
      </c>
    </row>
    <row r="11" spans="1:29" ht="15">
      <c r="A11" s="428"/>
      <c r="B11" s="422" t="s">
        <v>2543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05"/>
      <c r="Q11" s="1794"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2665" t="e">
        <f t="shared" si="5"/>
        <v>#N/A</v>
      </c>
    </row>
    <row r="12" spans="1:29" s="117" customFormat="1" ht="15">
      <c r="A12" s="431"/>
      <c r="B12" s="2596">
        <v>111</v>
      </c>
      <c r="C12" s="432"/>
      <c r="D12" s="433">
        <v>100</v>
      </c>
      <c r="E12" s="432"/>
      <c r="F12" s="136">
        <f>SUMIF(71:71,E12,72:72)-SUMIF(71:71,C12,72:72)+100</f>
        <v>100</v>
      </c>
      <c r="G12" s="2666"/>
      <c r="H12" s="136">
        <f>SUMIF(71:71,G12,72:72)-SUMIF(71:71,C12,72:72)+100</f>
        <v>100</v>
      </c>
      <c r="I12" s="432"/>
      <c r="J12" s="136">
        <f>SUMIF(71:71,I12,72:72)-SUMIF(71:71,C12,72:72)+100</f>
        <v>100</v>
      </c>
      <c r="K12" s="613"/>
      <c r="L12" s="1132"/>
      <c r="M12" s="1133"/>
      <c r="N12" s="1133"/>
      <c r="O12" s="1133"/>
      <c r="P12" s="3205"/>
      <c r="Q12" s="1794">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2665">
        <f>D12/J12</f>
        <v>1</v>
      </c>
    </row>
    <row r="13" spans="1:29" ht="15">
      <c r="A13" s="428"/>
      <c r="B13" s="2596">
        <v>111</v>
      </c>
      <c r="C13" s="434"/>
      <c r="D13" s="435">
        <v>100</v>
      </c>
      <c r="E13" s="432"/>
      <c r="F13" s="136">
        <f>SUMIF(73:73,E13,74:74)-SUMIF(73:73,C13,74:74)+100</f>
        <v>100</v>
      </c>
      <c r="G13" s="2666"/>
      <c r="H13" s="435">
        <f>SUMIF(73:73,G13,74:74)-SUMIF(73:73,C13,74:74)+100</f>
        <v>100</v>
      </c>
      <c r="I13" s="432"/>
      <c r="J13" s="435">
        <f>SUMIF(73:73,I13,74:74)-SUMIF(73:73,C13,74:74)+100</f>
        <v>100</v>
      </c>
      <c r="K13" s="613"/>
      <c r="L13" s="1140"/>
      <c r="M13" s="1131"/>
      <c r="N13" s="1131"/>
      <c r="O13" s="1131"/>
      <c r="P13" s="3205"/>
      <c r="Q13" s="1794">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2665">
        <f t="shared" si="5"/>
        <v>1</v>
      </c>
    </row>
    <row r="14" spans="1:29" ht="15.75" thickBot="1">
      <c r="A14" s="436"/>
      <c r="B14" s="2598">
        <v>111</v>
      </c>
      <c r="C14" s="437"/>
      <c r="D14" s="438">
        <v>100</v>
      </c>
      <c r="E14" s="628"/>
      <c r="F14" s="438">
        <f>SUMIF(75:75,E14,76:76)-SUMIF(75:75,C14,76:76)+100</f>
        <v>100</v>
      </c>
      <c r="G14" s="2666"/>
      <c r="H14" s="438">
        <f>SUMIF(75:75,G14,76:76)-SUMIF(75:75,C14,76:76)+100</f>
        <v>100</v>
      </c>
      <c r="I14" s="432"/>
      <c r="J14" s="438">
        <f>SUMIF(75:75,I14,76:76)-SUMIF(75:75,C14,76:76)+100</f>
        <v>100</v>
      </c>
      <c r="K14" s="613"/>
      <c r="L14" s="1140"/>
      <c r="M14" s="1131"/>
      <c r="N14" s="1131"/>
      <c r="O14" s="1131"/>
      <c r="P14" s="3205"/>
      <c r="Q14" s="1794">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2665">
        <f t="shared" si="5"/>
        <v>1</v>
      </c>
    </row>
    <row r="15" spans="1:29" ht="15">
      <c r="A15" s="440" t="s">
        <v>2544</v>
      </c>
      <c r="B15" s="629" t="s">
        <v>2672</v>
      </c>
      <c r="C15" s="2667" t="str">
        <f>估价对象房地状况!C5</f>
        <v>一般</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5" t="s">
        <v>2545</v>
      </c>
      <c r="Q15" s="1809" t="str">
        <f t="shared" si="6"/>
        <v>办公集聚程度</v>
      </c>
      <c r="R15" s="774" t="s">
        <v>17</v>
      </c>
      <c r="S15" s="775">
        <f t="shared" si="0"/>
        <v>100</v>
      </c>
      <c r="T15" s="774" t="s">
        <v>17</v>
      </c>
      <c r="U15" s="775">
        <f t="shared" si="1"/>
        <v>100</v>
      </c>
      <c r="V15" s="774" t="s">
        <v>17</v>
      </c>
      <c r="W15" s="775">
        <f t="shared" si="2"/>
        <v>100</v>
      </c>
      <c r="X15" s="1812"/>
      <c r="Y15" s="3196" t="s">
        <v>2545</v>
      </c>
      <c r="Z15" s="1813" t="str">
        <f t="shared" si="7"/>
        <v>办公集聚程度</v>
      </c>
      <c r="AA15" s="1810">
        <f t="shared" si="3"/>
        <v>1</v>
      </c>
      <c r="AB15" s="1810">
        <f t="shared" si="4"/>
        <v>1</v>
      </c>
      <c r="AC15" s="2668">
        <f t="shared" si="5"/>
        <v>1</v>
      </c>
    </row>
    <row r="16" spans="1:29" ht="15">
      <c r="A16" s="428"/>
      <c r="B16" s="630"/>
      <c r="C16" s="2607"/>
      <c r="D16" s="448"/>
      <c r="E16" s="447"/>
      <c r="F16" s="448"/>
      <c r="G16" s="2607"/>
      <c r="H16" s="450"/>
      <c r="I16" s="447"/>
      <c r="J16" s="448"/>
      <c r="K16" s="615"/>
      <c r="L16" s="1140"/>
      <c r="M16" s="1131"/>
      <c r="N16" s="1131"/>
      <c r="O16" s="1131"/>
      <c r="P16" s="3246"/>
      <c r="Q16" s="1809"/>
      <c r="R16" s="774"/>
      <c r="S16" s="775"/>
      <c r="T16" s="774"/>
      <c r="U16" s="775"/>
      <c r="V16" s="774"/>
      <c r="W16" s="775"/>
      <c r="X16" s="1812"/>
      <c r="Y16" s="3197"/>
      <c r="Z16" s="1813"/>
      <c r="AA16" s="1810">
        <v>1</v>
      </c>
      <c r="AB16" s="1810">
        <v>1</v>
      </c>
      <c r="AC16" s="2668">
        <v>1</v>
      </c>
    </row>
    <row r="17" spans="1:29" ht="15">
      <c r="A17" s="428"/>
      <c r="B17" s="631" t="s">
        <v>2085</v>
      </c>
      <c r="C17" s="2669"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6"/>
      <c r="Q17" s="1809" t="str">
        <f>B17</f>
        <v>交通便捷度</v>
      </c>
      <c r="R17" s="774" t="s">
        <v>17</v>
      </c>
      <c r="S17" s="775">
        <f>F17</f>
        <v>100</v>
      </c>
      <c r="T17" s="774" t="s">
        <v>17</v>
      </c>
      <c r="U17" s="775">
        <f>H17</f>
        <v>100</v>
      </c>
      <c r="V17" s="774" t="s">
        <v>17</v>
      </c>
      <c r="W17" s="775">
        <f>J17</f>
        <v>100</v>
      </c>
      <c r="X17" s="1812"/>
      <c r="Y17" s="3197"/>
      <c r="Z17" s="1813" t="str">
        <f>Q17</f>
        <v>交通便捷度</v>
      </c>
      <c r="AA17" s="1810">
        <f t="shared" si="3"/>
        <v>1</v>
      </c>
      <c r="AB17" s="1810">
        <f t="shared" si="4"/>
        <v>1</v>
      </c>
      <c r="AC17" s="2668">
        <f t="shared" si="5"/>
        <v>1</v>
      </c>
    </row>
    <row r="18" spans="1:29" ht="15">
      <c r="A18" s="428"/>
      <c r="B18" s="632"/>
      <c r="C18" s="2670"/>
      <c r="D18" s="450"/>
      <c r="E18" s="2605"/>
      <c r="F18" s="450"/>
      <c r="G18" s="2606"/>
      <c r="H18" s="448"/>
      <c r="I18" s="2606"/>
      <c r="J18" s="448"/>
      <c r="K18" s="615"/>
      <c r="L18" s="1140"/>
      <c r="M18" s="1131"/>
      <c r="N18" s="1131"/>
      <c r="O18" s="1131"/>
      <c r="P18" s="3246"/>
      <c r="Q18" s="1809"/>
      <c r="R18" s="774"/>
      <c r="S18" s="775"/>
      <c r="T18" s="774"/>
      <c r="U18" s="775"/>
      <c r="V18" s="774"/>
      <c r="W18" s="775"/>
      <c r="X18" s="1812"/>
      <c r="Y18" s="3197"/>
      <c r="Z18" s="1813"/>
      <c r="AA18" s="1810">
        <v>1</v>
      </c>
      <c r="AB18" s="1810">
        <v>1</v>
      </c>
      <c r="AC18" s="2668">
        <v>1</v>
      </c>
    </row>
    <row r="19" spans="1:29" ht="15">
      <c r="A19" s="428"/>
      <c r="B19" s="631" t="s">
        <v>2673</v>
      </c>
      <c r="C19" s="2669"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6"/>
      <c r="Q19" s="1809" t="str">
        <f>B19</f>
        <v>公共配套设施</v>
      </c>
      <c r="R19" s="774" t="s">
        <v>17</v>
      </c>
      <c r="S19" s="775">
        <f>F19</f>
        <v>100</v>
      </c>
      <c r="T19" s="774" t="s">
        <v>17</v>
      </c>
      <c r="U19" s="775">
        <f>H19</f>
        <v>100</v>
      </c>
      <c r="V19" s="774" t="s">
        <v>17</v>
      </c>
      <c r="W19" s="775">
        <f>J19</f>
        <v>100</v>
      </c>
      <c r="X19" s="1812"/>
      <c r="Y19" s="3197"/>
      <c r="Z19" s="1813" t="str">
        <f>Q19</f>
        <v>公共配套设施</v>
      </c>
      <c r="AA19" s="1810">
        <f t="shared" si="3"/>
        <v>1</v>
      </c>
      <c r="AB19" s="1810">
        <f t="shared" si="4"/>
        <v>1</v>
      </c>
      <c r="AC19" s="2668">
        <f t="shared" si="5"/>
        <v>1</v>
      </c>
    </row>
    <row r="20" spans="1:29" ht="15">
      <c r="A20" s="428"/>
      <c r="B20" s="632"/>
      <c r="C20" s="2607"/>
      <c r="D20" s="448"/>
      <c r="E20" s="2600"/>
      <c r="F20" s="448"/>
      <c r="G20" s="2601"/>
      <c r="H20" s="448"/>
      <c r="I20" s="2601"/>
      <c r="J20" s="448"/>
      <c r="K20" s="615"/>
      <c r="L20" s="1140"/>
      <c r="M20" s="1131"/>
      <c r="N20" s="1131"/>
      <c r="O20" s="1131"/>
      <c r="P20" s="3246"/>
      <c r="Q20" s="1809"/>
      <c r="R20" s="774"/>
      <c r="S20" s="775"/>
      <c r="T20" s="774"/>
      <c r="U20" s="775"/>
      <c r="V20" s="774"/>
      <c r="W20" s="775"/>
      <c r="X20" s="1812"/>
      <c r="Y20" s="3197"/>
      <c r="Z20" s="1813"/>
      <c r="AA20" s="1810">
        <v>1</v>
      </c>
      <c r="AB20" s="1810">
        <v>1</v>
      </c>
      <c r="AC20" s="2668">
        <v>1</v>
      </c>
    </row>
    <row r="21" spans="1:29" ht="15">
      <c r="A21" s="428"/>
      <c r="B21" s="633" t="s">
        <v>2674</v>
      </c>
      <c r="C21" s="2669"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6"/>
      <c r="Q21" s="1809" t="str">
        <f>B21</f>
        <v>基础设施水平</v>
      </c>
      <c r="R21" s="774" t="s">
        <v>17</v>
      </c>
      <c r="S21" s="775">
        <f>F21</f>
        <v>100</v>
      </c>
      <c r="T21" s="774" t="s">
        <v>17</v>
      </c>
      <c r="U21" s="775">
        <f>H21</f>
        <v>100</v>
      </c>
      <c r="V21" s="774" t="s">
        <v>17</v>
      </c>
      <c r="W21" s="775">
        <f>J21</f>
        <v>100</v>
      </c>
      <c r="X21" s="1812"/>
      <c r="Y21" s="3197"/>
      <c r="Z21" s="1813" t="str">
        <f>Q21</f>
        <v>基础设施水平</v>
      </c>
      <c r="AA21" s="1810">
        <f t="shared" ref="AA21" si="8">D21/F21</f>
        <v>1</v>
      </c>
      <c r="AB21" s="1810">
        <f t="shared" ref="AB21" si="9">D21/H21</f>
        <v>1</v>
      </c>
      <c r="AC21" s="2668">
        <f t="shared" ref="AC21" si="10">D21/J21</f>
        <v>1</v>
      </c>
    </row>
    <row r="22" spans="1:29" ht="15">
      <c r="A22" s="428"/>
      <c r="B22" s="633"/>
      <c r="C22" s="2670"/>
      <c r="D22" s="448"/>
      <c r="E22" s="447"/>
      <c r="F22" s="448"/>
      <c r="G22" s="2607"/>
      <c r="H22" s="448"/>
      <c r="I22" s="2607"/>
      <c r="J22" s="448"/>
      <c r="K22" s="1383"/>
      <c r="L22" s="1140"/>
      <c r="M22" s="1131"/>
      <c r="N22" s="1131"/>
      <c r="O22" s="1131"/>
      <c r="P22" s="3246"/>
      <c r="Q22" s="1809"/>
      <c r="R22" s="774"/>
      <c r="S22" s="775"/>
      <c r="T22" s="774"/>
      <c r="U22" s="775"/>
      <c r="V22" s="774"/>
      <c r="W22" s="775"/>
      <c r="X22" s="1812"/>
      <c r="Y22" s="3197"/>
      <c r="Z22" s="1813"/>
      <c r="AA22" s="1810">
        <v>1</v>
      </c>
      <c r="AB22" s="1810">
        <v>1</v>
      </c>
      <c r="AC22" s="2668">
        <v>1</v>
      </c>
    </row>
    <row r="23" spans="1:29" ht="15">
      <c r="A23" s="428"/>
      <c r="B23" s="631" t="s">
        <v>2675</v>
      </c>
      <c r="C23" s="2669"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6"/>
      <c r="Q23" s="1809" t="str">
        <f>B23</f>
        <v>环境质量</v>
      </c>
      <c r="R23" s="774" t="s">
        <v>17</v>
      </c>
      <c r="S23" s="775">
        <f>F23</f>
        <v>100</v>
      </c>
      <c r="T23" s="774" t="s">
        <v>17</v>
      </c>
      <c r="U23" s="775">
        <f>H23</f>
        <v>100</v>
      </c>
      <c r="V23" s="774" t="s">
        <v>17</v>
      </c>
      <c r="W23" s="775">
        <f>J23</f>
        <v>100</v>
      </c>
      <c r="X23" s="1812"/>
      <c r="Y23" s="3197"/>
      <c r="Z23" s="1813" t="str">
        <f>Q23</f>
        <v>环境质量</v>
      </c>
      <c r="AA23" s="1810">
        <f t="shared" si="3"/>
        <v>1</v>
      </c>
      <c r="AB23" s="1810">
        <f t="shared" si="4"/>
        <v>1</v>
      </c>
      <c r="AC23" s="2668">
        <f t="shared" si="5"/>
        <v>1</v>
      </c>
    </row>
    <row r="24" spans="1:29" ht="15">
      <c r="A24" s="428"/>
      <c r="B24" s="633"/>
      <c r="C24" s="2607"/>
      <c r="D24" s="448"/>
      <c r="E24" s="2600"/>
      <c r="F24" s="448"/>
      <c r="G24" s="2601"/>
      <c r="H24" s="448"/>
      <c r="I24" s="2601"/>
      <c r="J24" s="448"/>
      <c r="K24" s="615"/>
      <c r="L24" s="1140"/>
      <c r="M24" s="1131"/>
      <c r="N24" s="1131"/>
      <c r="O24" s="1131"/>
      <c r="P24" s="3246"/>
      <c r="Q24" s="1809"/>
      <c r="R24" s="774"/>
      <c r="S24" s="775"/>
      <c r="T24" s="774"/>
      <c r="U24" s="775"/>
      <c r="V24" s="774"/>
      <c r="W24" s="775"/>
      <c r="X24" s="1812"/>
      <c r="Y24" s="3197"/>
      <c r="Z24" s="1813"/>
      <c r="AA24" s="1810">
        <v>1</v>
      </c>
      <c r="AB24" s="1810">
        <v>1</v>
      </c>
      <c r="AC24" s="2668">
        <v>1</v>
      </c>
    </row>
    <row r="25" spans="1:29" ht="27">
      <c r="A25" s="404"/>
      <c r="B25" s="631" t="s">
        <v>2676</v>
      </c>
      <c r="C25" s="2611"/>
      <c r="D25" s="435">
        <v>100</v>
      </c>
      <c r="E25" s="434"/>
      <c r="F25" s="435">
        <f>SUMIF(87:87,E26,88:88)-SUMIF(87:87,C26,88:88)+100</f>
        <v>100</v>
      </c>
      <c r="G25" s="2611"/>
      <c r="H25" s="435">
        <f>SUMIF(87:87,G26,88:88)-SUMIF(87:87,C26,88:88)+100</f>
        <v>100</v>
      </c>
      <c r="I25" s="434"/>
      <c r="J25" s="435">
        <f>SUMIF(87:87,I26,88:88)-SUMIF(87:87,C26,88:88)+100</f>
        <v>100</v>
      </c>
      <c r="K25" s="614"/>
      <c r="L25" s="1140"/>
      <c r="M25" s="1131"/>
      <c r="N25" s="1131"/>
      <c r="O25" s="1131"/>
      <c r="P25" s="3246"/>
      <c r="Q25" s="1809" t="str">
        <f>B25</f>
        <v>毗邻道路的类型与等级</v>
      </c>
      <c r="R25" s="774" t="s">
        <v>17</v>
      </c>
      <c r="S25" s="775">
        <f>F25</f>
        <v>100</v>
      </c>
      <c r="T25" s="774" t="s">
        <v>17</v>
      </c>
      <c r="U25" s="775">
        <f>H25</f>
        <v>100</v>
      </c>
      <c r="V25" s="774" t="s">
        <v>17</v>
      </c>
      <c r="W25" s="775">
        <f>J25</f>
        <v>100</v>
      </c>
      <c r="X25" s="1812"/>
      <c r="Y25" s="3197"/>
      <c r="Z25" s="1813" t="str">
        <f>Q25</f>
        <v>毗邻道路的类型与等级</v>
      </c>
      <c r="AA25" s="1810">
        <f t="shared" si="3"/>
        <v>1</v>
      </c>
      <c r="AB25" s="1810">
        <f t="shared" si="4"/>
        <v>1</v>
      </c>
      <c r="AC25" s="2668">
        <f t="shared" si="5"/>
        <v>1</v>
      </c>
    </row>
    <row r="26" spans="1:29" ht="15">
      <c r="A26" s="404"/>
      <c r="B26" s="632"/>
      <c r="C26" s="634"/>
      <c r="D26" s="435"/>
      <c r="E26" s="616"/>
      <c r="F26" s="435"/>
      <c r="G26" s="634"/>
      <c r="H26" s="435"/>
      <c r="I26" s="616"/>
      <c r="J26" s="435"/>
      <c r="K26" s="615"/>
      <c r="L26" s="1140"/>
      <c r="M26" s="1131"/>
      <c r="N26" s="1131"/>
      <c r="O26" s="1131"/>
      <c r="P26" s="3246"/>
      <c r="Q26" s="1809"/>
      <c r="R26" s="774"/>
      <c r="S26" s="775"/>
      <c r="T26" s="774"/>
      <c r="U26" s="775"/>
      <c r="V26" s="774"/>
      <c r="W26" s="775"/>
      <c r="X26" s="1812"/>
      <c r="Y26" s="3197"/>
      <c r="Z26" s="1813"/>
      <c r="AA26" s="1810">
        <v>1</v>
      </c>
      <c r="AB26" s="1810">
        <v>1</v>
      </c>
      <c r="AC26" s="2668">
        <v>1</v>
      </c>
    </row>
    <row r="27" spans="1:29" ht="15">
      <c r="A27" s="428"/>
      <c r="B27" s="632" t="s">
        <v>2644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6"/>
      <c r="Q27" s="1809" t="str">
        <f t="shared" ref="Q27:Q47" si="11">B27</f>
        <v>楼层</v>
      </c>
      <c r="R27" s="774" t="s">
        <v>17</v>
      </c>
      <c r="S27" s="775">
        <f>F27</f>
        <v>100</v>
      </c>
      <c r="T27" s="774" t="s">
        <v>17</v>
      </c>
      <c r="U27" s="775">
        <f>H27</f>
        <v>100</v>
      </c>
      <c r="V27" s="774" t="s">
        <v>17</v>
      </c>
      <c r="W27" s="775">
        <f>J27</f>
        <v>100</v>
      </c>
      <c r="X27" s="1812"/>
      <c r="Y27" s="3197"/>
      <c r="Z27" s="1813" t="str">
        <f>Q27</f>
        <v>楼层</v>
      </c>
      <c r="AA27" s="1810">
        <f t="shared" si="3"/>
        <v>1</v>
      </c>
      <c r="AB27" s="1810">
        <f t="shared" si="4"/>
        <v>1</v>
      </c>
      <c r="AC27" s="2668">
        <f t="shared" si="5"/>
        <v>1</v>
      </c>
    </row>
    <row r="28" spans="1:29" s="117" customFormat="1" ht="15">
      <c r="A28" s="431"/>
      <c r="B28" s="631" t="s">
        <v>2677</v>
      </c>
      <c r="C28" s="2671"/>
      <c r="D28" s="462">
        <v>100</v>
      </c>
      <c r="E28" s="2659"/>
      <c r="F28" s="462">
        <f>SUMIF(91:91,E28,92:92)-SUMIF(91:91,C28,92:92)+100</f>
        <v>100</v>
      </c>
      <c r="G28" s="2671"/>
      <c r="H28" s="462">
        <f>SUMIF(91:91,G28,92:92)-SUMIF(91:91,C28,92:92)+100</f>
        <v>100</v>
      </c>
      <c r="I28" s="2659"/>
      <c r="J28" s="462">
        <f>SUMIF(91:91,I28,92:92)-SUMIF(91:91,C28,92:92)+100</f>
        <v>100</v>
      </c>
      <c r="K28" s="612"/>
      <c r="L28" s="1132"/>
      <c r="M28" s="1133"/>
      <c r="N28" s="1133"/>
      <c r="O28" s="1133"/>
      <c r="P28" s="3246"/>
      <c r="Q28" s="1794" t="str">
        <f t="shared" si="11"/>
        <v>朝向</v>
      </c>
      <c r="R28" s="770" t="s">
        <v>17</v>
      </c>
      <c r="S28" s="771">
        <f>F28</f>
        <v>100</v>
      </c>
      <c r="T28" s="770" t="s">
        <v>17</v>
      </c>
      <c r="U28" s="771">
        <f>H28</f>
        <v>100</v>
      </c>
      <c r="V28" s="770" t="s">
        <v>17</v>
      </c>
      <c r="W28" s="771">
        <f>J28</f>
        <v>100</v>
      </c>
      <c r="X28" s="772"/>
      <c r="Y28" s="3197"/>
      <c r="Z28" s="55" t="str">
        <f>Q28</f>
        <v>朝向</v>
      </c>
      <c r="AA28" s="1810">
        <f>D28/F28</f>
        <v>1</v>
      </c>
      <c r="AB28" s="1810">
        <f>D28/H28</f>
        <v>1</v>
      </c>
      <c r="AC28" s="2668">
        <f>D28/J28</f>
        <v>1</v>
      </c>
    </row>
    <row r="29" spans="1:29" ht="15">
      <c r="A29" s="428"/>
      <c r="B29" s="2672">
        <v>111</v>
      </c>
      <c r="C29" s="2611"/>
      <c r="D29" s="435">
        <v>100</v>
      </c>
      <c r="E29" s="432"/>
      <c r="F29" s="435">
        <f>SUMIF(93:93,E29,94:94)-SUMIF(93:93,C29,94:94)+100</f>
        <v>100</v>
      </c>
      <c r="G29" s="2666"/>
      <c r="H29" s="435">
        <f>SUMIF(93:93,G29,94:94)-SUMIF(93:93,C29,94:94)+100</f>
        <v>100</v>
      </c>
      <c r="I29" s="432"/>
      <c r="J29" s="435">
        <f>SUMIF(93:93,I29,94:94)-SUMIF(93:93,C29,94:94)+100</f>
        <v>100</v>
      </c>
      <c r="K29" s="613"/>
      <c r="L29" s="1140"/>
      <c r="M29" s="1131"/>
      <c r="N29" s="1131"/>
      <c r="O29" s="1131"/>
      <c r="P29" s="3246"/>
      <c r="Q29" s="1809">
        <f t="shared" si="11"/>
        <v>111</v>
      </c>
      <c r="R29" s="774" t="s">
        <v>17</v>
      </c>
      <c r="S29" s="775">
        <f t="shared" ref="S29:S47" si="12">F29</f>
        <v>100</v>
      </c>
      <c r="T29" s="774" t="s">
        <v>17</v>
      </c>
      <c r="U29" s="775">
        <f t="shared" ref="U29:U47" si="13">H29</f>
        <v>100</v>
      </c>
      <c r="V29" s="774" t="s">
        <v>17</v>
      </c>
      <c r="W29" s="775">
        <f t="shared" ref="W29:W47" si="14">J29</f>
        <v>100</v>
      </c>
      <c r="X29" s="1812"/>
      <c r="Y29" s="3197"/>
      <c r="Z29" s="1813">
        <f t="shared" ref="Z29:Z47" si="15">Q29</f>
        <v>111</v>
      </c>
      <c r="AA29" s="1810">
        <f t="shared" si="3"/>
        <v>1</v>
      </c>
      <c r="AB29" s="1810">
        <f t="shared" si="4"/>
        <v>1</v>
      </c>
      <c r="AC29" s="2668">
        <f t="shared" si="5"/>
        <v>1</v>
      </c>
    </row>
    <row r="30" spans="1:29" ht="15">
      <c r="A30" s="428"/>
      <c r="B30" s="2672">
        <v>111</v>
      </c>
      <c r="C30" s="2611"/>
      <c r="D30" s="435">
        <v>100</v>
      </c>
      <c r="E30" s="432"/>
      <c r="F30" s="435">
        <f>SUMIF(95:95,E30,96:96)-SUMIF(95:95,C30,96:96)+100</f>
        <v>100</v>
      </c>
      <c r="G30" s="2666"/>
      <c r="H30" s="435">
        <f>SUMIF(95:95,G30,96:96)-SUMIF(95:95,C30,96:96)+100</f>
        <v>100</v>
      </c>
      <c r="I30" s="432"/>
      <c r="J30" s="435">
        <f>SUMIF(95:95,I30,96:96)-SUMIF(95:95,C30,96:96)+100</f>
        <v>100</v>
      </c>
      <c r="K30" s="613"/>
      <c r="L30" s="1140"/>
      <c r="M30" s="1131"/>
      <c r="N30" s="1131"/>
      <c r="O30" s="1131"/>
      <c r="P30" s="3246"/>
      <c r="Q30" s="1809">
        <f t="shared" si="11"/>
        <v>111</v>
      </c>
      <c r="R30" s="774" t="s">
        <v>17</v>
      </c>
      <c r="S30" s="775">
        <f t="shared" si="12"/>
        <v>100</v>
      </c>
      <c r="T30" s="774" t="s">
        <v>17</v>
      </c>
      <c r="U30" s="775">
        <f t="shared" si="13"/>
        <v>100</v>
      </c>
      <c r="V30" s="774" t="s">
        <v>17</v>
      </c>
      <c r="W30" s="775">
        <f t="shared" si="14"/>
        <v>100</v>
      </c>
      <c r="X30" s="1812"/>
      <c r="Y30" s="3197"/>
      <c r="Z30" s="1813">
        <f t="shared" si="15"/>
        <v>111</v>
      </c>
      <c r="AA30" s="1810">
        <f t="shared" si="3"/>
        <v>1</v>
      </c>
      <c r="AB30" s="1810">
        <f t="shared" si="4"/>
        <v>1</v>
      </c>
      <c r="AC30" s="2668">
        <f t="shared" si="5"/>
        <v>1</v>
      </c>
    </row>
    <row r="31" spans="1:29" ht="15">
      <c r="A31" s="428"/>
      <c r="B31" s="2672">
        <v>111</v>
      </c>
      <c r="C31" s="2611"/>
      <c r="D31" s="435">
        <v>100</v>
      </c>
      <c r="E31" s="432"/>
      <c r="F31" s="435">
        <f>SUMIF(97:97,E31,98:98)-SUMIF(97:97,C31,98:98)+100</f>
        <v>100</v>
      </c>
      <c r="G31" s="2666"/>
      <c r="H31" s="435">
        <f>SUMIF(97:97,G31,98:98)-SUMIF(97:97,C31,98:98)+100</f>
        <v>100</v>
      </c>
      <c r="I31" s="432"/>
      <c r="J31" s="435">
        <f>SUMIF(97:97,I31,98:98)-SUMIF(97:97,C31,98:98)+100</f>
        <v>100</v>
      </c>
      <c r="K31" s="613"/>
      <c r="L31" s="1140"/>
      <c r="M31" s="1131"/>
      <c r="N31" s="1131"/>
      <c r="O31" s="1131"/>
      <c r="P31" s="3246"/>
      <c r="Q31" s="1809">
        <f t="shared" si="11"/>
        <v>111</v>
      </c>
      <c r="R31" s="774" t="s">
        <v>17</v>
      </c>
      <c r="S31" s="775">
        <f t="shared" si="12"/>
        <v>100</v>
      </c>
      <c r="T31" s="774" t="s">
        <v>17</v>
      </c>
      <c r="U31" s="775">
        <f t="shared" si="13"/>
        <v>100</v>
      </c>
      <c r="V31" s="774" t="s">
        <v>17</v>
      </c>
      <c r="W31" s="775">
        <f t="shared" si="14"/>
        <v>100</v>
      </c>
      <c r="X31" s="1812"/>
      <c r="Y31" s="3197"/>
      <c r="Z31" s="1813">
        <f t="shared" si="15"/>
        <v>111</v>
      </c>
      <c r="AA31" s="1810">
        <f t="shared" si="3"/>
        <v>1</v>
      </c>
      <c r="AB31" s="1810">
        <f t="shared" si="4"/>
        <v>1</v>
      </c>
      <c r="AC31" s="2668">
        <f t="shared" si="5"/>
        <v>1</v>
      </c>
    </row>
    <row r="32" spans="1:29" ht="15.75" thickBot="1">
      <c r="A32" s="436"/>
      <c r="B32" s="635">
        <v>111</v>
      </c>
      <c r="C32" s="2612"/>
      <c r="D32" s="438">
        <v>100</v>
      </c>
      <c r="E32" s="628"/>
      <c r="F32" s="438">
        <f>SUMIF(99:99,E32,100:100)-SUMIF(99:99,C32,100:100)+100</f>
        <v>100</v>
      </c>
      <c r="G32" s="2666"/>
      <c r="H32" s="438">
        <f>SUMIF(99:99,G32,100:100)-SUMIF(99:99,C32,100:100)+100</f>
        <v>100</v>
      </c>
      <c r="I32" s="432"/>
      <c r="J32" s="438">
        <f>SUMIF(99:99,I32,100:100)-SUMIF(99:99,C32,100:100)+100</f>
        <v>100</v>
      </c>
      <c r="K32" s="613"/>
      <c r="L32" s="1140"/>
      <c r="M32" s="1131"/>
      <c r="N32" s="1131"/>
      <c r="O32" s="1131"/>
      <c r="P32" s="3246"/>
      <c r="Q32" s="1809">
        <f t="shared" si="11"/>
        <v>111</v>
      </c>
      <c r="R32" s="774" t="s">
        <v>17</v>
      </c>
      <c r="S32" s="775">
        <f t="shared" si="12"/>
        <v>100</v>
      </c>
      <c r="T32" s="774" t="s">
        <v>17</v>
      </c>
      <c r="U32" s="775">
        <f t="shared" si="13"/>
        <v>100</v>
      </c>
      <c r="V32" s="774" t="s">
        <v>17</v>
      </c>
      <c r="W32" s="775">
        <f t="shared" si="14"/>
        <v>100</v>
      </c>
      <c r="X32" s="1812"/>
      <c r="Y32" s="3197"/>
      <c r="Z32" s="1813">
        <f t="shared" si="15"/>
        <v>111</v>
      </c>
      <c r="AA32" s="1810">
        <f t="shared" si="3"/>
        <v>1</v>
      </c>
      <c r="AB32" s="1810">
        <f t="shared" si="4"/>
        <v>1</v>
      </c>
      <c r="AC32" s="2668">
        <f t="shared" si="5"/>
        <v>1</v>
      </c>
    </row>
    <row r="33" spans="1:29" ht="15">
      <c r="A33" s="440" t="s">
        <v>2548</v>
      </c>
      <c r="B33" s="71" t="s">
        <v>2678</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40"/>
      <c r="M33" s="1131"/>
      <c r="N33" s="1131"/>
      <c r="O33" s="1131"/>
      <c r="P33" s="3241" t="s">
        <v>2550</v>
      </c>
      <c r="Q33" s="1809" t="str">
        <f t="shared" si="11"/>
        <v>建筑类型</v>
      </c>
      <c r="R33" s="774" t="s">
        <v>17</v>
      </c>
      <c r="S33" s="775">
        <f t="shared" si="12"/>
        <v>100</v>
      </c>
      <c r="T33" s="774" t="s">
        <v>17</v>
      </c>
      <c r="U33" s="775">
        <f t="shared" si="13"/>
        <v>100</v>
      </c>
      <c r="V33" s="774" t="s">
        <v>17</v>
      </c>
      <c r="W33" s="775">
        <f t="shared" si="14"/>
        <v>100</v>
      </c>
      <c r="X33" s="1812"/>
      <c r="Y33" s="3199" t="s">
        <v>2550</v>
      </c>
      <c r="Z33" s="1813" t="str">
        <f t="shared" si="15"/>
        <v>建筑类型</v>
      </c>
      <c r="AA33" s="1810">
        <f t="shared" si="3"/>
        <v>1</v>
      </c>
      <c r="AB33" s="1810">
        <f t="shared" si="4"/>
        <v>1</v>
      </c>
      <c r="AC33" s="2668">
        <f t="shared" si="5"/>
        <v>1</v>
      </c>
    </row>
    <row r="34" spans="1:29" s="471" customFormat="1" ht="15">
      <c r="A34" s="468"/>
      <c r="B34" s="422" t="s">
        <v>2551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2"/>
      <c r="Q34" s="776" t="str">
        <f t="shared" si="11"/>
        <v>项目建筑规模</v>
      </c>
      <c r="R34" s="777" t="s">
        <v>17</v>
      </c>
      <c r="S34" s="778" t="e">
        <f t="shared" si="12"/>
        <v>#N/A</v>
      </c>
      <c r="T34" s="777" t="s">
        <v>17</v>
      </c>
      <c r="U34" s="778" t="e">
        <f t="shared" si="13"/>
        <v>#N/A</v>
      </c>
      <c r="V34" s="777" t="s">
        <v>17</v>
      </c>
      <c r="W34" s="778" t="e">
        <f t="shared" si="14"/>
        <v>#N/A</v>
      </c>
      <c r="X34" s="779"/>
      <c r="Y34" s="3199"/>
      <c r="Z34" s="780" t="str">
        <f t="shared" si="15"/>
        <v>项目建筑规模</v>
      </c>
      <c r="AA34" s="1810" t="e">
        <f t="shared" si="3"/>
        <v>#N/A</v>
      </c>
      <c r="AB34" s="1810" t="e">
        <f t="shared" si="4"/>
        <v>#N/A</v>
      </c>
      <c r="AC34" s="2668" t="e">
        <f t="shared" si="5"/>
        <v>#N/A</v>
      </c>
    </row>
    <row r="35" spans="1:29" ht="15">
      <c r="A35" s="472"/>
      <c r="B35" s="422" t="s">
        <v>2552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2"/>
      <c r="Q35" s="1809" t="str">
        <f t="shared" si="11"/>
        <v>建筑结构</v>
      </c>
      <c r="R35" s="774" t="s">
        <v>17</v>
      </c>
      <c r="S35" s="775">
        <f t="shared" si="12"/>
        <v>100</v>
      </c>
      <c r="T35" s="774" t="s">
        <v>17</v>
      </c>
      <c r="U35" s="775">
        <f t="shared" si="13"/>
        <v>100</v>
      </c>
      <c r="V35" s="774" t="s">
        <v>17</v>
      </c>
      <c r="W35" s="775">
        <f t="shared" si="14"/>
        <v>100</v>
      </c>
      <c r="X35" s="1812"/>
      <c r="Y35" s="3199"/>
      <c r="Z35" s="1813" t="str">
        <f t="shared" si="15"/>
        <v>建筑结构</v>
      </c>
      <c r="AA35" s="1810">
        <f t="shared" si="3"/>
        <v>1</v>
      </c>
      <c r="AB35" s="1810">
        <f t="shared" si="4"/>
        <v>1</v>
      </c>
      <c r="AC35" s="2668">
        <f t="shared" si="5"/>
        <v>1</v>
      </c>
    </row>
    <row r="36" spans="1:29" ht="15">
      <c r="A36" s="472"/>
      <c r="B36" s="422" t="s">
        <v>2646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2"/>
      <c r="Q36" s="1809" t="str">
        <f t="shared" si="11"/>
        <v>公共部分装修</v>
      </c>
      <c r="R36" s="774" t="s">
        <v>17</v>
      </c>
      <c r="S36" s="775">
        <f t="shared" si="12"/>
        <v>100</v>
      </c>
      <c r="T36" s="774" t="s">
        <v>17</v>
      </c>
      <c r="U36" s="775">
        <f t="shared" si="13"/>
        <v>100</v>
      </c>
      <c r="V36" s="774" t="s">
        <v>17</v>
      </c>
      <c r="W36" s="775">
        <f t="shared" si="14"/>
        <v>100</v>
      </c>
      <c r="X36" s="1812"/>
      <c r="Y36" s="3199"/>
      <c r="Z36" s="1813" t="str">
        <f t="shared" si="15"/>
        <v>公共部分装修</v>
      </c>
      <c r="AA36" s="1810">
        <f t="shared" si="3"/>
        <v>1</v>
      </c>
      <c r="AB36" s="1810">
        <f t="shared" si="4"/>
        <v>1</v>
      </c>
      <c r="AC36" s="2668">
        <f t="shared" si="5"/>
        <v>1</v>
      </c>
    </row>
    <row r="37" spans="1:29" ht="15">
      <c r="A37" s="472"/>
      <c r="B37" s="422" t="s">
        <v>2647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2"/>
      <c r="Q37" s="1809" t="str">
        <f t="shared" si="11"/>
        <v>成新度</v>
      </c>
      <c r="R37" s="774" t="s">
        <v>17</v>
      </c>
      <c r="S37" s="775" t="e">
        <f t="shared" si="12"/>
        <v>#N/A</v>
      </c>
      <c r="T37" s="774" t="s">
        <v>17</v>
      </c>
      <c r="U37" s="775" t="e">
        <f t="shared" si="13"/>
        <v>#N/A</v>
      </c>
      <c r="V37" s="774" t="s">
        <v>17</v>
      </c>
      <c r="W37" s="775" t="e">
        <f t="shared" si="14"/>
        <v>#N/A</v>
      </c>
      <c r="X37" s="1812"/>
      <c r="Y37" s="3199"/>
      <c r="Z37" s="1813" t="str">
        <f t="shared" si="15"/>
        <v>成新度</v>
      </c>
      <c r="AA37" s="1810" t="e">
        <f t="shared" si="3"/>
        <v>#N/A</v>
      </c>
      <c r="AB37" s="1810" t="e">
        <f t="shared" si="4"/>
        <v>#N/A</v>
      </c>
      <c r="AC37" s="2668" t="e">
        <f t="shared" si="5"/>
        <v>#N/A</v>
      </c>
    </row>
    <row r="38" spans="1:29" s="117" customFormat="1" ht="15">
      <c r="A38" s="473"/>
      <c r="B38" s="422" t="s">
        <v>2679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2"/>
      <c r="Q38" s="1794" t="str">
        <f t="shared" si="11"/>
        <v>写字楼等级</v>
      </c>
      <c r="R38" s="770" t="s">
        <v>17</v>
      </c>
      <c r="S38" s="771">
        <f t="shared" si="12"/>
        <v>100</v>
      </c>
      <c r="T38" s="770" t="s">
        <v>17</v>
      </c>
      <c r="U38" s="771">
        <f t="shared" si="13"/>
        <v>100</v>
      </c>
      <c r="V38" s="770" t="s">
        <v>17</v>
      </c>
      <c r="W38" s="771">
        <f t="shared" si="14"/>
        <v>100</v>
      </c>
      <c r="X38" s="772"/>
      <c r="Y38" s="3199"/>
      <c r="Z38" s="55" t="str">
        <f t="shared" si="15"/>
        <v>写字楼等级</v>
      </c>
      <c r="AA38" s="773">
        <f t="shared" si="3"/>
        <v>1</v>
      </c>
      <c r="AB38" s="773">
        <f t="shared" si="4"/>
        <v>1</v>
      </c>
      <c r="AC38" s="2665">
        <f t="shared" si="5"/>
        <v>1</v>
      </c>
    </row>
    <row r="39" spans="1:29" ht="15">
      <c r="A39" s="472"/>
      <c r="B39" s="422" t="s">
        <v>2680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2" t="s">
        <v>2550</v>
      </c>
      <c r="Q39" s="1809" t="str">
        <f t="shared" si="11"/>
        <v>物业管理</v>
      </c>
      <c r="R39" s="774" t="s">
        <v>17</v>
      </c>
      <c r="S39" s="775">
        <f t="shared" si="12"/>
        <v>100</v>
      </c>
      <c r="T39" s="774" t="s">
        <v>17</v>
      </c>
      <c r="U39" s="775">
        <f t="shared" si="13"/>
        <v>100</v>
      </c>
      <c r="V39" s="774" t="s">
        <v>17</v>
      </c>
      <c r="W39" s="775">
        <f t="shared" si="14"/>
        <v>100</v>
      </c>
      <c r="X39" s="1812"/>
      <c r="Y39" s="3199" t="s">
        <v>2550</v>
      </c>
      <c r="Z39" s="1813" t="str">
        <f t="shared" si="15"/>
        <v>物业管理</v>
      </c>
      <c r="AA39" s="1810">
        <f t="shared" si="3"/>
        <v>1</v>
      </c>
      <c r="AB39" s="1810">
        <f t="shared" si="4"/>
        <v>1</v>
      </c>
      <c r="AC39" s="2668">
        <f t="shared" si="5"/>
        <v>1</v>
      </c>
    </row>
    <row r="40" spans="1:29" ht="15">
      <c r="A40" s="472"/>
      <c r="B40" s="422" t="s">
        <v>2648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2"/>
      <c r="Q40" s="1809" t="str">
        <f t="shared" si="11"/>
        <v>市政基础设施</v>
      </c>
      <c r="R40" s="774" t="s">
        <v>17</v>
      </c>
      <c r="S40" s="775">
        <f t="shared" si="12"/>
        <v>100</v>
      </c>
      <c r="T40" s="774" t="s">
        <v>17</v>
      </c>
      <c r="U40" s="775">
        <f t="shared" si="13"/>
        <v>100</v>
      </c>
      <c r="V40" s="774" t="s">
        <v>17</v>
      </c>
      <c r="W40" s="775">
        <f t="shared" si="14"/>
        <v>100</v>
      </c>
      <c r="X40" s="1812"/>
      <c r="Y40" s="3199"/>
      <c r="Z40" s="1813" t="str">
        <f t="shared" si="15"/>
        <v>市政基础设施</v>
      </c>
      <c r="AA40" s="1810">
        <f t="shared" si="3"/>
        <v>1</v>
      </c>
      <c r="AB40" s="1810">
        <f t="shared" si="4"/>
        <v>1</v>
      </c>
      <c r="AC40" s="2668">
        <f t="shared" si="5"/>
        <v>1</v>
      </c>
    </row>
    <row r="41" spans="1:29" ht="15">
      <c r="A41" s="472"/>
      <c r="B41" s="422" t="s">
        <v>2650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2"/>
      <c r="Q41" s="1809" t="str">
        <f t="shared" si="11"/>
        <v>层高</v>
      </c>
      <c r="R41" s="774" t="s">
        <v>17</v>
      </c>
      <c r="S41" s="775">
        <f t="shared" si="12"/>
        <v>100</v>
      </c>
      <c r="T41" s="774" t="s">
        <v>17</v>
      </c>
      <c r="U41" s="775">
        <f t="shared" si="13"/>
        <v>100</v>
      </c>
      <c r="V41" s="774" t="s">
        <v>17</v>
      </c>
      <c r="W41" s="775">
        <f t="shared" si="14"/>
        <v>100</v>
      </c>
      <c r="X41" s="1812"/>
      <c r="Y41" s="3199"/>
      <c r="Z41" s="1813" t="str">
        <f t="shared" si="15"/>
        <v>层高</v>
      </c>
      <c r="AA41" s="1810">
        <f t="shared" si="3"/>
        <v>1</v>
      </c>
      <c r="AB41" s="1810">
        <f t="shared" si="4"/>
        <v>1</v>
      </c>
      <c r="AC41" s="2668">
        <f t="shared" si="5"/>
        <v>1</v>
      </c>
    </row>
    <row r="42" spans="1:29" s="471" customFormat="1" ht="15">
      <c r="A42" s="468"/>
      <c r="B42" s="1811" t="s">
        <v>2681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2"/>
      <c r="Q42" s="776" t="str">
        <f t="shared" si="11"/>
        <v>单套建筑面积</v>
      </c>
      <c r="R42" s="777" t="s">
        <v>17</v>
      </c>
      <c r="S42" s="778">
        <f t="shared" si="12"/>
        <v>100</v>
      </c>
      <c r="T42" s="777" t="s">
        <v>17</v>
      </c>
      <c r="U42" s="778">
        <f t="shared" si="13"/>
        <v>100</v>
      </c>
      <c r="V42" s="777" t="s">
        <v>17</v>
      </c>
      <c r="W42" s="778">
        <f t="shared" si="14"/>
        <v>100</v>
      </c>
      <c r="X42" s="779"/>
      <c r="Y42" s="3199"/>
      <c r="Z42" s="780" t="str">
        <f t="shared" si="15"/>
        <v>单套建筑面积</v>
      </c>
      <c r="AA42" s="1810">
        <f t="shared" si="3"/>
        <v>1</v>
      </c>
      <c r="AB42" s="1810">
        <f t="shared" si="4"/>
        <v>1</v>
      </c>
      <c r="AC42" s="2668">
        <f t="shared" si="5"/>
        <v>1</v>
      </c>
    </row>
    <row r="43" spans="1:29" ht="15">
      <c r="A43" s="472"/>
      <c r="B43" s="422" t="s">
        <v>2653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2"/>
      <c r="Q43" s="1809" t="str">
        <f t="shared" si="11"/>
        <v>内部装修</v>
      </c>
      <c r="R43" s="774" t="s">
        <v>17</v>
      </c>
      <c r="S43" s="775">
        <f t="shared" si="12"/>
        <v>100</v>
      </c>
      <c r="T43" s="774" t="s">
        <v>17</v>
      </c>
      <c r="U43" s="775">
        <f t="shared" si="13"/>
        <v>100</v>
      </c>
      <c r="V43" s="774" t="s">
        <v>17</v>
      </c>
      <c r="W43" s="775">
        <f t="shared" si="14"/>
        <v>100</v>
      </c>
      <c r="X43" s="1812"/>
      <c r="Y43" s="3199"/>
      <c r="Z43" s="1813" t="str">
        <f t="shared" si="15"/>
        <v>内部装修</v>
      </c>
      <c r="AA43" s="1810">
        <f t="shared" si="3"/>
        <v>1</v>
      </c>
      <c r="AB43" s="1810">
        <f t="shared" si="4"/>
        <v>1</v>
      </c>
      <c r="AC43" s="2668">
        <f t="shared" si="5"/>
        <v>1</v>
      </c>
    </row>
    <row r="44" spans="1:29" ht="15">
      <c r="A44" s="472"/>
      <c r="B44" s="422" t="s">
        <v>2561</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0"/>
      <c r="M44" s="1131"/>
      <c r="N44" s="1131"/>
      <c r="O44" s="1131"/>
      <c r="P44" s="3242"/>
      <c r="Q44" s="1809" t="str">
        <f t="shared" si="11"/>
        <v>内部装修维护情况</v>
      </c>
      <c r="R44" s="774" t="s">
        <v>17</v>
      </c>
      <c r="S44" s="775">
        <f t="shared" si="12"/>
        <v>100</v>
      </c>
      <c r="T44" s="774" t="s">
        <v>17</v>
      </c>
      <c r="U44" s="775">
        <f t="shared" si="13"/>
        <v>100</v>
      </c>
      <c r="V44" s="774" t="s">
        <v>17</v>
      </c>
      <c r="W44" s="775">
        <f t="shared" si="14"/>
        <v>100</v>
      </c>
      <c r="X44" s="1812"/>
      <c r="Y44" s="3199"/>
      <c r="Z44" s="1813" t="str">
        <f t="shared" si="15"/>
        <v>内部装修维护情况</v>
      </c>
      <c r="AA44" s="1810">
        <f t="shared" si="3"/>
        <v>1</v>
      </c>
      <c r="AB44" s="1810">
        <f t="shared" si="4"/>
        <v>1</v>
      </c>
      <c r="AC44" s="266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2"/>
      <c r="Q45" s="1794">
        <f t="shared" si="11"/>
        <v>111</v>
      </c>
      <c r="R45" s="770" t="s">
        <v>17</v>
      </c>
      <c r="S45" s="771">
        <f t="shared" si="12"/>
        <v>100</v>
      </c>
      <c r="T45" s="770" t="s">
        <v>17</v>
      </c>
      <c r="U45" s="771">
        <f t="shared" si="13"/>
        <v>100</v>
      </c>
      <c r="V45" s="770" t="s">
        <v>17</v>
      </c>
      <c r="W45" s="771">
        <f t="shared" si="14"/>
        <v>100</v>
      </c>
      <c r="X45" s="772"/>
      <c r="Y45" s="3199"/>
      <c r="Z45" s="55">
        <f t="shared" si="15"/>
        <v>111</v>
      </c>
      <c r="AA45" s="773">
        <f t="shared" si="3"/>
        <v>1</v>
      </c>
      <c r="AB45" s="773">
        <f t="shared" si="4"/>
        <v>1</v>
      </c>
      <c r="AC45" s="266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2"/>
      <c r="Q46" s="1809">
        <f t="shared" si="11"/>
        <v>111</v>
      </c>
      <c r="R46" s="774" t="s">
        <v>17</v>
      </c>
      <c r="S46" s="775">
        <f t="shared" si="12"/>
        <v>100</v>
      </c>
      <c r="T46" s="774" t="s">
        <v>17</v>
      </c>
      <c r="U46" s="775">
        <f t="shared" si="13"/>
        <v>100</v>
      </c>
      <c r="V46" s="774" t="s">
        <v>17</v>
      </c>
      <c r="W46" s="775">
        <f t="shared" si="14"/>
        <v>100</v>
      </c>
      <c r="X46" s="1812"/>
      <c r="Y46" s="3199"/>
      <c r="Z46" s="1813">
        <f t="shared" si="15"/>
        <v>111</v>
      </c>
      <c r="AA46" s="1810">
        <f t="shared" si="3"/>
        <v>1</v>
      </c>
      <c r="AB46" s="1810">
        <f t="shared" si="4"/>
        <v>1</v>
      </c>
      <c r="AC46" s="2668">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3"/>
      <c r="Q47" s="1809">
        <f t="shared" si="11"/>
        <v>111</v>
      </c>
      <c r="R47" s="774" t="s">
        <v>17</v>
      </c>
      <c r="S47" s="775">
        <f t="shared" si="12"/>
        <v>100</v>
      </c>
      <c r="T47" s="774" t="s">
        <v>17</v>
      </c>
      <c r="U47" s="775">
        <f t="shared" si="13"/>
        <v>100</v>
      </c>
      <c r="V47" s="774" t="s">
        <v>17</v>
      </c>
      <c r="W47" s="775">
        <f t="shared" si="14"/>
        <v>100</v>
      </c>
      <c r="X47" s="1812"/>
      <c r="Y47" s="3244"/>
      <c r="Z47" s="1813">
        <f t="shared" si="15"/>
        <v>111</v>
      </c>
      <c r="AA47" s="1810">
        <f t="shared" si="3"/>
        <v>1</v>
      </c>
      <c r="AB47" s="1810">
        <f t="shared" si="4"/>
        <v>1</v>
      </c>
      <c r="AC47" s="2668">
        <f t="shared" si="5"/>
        <v>1</v>
      </c>
    </row>
    <row r="48" spans="1:29" ht="15">
      <c r="A48" s="479" t="s">
        <v>2562</v>
      </c>
      <c r="B48" s="480"/>
      <c r="C48" s="1407" t="s">
        <v>1</v>
      </c>
      <c r="D48" s="1408"/>
      <c r="E48" s="1409"/>
      <c r="F48" s="1410"/>
      <c r="G48" s="1411"/>
      <c r="H48" s="1412"/>
      <c r="I48" s="1409"/>
      <c r="J48" s="485"/>
      <c r="K48" s="783"/>
      <c r="L48" s="1143"/>
      <c r="M48" s="1131"/>
      <c r="N48" s="1131"/>
      <c r="O48" s="1131"/>
      <c r="P48" s="3205" t="str">
        <f>A48</f>
        <v>成交单价（元/平方米）</v>
      </c>
      <c r="Q48" s="3181"/>
      <c r="R48" s="3240">
        <f>E48</f>
        <v>0</v>
      </c>
      <c r="S48" s="3240"/>
      <c r="T48" s="3240">
        <f>G48</f>
        <v>0</v>
      </c>
      <c r="U48" s="3240"/>
      <c r="V48" s="3240">
        <f>I48</f>
        <v>0</v>
      </c>
      <c r="W48" s="3240"/>
      <c r="X48" s="446"/>
      <c r="Y48" s="781"/>
      <c r="Z48" s="446"/>
      <c r="AA48" s="446"/>
      <c r="AB48" s="446"/>
      <c r="AC48" s="630"/>
    </row>
    <row r="49" spans="1:29" ht="15.75" thickBot="1">
      <c r="A49" s="486" t="s">
        <v>2654</v>
      </c>
      <c r="B49" s="487"/>
      <c r="C49" s="1413" t="e">
        <f>R50</f>
        <v>#DIV/0!</v>
      </c>
      <c r="D49" s="1414"/>
      <c r="E49" s="1415" t="e">
        <f>R49</f>
        <v>#DIV/0!</v>
      </c>
      <c r="F49" s="1415"/>
      <c r="G49" s="1413" t="e">
        <f>T49</f>
        <v>#DIV/0!</v>
      </c>
      <c r="H49" s="1414"/>
      <c r="I49" s="1415" t="e">
        <f>V49</f>
        <v>#DIV/0!</v>
      </c>
      <c r="J49" s="489"/>
      <c r="K49" s="784"/>
      <c r="L49" s="1143"/>
      <c r="M49" s="1131"/>
      <c r="N49" s="1131"/>
      <c r="O49" s="1131"/>
      <c r="P49" s="3205" t="str">
        <f>A49</f>
        <v>比较价值（元/平方米）</v>
      </c>
      <c r="Q49" s="3181"/>
      <c r="R49" s="3240" t="e">
        <f>IF(F1="售价",ROUND(PRODUCT(R48,AA7:AA47),0),ROUND(PRODUCT(R48,AA7:AA47),1))</f>
        <v>#DIV/0!</v>
      </c>
      <c r="S49" s="3240"/>
      <c r="T49" s="3240" t="e">
        <f>IF(F1="售价",ROUND(PRODUCT(T48,AB7:AB47),0),ROUND(PRODUCT(T48,AB7:AB47),1))</f>
        <v>#DIV/0!</v>
      </c>
      <c r="U49" s="3240"/>
      <c r="V49" s="3240" t="e">
        <f>IF(F1="售价",ROUND(PRODUCT(V48,AC7:AC47),0),ROUND(PRODUCT(V48,AC7:AC47),1))</f>
        <v>#DIV/0!</v>
      </c>
      <c r="W49" s="3240"/>
      <c r="X49" s="446"/>
      <c r="Y49" s="446"/>
      <c r="Z49" s="446"/>
      <c r="AA49" s="446"/>
      <c r="AB49" s="446"/>
      <c r="AC49" s="630"/>
    </row>
    <row r="50" spans="1:29" ht="15.75" thickBot="1">
      <c r="A50" s="492" t="s">
        <v>2655</v>
      </c>
      <c r="B50" s="493"/>
      <c r="C50" s="1417" t="e">
        <f>R50</f>
        <v>#DIV/0!</v>
      </c>
      <c r="D50" s="1417"/>
      <c r="E50" s="1417"/>
      <c r="F50" s="1417"/>
      <c r="G50" s="1417"/>
      <c r="H50" s="1417"/>
      <c r="I50" s="1417"/>
      <c r="J50" s="494"/>
      <c r="K50" s="785"/>
      <c r="L50" s="1143"/>
      <c r="M50" s="1131"/>
      <c r="N50" s="1131"/>
      <c r="O50" s="1131"/>
      <c r="P50" s="3259" t="str">
        <f>A50</f>
        <v>估价对象XX用房的比较价值（楼面单价，元/平方米）</v>
      </c>
      <c r="Q50" s="3260"/>
      <c r="R50" s="3261" t="e">
        <f>IF(F1="售价",ROUND(AVERAGE(R49:V49),0),ROUND(AVERAGE(R49:V49),1))</f>
        <v>#DIV/0!</v>
      </c>
      <c r="S50" s="3261"/>
      <c r="T50" s="3261"/>
      <c r="U50" s="3261"/>
      <c r="V50" s="3261"/>
      <c r="W50" s="3261"/>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4"/>
    </row>
    <row r="56" spans="1:29" s="502"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1.75" thickBot="1">
      <c r="A58" s="763" t="s">
        <v>2659</v>
      </c>
      <c r="B58" s="759"/>
      <c r="C58" s="764"/>
      <c r="D58" s="764"/>
      <c r="E58" s="764"/>
      <c r="F58" s="765"/>
      <c r="G58" s="765"/>
      <c r="H58" s="764"/>
      <c r="I58" s="764"/>
      <c r="J58" s="764"/>
      <c r="K58" s="766"/>
      <c r="L58" s="1161"/>
      <c r="M58" s="1159"/>
      <c r="N58" s="1159"/>
      <c r="O58" s="1159"/>
      <c r="P58" s="2675"/>
      <c r="Q58" s="504"/>
    </row>
    <row r="59" spans="1:29" s="508" customFormat="1" ht="15">
      <c r="A59" s="505" t="s">
        <v>2533</v>
      </c>
      <c r="B59" s="506"/>
      <c r="C59" s="1573" t="str">
        <f>YEAR(C7)&amp;"-"&amp;MONTH(C7)</f>
        <v>2020-7</v>
      </c>
      <c r="D59" s="1574">
        <f>EDATE(C59,-1)</f>
        <v>43983</v>
      </c>
      <c r="E59" s="1574">
        <f>EDATE(D59,-1)</f>
        <v>43952</v>
      </c>
      <c r="F59" s="1574">
        <f t="shared" ref="F59:O59" si="16">EDATE(E59,-1)</f>
        <v>43922</v>
      </c>
      <c r="G59" s="1574">
        <f t="shared" si="16"/>
        <v>43891</v>
      </c>
      <c r="H59" s="1574">
        <f t="shared" si="16"/>
        <v>43862</v>
      </c>
      <c r="I59" s="1574">
        <f t="shared" si="16"/>
        <v>43831</v>
      </c>
      <c r="J59" s="1574">
        <f t="shared" si="16"/>
        <v>43800</v>
      </c>
      <c r="K59" s="1574">
        <f t="shared" si="16"/>
        <v>43770</v>
      </c>
      <c r="L59" s="1574">
        <f t="shared" si="16"/>
        <v>43739</v>
      </c>
      <c r="M59" s="1574">
        <f t="shared" si="16"/>
        <v>43709</v>
      </c>
      <c r="N59" s="1574">
        <f t="shared" si="16"/>
        <v>43678</v>
      </c>
      <c r="O59" s="1574">
        <f t="shared" si="16"/>
        <v>43647</v>
      </c>
      <c r="P59" s="1570"/>
    </row>
    <row r="60" spans="1:29" s="117" customFormat="1" ht="15">
      <c r="A60" s="509"/>
      <c r="B60" s="510"/>
      <c r="C60" s="1572">
        <v>100</v>
      </c>
      <c r="D60" s="512"/>
      <c r="E60" s="512"/>
      <c r="F60" s="512"/>
      <c r="G60" s="512"/>
      <c r="H60" s="512"/>
      <c r="I60" s="512"/>
      <c r="J60" s="512"/>
      <c r="K60" s="512"/>
      <c r="L60" s="512"/>
      <c r="M60" s="513"/>
      <c r="N60" s="512"/>
      <c r="O60" s="513"/>
      <c r="P60" s="2676"/>
    </row>
    <row r="61" spans="1:29" s="117" customFormat="1" ht="15.75" thickBot="1">
      <c r="A61" s="515" t="s">
        <v>2570</v>
      </c>
      <c r="B61" s="516"/>
      <c r="C61" s="517"/>
      <c r="D61" s="518"/>
      <c r="E61" s="518"/>
      <c r="F61" s="518"/>
      <c r="G61" s="518"/>
      <c r="H61" s="518"/>
      <c r="I61" s="518"/>
      <c r="J61" s="518"/>
      <c r="K61" s="518"/>
      <c r="L61" s="518"/>
      <c r="M61" s="519"/>
      <c r="N61" s="518"/>
      <c r="O61" s="519"/>
      <c r="P61" s="2676"/>
      <c r="Q61" s="504"/>
    </row>
    <row r="62" spans="1:29" s="117" customFormat="1" ht="15">
      <c r="A62" s="521" t="s">
        <v>2535</v>
      </c>
      <c r="B62" s="510"/>
      <c r="C62" s="522" t="s">
        <v>2637</v>
      </c>
      <c r="D62" s="523"/>
      <c r="E62" s="523"/>
      <c r="F62" s="523"/>
      <c r="G62" s="523"/>
      <c r="H62" s="523"/>
      <c r="I62" s="523"/>
      <c r="J62" s="523"/>
      <c r="K62" s="523"/>
      <c r="L62" s="524"/>
      <c r="M62" s="525"/>
      <c r="N62" s="1151"/>
      <c r="O62" s="1151"/>
      <c r="P62" s="2677"/>
      <c r="Q62" s="504"/>
    </row>
    <row r="63" spans="1:29" s="117" customFormat="1" ht="15.75" thickBot="1">
      <c r="A63" s="521"/>
      <c r="B63" s="510"/>
      <c r="C63" s="511">
        <v>100</v>
      </c>
      <c r="D63" s="512"/>
      <c r="E63" s="512"/>
      <c r="F63" s="512"/>
      <c r="G63" s="512"/>
      <c r="H63" s="512"/>
      <c r="I63" s="512"/>
      <c r="J63" s="512"/>
      <c r="K63" s="512"/>
      <c r="L63" s="512"/>
      <c r="M63" s="514"/>
      <c r="N63" s="1151"/>
      <c r="O63" s="1151"/>
      <c r="P63" s="2676"/>
      <c r="Q63" s="504"/>
    </row>
    <row r="64" spans="1:29">
      <c r="A64" s="527" t="s">
        <v>2573</v>
      </c>
      <c r="B64" s="528" t="s">
        <v>2539</v>
      </c>
      <c r="C64" s="529">
        <f>C9</f>
        <v>0</v>
      </c>
      <c r="D64" s="530"/>
      <c r="E64" s="530"/>
      <c r="F64" s="530"/>
      <c r="G64" s="530"/>
      <c r="H64" s="530"/>
      <c r="I64" s="530"/>
      <c r="J64" s="530"/>
      <c r="K64" s="531"/>
      <c r="L64" s="532"/>
      <c r="M64" s="533"/>
      <c r="N64" s="1152"/>
      <c r="O64" s="1152"/>
      <c r="P64" s="2678"/>
      <c r="Q64" s="504"/>
    </row>
    <row r="65" spans="1:17" ht="15.75" thickBot="1">
      <c r="A65" s="534"/>
      <c r="B65" s="535"/>
      <c r="C65" s="536">
        <v>100</v>
      </c>
      <c r="D65" s="536"/>
      <c r="E65" s="536"/>
      <c r="F65" s="536"/>
      <c r="G65" s="536"/>
      <c r="H65" s="536"/>
      <c r="I65" s="536"/>
      <c r="J65" s="536"/>
      <c r="K65" s="536"/>
      <c r="L65" s="536"/>
      <c r="M65" s="537"/>
      <c r="N65" s="1153"/>
      <c r="O65" s="1153"/>
      <c r="P65" s="2678"/>
      <c r="Q65" s="504"/>
    </row>
    <row r="66" spans="1:17" ht="27.75" thickTop="1">
      <c r="A66" s="534"/>
      <c r="B66" s="538" t="s">
        <v>2542</v>
      </c>
      <c r="C66" s="539" t="s">
        <v>2574</v>
      </c>
      <c r="D66" s="539" t="s">
        <v>2575</v>
      </c>
      <c r="E66" s="539" t="s">
        <v>2576</v>
      </c>
      <c r="F66" s="539" t="s">
        <v>2577</v>
      </c>
      <c r="G66" s="539" t="s">
        <v>2578</v>
      </c>
      <c r="H66" s="539" t="s">
        <v>2579</v>
      </c>
      <c r="I66" s="539" t="s">
        <v>2580</v>
      </c>
      <c r="J66" s="539"/>
      <c r="K66" s="540"/>
      <c r="L66" s="541"/>
      <c r="M66" s="542"/>
      <c r="N66" s="1152"/>
      <c r="O66" s="1152"/>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8"/>
      <c r="Q67" s="504"/>
    </row>
    <row r="68" spans="1:17" ht="15.75" thickTop="1">
      <c r="A68" s="534"/>
      <c r="B68" s="546" t="s">
        <v>2543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8"/>
      <c r="Q68" s="504"/>
    </row>
    <row r="69" spans="1:17" ht="15">
      <c r="A69" s="534"/>
      <c r="B69" s="548"/>
      <c r="C69" s="549"/>
      <c r="D69" s="549"/>
      <c r="E69" s="549"/>
      <c r="F69" s="549"/>
      <c r="G69" s="549"/>
      <c r="H69" s="549"/>
      <c r="I69" s="549"/>
      <c r="J69" s="549"/>
      <c r="K69" s="550"/>
      <c r="L69" s="551"/>
      <c r="M69" s="552"/>
      <c r="N69" s="1152"/>
      <c r="O69" s="1152"/>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8"/>
      <c r="Q70" s="504"/>
    </row>
    <row r="71" spans="1:17" s="471" customFormat="1" ht="15.75" thickTop="1">
      <c r="A71" s="553"/>
      <c r="B71" s="538">
        <f>B12</f>
        <v>111</v>
      </c>
      <c r="C71" s="554"/>
      <c r="D71" s="554"/>
      <c r="E71" s="554"/>
      <c r="F71" s="554"/>
      <c r="G71" s="554"/>
      <c r="H71" s="555"/>
      <c r="I71" s="555"/>
      <c r="J71" s="555"/>
      <c r="K71" s="555"/>
      <c r="L71" s="556"/>
      <c r="M71" s="557"/>
      <c r="N71" s="1154"/>
      <c r="O71" s="1154"/>
      <c r="P71" s="2679"/>
      <c r="Q71" s="559"/>
    </row>
    <row r="72" spans="1:17" s="471" customFormat="1" ht="15.75" thickBot="1">
      <c r="A72" s="553"/>
      <c r="B72" s="543"/>
      <c r="C72" s="560"/>
      <c r="D72" s="536"/>
      <c r="E72" s="536"/>
      <c r="F72" s="536"/>
      <c r="G72" s="536"/>
      <c r="H72" s="536"/>
      <c r="I72" s="536"/>
      <c r="J72" s="536"/>
      <c r="K72" s="536"/>
      <c r="L72" s="536"/>
      <c r="M72" s="537"/>
      <c r="N72" s="1153"/>
      <c r="O72" s="1153"/>
      <c r="P72" s="2679"/>
      <c r="Q72" s="559"/>
    </row>
    <row r="73" spans="1:17" s="471" customFormat="1" ht="15.75" thickTop="1">
      <c r="A73" s="553"/>
      <c r="B73" s="538">
        <f>B13</f>
        <v>111</v>
      </c>
      <c r="C73" s="554"/>
      <c r="D73" s="554"/>
      <c r="E73" s="554"/>
      <c r="F73" s="554"/>
      <c r="G73" s="554"/>
      <c r="H73" s="555"/>
      <c r="I73" s="555"/>
      <c r="J73" s="555"/>
      <c r="K73" s="555"/>
      <c r="L73" s="556"/>
      <c r="M73" s="557"/>
      <c r="N73" s="1154"/>
      <c r="O73" s="1154"/>
      <c r="P73" s="2680"/>
      <c r="Q73" s="561"/>
    </row>
    <row r="74" spans="1:17" s="471" customFormat="1" ht="15.75" thickBot="1">
      <c r="A74" s="553"/>
      <c r="B74" s="543"/>
      <c r="C74" s="560"/>
      <c r="D74" s="560"/>
      <c r="E74" s="560"/>
      <c r="F74" s="560"/>
      <c r="G74" s="560"/>
      <c r="H74" s="562"/>
      <c r="I74" s="562"/>
      <c r="J74" s="562"/>
      <c r="K74" s="562"/>
      <c r="L74" s="562"/>
      <c r="M74" s="563"/>
      <c r="N74" s="1154"/>
      <c r="O74" s="1154"/>
      <c r="P74" s="2679"/>
      <c r="Q74" s="559"/>
    </row>
    <row r="75" spans="1:17" s="471" customFormat="1" ht="15.75" thickTop="1">
      <c r="A75" s="553"/>
      <c r="B75" s="546">
        <f>B14</f>
        <v>111</v>
      </c>
      <c r="C75" s="523"/>
      <c r="D75" s="523"/>
      <c r="E75" s="523"/>
      <c r="F75" s="523"/>
      <c r="G75" s="523"/>
      <c r="H75" s="564"/>
      <c r="I75" s="564"/>
      <c r="J75" s="564"/>
      <c r="K75" s="564"/>
      <c r="L75" s="565"/>
      <c r="M75" s="566"/>
      <c r="N75" s="1154"/>
      <c r="O75" s="1154"/>
      <c r="P75" s="2681"/>
      <c r="Q75" s="559"/>
    </row>
    <row r="76" spans="1:17" s="471" customFormat="1" ht="15.75" thickBot="1">
      <c r="A76" s="568"/>
      <c r="B76" s="569"/>
      <c r="C76" s="570"/>
      <c r="D76" s="570"/>
      <c r="E76" s="570"/>
      <c r="F76" s="570"/>
      <c r="G76" s="570"/>
      <c r="H76" s="571"/>
      <c r="I76" s="571"/>
      <c r="J76" s="571"/>
      <c r="K76" s="571"/>
      <c r="L76" s="571"/>
      <c r="M76" s="572"/>
      <c r="N76" s="1154"/>
      <c r="O76" s="1154"/>
      <c r="P76" s="2679"/>
      <c r="Q76" s="559"/>
    </row>
    <row r="77" spans="1:17">
      <c r="A77" s="527" t="s">
        <v>2544</v>
      </c>
      <c r="B77" s="528" t="s">
        <v>2682</v>
      </c>
      <c r="C77" s="573" t="s">
        <v>2582</v>
      </c>
      <c r="D77" s="573" t="s">
        <v>2583</v>
      </c>
      <c r="E77" s="573" t="s">
        <v>2584</v>
      </c>
      <c r="F77" s="573" t="s">
        <v>2585</v>
      </c>
      <c r="G77" s="573" t="s">
        <v>2586</v>
      </c>
      <c r="H77" s="529"/>
      <c r="I77" s="529"/>
      <c r="J77" s="529"/>
      <c r="K77" s="574"/>
      <c r="L77" s="575"/>
      <c r="M77" s="576"/>
      <c r="N77" s="1152"/>
      <c r="O77" s="1152"/>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8"/>
      <c r="Q78" s="504"/>
    </row>
    <row r="79" spans="1:17" ht="15.75" thickTop="1">
      <c r="A79" s="534"/>
      <c r="B79" s="538" t="s">
        <v>2587</v>
      </c>
      <c r="C79" s="578" t="s">
        <v>2582</v>
      </c>
      <c r="D79" s="578" t="s">
        <v>2583</v>
      </c>
      <c r="E79" s="578" t="s">
        <v>2584</v>
      </c>
      <c r="F79" s="578" t="s">
        <v>2585</v>
      </c>
      <c r="G79" s="578" t="s">
        <v>2586</v>
      </c>
      <c r="H79" s="539"/>
      <c r="I79" s="539"/>
      <c r="J79" s="539"/>
      <c r="K79" s="540"/>
      <c r="L79" s="541"/>
      <c r="M79" s="542"/>
      <c r="N79" s="1152"/>
      <c r="O79" s="1152"/>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8"/>
      <c r="Q80" s="504"/>
    </row>
    <row r="81" spans="1:17" ht="15.75" thickTop="1">
      <c r="A81" s="534"/>
      <c r="B81" s="538" t="s">
        <v>2588</v>
      </c>
      <c r="C81" s="578" t="s">
        <v>2582</v>
      </c>
      <c r="D81" s="578" t="s">
        <v>2583</v>
      </c>
      <c r="E81" s="578" t="s">
        <v>2584</v>
      </c>
      <c r="F81" s="578" t="s">
        <v>2585</v>
      </c>
      <c r="G81" s="578" t="s">
        <v>2586</v>
      </c>
      <c r="H81" s="539"/>
      <c r="I81" s="539"/>
      <c r="J81" s="539"/>
      <c r="K81" s="540"/>
      <c r="L81" s="541"/>
      <c r="M81" s="542"/>
      <c r="N81" s="1152"/>
      <c r="O81" s="1152"/>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8"/>
      <c r="Q82" s="504"/>
    </row>
    <row r="83" spans="1:17" ht="15.75" thickTop="1">
      <c r="A83" s="534"/>
      <c r="B83" s="546" t="s">
        <v>2674</v>
      </c>
      <c r="C83" s="660" t="s">
        <v>2660</v>
      </c>
      <c r="D83" s="660" t="s">
        <v>2661</v>
      </c>
      <c r="E83" s="660" t="s">
        <v>2662</v>
      </c>
      <c r="F83" s="660" t="s">
        <v>2663</v>
      </c>
      <c r="G83" s="660" t="s">
        <v>2664</v>
      </c>
      <c r="H83" s="539"/>
      <c r="I83" s="539"/>
      <c r="J83" s="539"/>
      <c r="K83" s="539"/>
      <c r="L83" s="539"/>
      <c r="M83" s="1382"/>
      <c r="N83" s="1153"/>
      <c r="O83" s="1153"/>
      <c r="P83" s="267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8"/>
      <c r="Q84" s="504"/>
    </row>
    <row r="85" spans="1:17" ht="15.75" thickTop="1">
      <c r="A85" s="534"/>
      <c r="B85" s="538" t="s">
        <v>2683</v>
      </c>
      <c r="C85" s="578" t="s">
        <v>2582</v>
      </c>
      <c r="D85" s="578" t="s">
        <v>2583</v>
      </c>
      <c r="E85" s="578" t="s">
        <v>2584</v>
      </c>
      <c r="F85" s="578" t="s">
        <v>2585</v>
      </c>
      <c r="G85" s="578" t="s">
        <v>2586</v>
      </c>
      <c r="H85" s="539"/>
      <c r="I85" s="539"/>
      <c r="J85" s="539"/>
      <c r="K85" s="540"/>
      <c r="L85" s="541"/>
      <c r="M85" s="542"/>
      <c r="N85" s="1152"/>
      <c r="O85" s="1152"/>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8"/>
      <c r="Q86" s="504"/>
    </row>
    <row r="87" spans="1:17" s="117" customFormat="1" ht="27.75" thickTop="1">
      <c r="A87" s="579"/>
      <c r="B87" s="538" t="s">
        <v>2684</v>
      </c>
      <c r="C87" s="554"/>
      <c r="D87" s="554"/>
      <c r="E87" s="554"/>
      <c r="F87" s="554"/>
      <c r="G87" s="554"/>
      <c r="H87" s="554"/>
      <c r="I87" s="554"/>
      <c r="J87" s="554"/>
      <c r="K87" s="554"/>
      <c r="L87" s="580"/>
      <c r="M87" s="581"/>
      <c r="N87" s="1151"/>
      <c r="O87" s="1151"/>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8"/>
      <c r="Q88" s="504"/>
    </row>
    <row r="89" spans="1:17" s="117" customFormat="1" ht="15.75" thickTop="1">
      <c r="A89" s="579"/>
      <c r="B89" s="538" t="str">
        <f>B27</f>
        <v>楼层</v>
      </c>
      <c r="C89" s="554"/>
      <c r="D89" s="554"/>
      <c r="E89" s="554"/>
      <c r="F89" s="2629"/>
      <c r="G89" s="554"/>
      <c r="H89" s="554"/>
      <c r="I89" s="554"/>
      <c r="J89" s="554"/>
      <c r="K89" s="554"/>
      <c r="L89" s="554"/>
      <c r="M89" s="581"/>
      <c r="N89" s="1151"/>
      <c r="O89" s="1151"/>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9"/>
      <c r="Q92" s="559"/>
    </row>
    <row r="93" spans="1:17" ht="15.75" thickTop="1">
      <c r="A93" s="534"/>
      <c r="B93" s="538">
        <f>B29</f>
        <v>111</v>
      </c>
      <c r="C93" s="554"/>
      <c r="D93" s="554"/>
      <c r="E93" s="554"/>
      <c r="F93" s="554"/>
      <c r="G93" s="554"/>
      <c r="H93" s="554"/>
      <c r="I93" s="554"/>
      <c r="J93" s="554"/>
      <c r="K93" s="554"/>
      <c r="L93" s="580"/>
      <c r="M93" s="581"/>
      <c r="N93" s="1152"/>
      <c r="O93" s="1152"/>
      <c r="P93" s="2678"/>
      <c r="Q93" s="504"/>
    </row>
    <row r="94" spans="1:17" ht="15.75" thickBot="1">
      <c r="A94" s="534"/>
      <c r="B94" s="543"/>
      <c r="C94" s="560"/>
      <c r="D94" s="536"/>
      <c r="E94" s="536"/>
      <c r="F94" s="536"/>
      <c r="G94" s="536"/>
      <c r="H94" s="536"/>
      <c r="I94" s="536"/>
      <c r="J94" s="536"/>
      <c r="K94" s="536"/>
      <c r="L94" s="536"/>
      <c r="M94" s="537"/>
      <c r="N94" s="1153"/>
      <c r="O94" s="1153"/>
      <c r="P94" s="2678"/>
      <c r="Q94" s="504"/>
    </row>
    <row r="95" spans="1:17" ht="15.75" thickTop="1">
      <c r="A95" s="534"/>
      <c r="B95" s="538">
        <f>B30</f>
        <v>111</v>
      </c>
      <c r="C95" s="554"/>
      <c r="D95" s="554"/>
      <c r="E95" s="554"/>
      <c r="F95" s="554"/>
      <c r="G95" s="583"/>
      <c r="H95" s="583"/>
      <c r="I95" s="583"/>
      <c r="J95" s="583"/>
      <c r="K95" s="584"/>
      <c r="L95" s="585"/>
      <c r="M95" s="586"/>
      <c r="N95" s="1152"/>
      <c r="O95" s="1152"/>
      <c r="P95" s="2678"/>
      <c r="Q95" s="504"/>
    </row>
    <row r="96" spans="1:17" ht="15.75" thickBot="1">
      <c r="A96" s="534"/>
      <c r="B96" s="543"/>
      <c r="C96" s="560"/>
      <c r="D96" s="560"/>
      <c r="E96" s="560"/>
      <c r="F96" s="560"/>
      <c r="G96" s="536"/>
      <c r="H96" s="536"/>
      <c r="I96" s="536"/>
      <c r="J96" s="536"/>
      <c r="K96" s="536"/>
      <c r="L96" s="536"/>
      <c r="M96" s="537"/>
      <c r="N96" s="1153"/>
      <c r="O96" s="1153"/>
      <c r="P96" s="2678"/>
      <c r="Q96" s="504"/>
    </row>
    <row r="97" spans="1:17" ht="15.75" thickTop="1">
      <c r="A97" s="534"/>
      <c r="B97" s="538">
        <f>B31</f>
        <v>111</v>
      </c>
      <c r="C97" s="554"/>
      <c r="D97" s="554"/>
      <c r="E97" s="554"/>
      <c r="F97" s="554"/>
      <c r="G97" s="583"/>
      <c r="H97" s="583"/>
      <c r="I97" s="583"/>
      <c r="J97" s="583"/>
      <c r="K97" s="584"/>
      <c r="L97" s="585"/>
      <c r="M97" s="586"/>
      <c r="N97" s="1152"/>
      <c r="O97" s="1152"/>
      <c r="P97" s="2678"/>
      <c r="Q97" s="504"/>
    </row>
    <row r="98" spans="1:17" ht="15.75" thickBot="1">
      <c r="A98" s="534"/>
      <c r="B98" s="543"/>
      <c r="C98" s="560"/>
      <c r="D98" s="536"/>
      <c r="E98" s="536"/>
      <c r="F98" s="536"/>
      <c r="G98" s="536"/>
      <c r="H98" s="536"/>
      <c r="I98" s="536"/>
      <c r="J98" s="536"/>
      <c r="K98" s="536"/>
      <c r="L98" s="536"/>
      <c r="M98" s="537"/>
      <c r="N98" s="1153"/>
      <c r="O98" s="1153"/>
      <c r="P98" s="2678"/>
      <c r="Q98" s="504"/>
    </row>
    <row r="99" spans="1:17" ht="15.75" thickTop="1">
      <c r="A99" s="534"/>
      <c r="B99" s="546">
        <f>B32</f>
        <v>111</v>
      </c>
      <c r="C99" s="523"/>
      <c r="D99" s="523"/>
      <c r="E99" s="523"/>
      <c r="F99" s="523"/>
      <c r="G99" s="587"/>
      <c r="H99" s="587"/>
      <c r="I99" s="587"/>
      <c r="J99" s="587"/>
      <c r="K99" s="588"/>
      <c r="L99" s="589"/>
      <c r="M99" s="590"/>
      <c r="N99" s="1152"/>
      <c r="O99" s="1152"/>
      <c r="P99" s="2678"/>
      <c r="Q99" s="504"/>
    </row>
    <row r="100" spans="1:17" ht="15.75" thickBot="1">
      <c r="A100" s="2630"/>
      <c r="B100" s="569"/>
      <c r="C100" s="570"/>
      <c r="D100" s="570"/>
      <c r="E100" s="570"/>
      <c r="F100" s="570"/>
      <c r="G100" s="591"/>
      <c r="H100" s="591"/>
      <c r="I100" s="591"/>
      <c r="J100" s="591"/>
      <c r="K100" s="591"/>
      <c r="L100" s="591"/>
      <c r="M100" s="592"/>
      <c r="N100" s="1153"/>
      <c r="O100" s="1153"/>
      <c r="P100" s="2678"/>
      <c r="Q100" s="504"/>
    </row>
    <row r="101" spans="1:17">
      <c r="A101" s="527" t="s">
        <v>2548</v>
      </c>
      <c r="B101" s="528" t="s">
        <v>2597</v>
      </c>
      <c r="C101" s="530"/>
      <c r="D101" s="530"/>
      <c r="E101" s="530"/>
      <c r="F101" s="530"/>
      <c r="G101" s="530"/>
      <c r="H101" s="530"/>
      <c r="I101" s="530"/>
      <c r="J101" s="530"/>
      <c r="K101" s="531"/>
      <c r="L101" s="532"/>
      <c r="M101" s="533"/>
      <c r="N101" s="1152"/>
      <c r="O101" s="1152"/>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8"/>
      <c r="Q102" s="504"/>
    </row>
    <row r="103" spans="1:17" ht="15.7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8"/>
      <c r="Q103" s="504"/>
    </row>
    <row r="104" spans="1:17" s="471" customFormat="1">
      <c r="A104" s="593"/>
      <c r="B104" s="594"/>
      <c r="C104" s="595"/>
      <c r="D104" s="595"/>
      <c r="E104" s="595"/>
      <c r="F104" s="595"/>
      <c r="G104" s="595"/>
      <c r="H104" s="595"/>
      <c r="I104" s="595"/>
      <c r="J104" s="596"/>
      <c r="K104" s="596"/>
      <c r="L104" s="597"/>
      <c r="M104" s="598"/>
      <c r="N104" s="1154"/>
      <c r="O104" s="1154"/>
      <c r="P104" s="267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9"/>
      <c r="Q105" s="559"/>
    </row>
    <row r="106" spans="1:17" ht="15" thickTop="1">
      <c r="A106" s="599"/>
      <c r="B106" s="538" t="s">
        <v>2599</v>
      </c>
      <c r="C106" s="554"/>
      <c r="D106" s="554"/>
      <c r="E106" s="583"/>
      <c r="F106" s="583"/>
      <c r="G106" s="583"/>
      <c r="H106" s="583"/>
      <c r="I106" s="583"/>
      <c r="J106" s="583"/>
      <c r="K106" s="584"/>
      <c r="L106" s="585"/>
      <c r="M106" s="586"/>
      <c r="N106" s="1152"/>
      <c r="O106" s="1152"/>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8"/>
      <c r="Q107" s="504"/>
    </row>
    <row r="108" spans="1:17" ht="15" thickTop="1">
      <c r="A108" s="599"/>
      <c r="B108" s="538" t="s">
        <v>2601</v>
      </c>
      <c r="C108" s="554"/>
      <c r="D108" s="554"/>
      <c r="E108" s="554"/>
      <c r="F108" s="583"/>
      <c r="G108" s="583"/>
      <c r="H108" s="583"/>
      <c r="I108" s="583"/>
      <c r="J108" s="583"/>
      <c r="K108" s="584"/>
      <c r="L108" s="585"/>
      <c r="M108" s="586"/>
      <c r="N108" s="1152"/>
      <c r="O108" s="1152"/>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8"/>
      <c r="Q109" s="504"/>
    </row>
    <row r="110" spans="1:17" ht="15" thickTop="1">
      <c r="A110" s="599"/>
      <c r="B110" s="538" t="s">
        <v>1986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8"/>
      <c r="Q112" s="504"/>
    </row>
    <row r="113" spans="1:17" s="471" customFormat="1" ht="15" thickTop="1">
      <c r="A113" s="593"/>
      <c r="B113" s="538" t="s">
        <v>2685</v>
      </c>
      <c r="C113" s="554"/>
      <c r="D113" s="554"/>
      <c r="E113" s="554"/>
      <c r="F113" s="554"/>
      <c r="G113" s="554"/>
      <c r="H113" s="583"/>
      <c r="I113" s="583"/>
      <c r="J113" s="583"/>
      <c r="K113" s="584"/>
      <c r="L113" s="585"/>
      <c r="M113" s="586"/>
      <c r="N113" s="1154"/>
      <c r="O113" s="1154"/>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9"/>
      <c r="Q114" s="559"/>
    </row>
    <row r="115" spans="1:17" ht="15" thickTop="1">
      <c r="A115" s="599"/>
      <c r="B115" s="538" t="s">
        <v>2602</v>
      </c>
      <c r="C115" s="554"/>
      <c r="D115" s="554"/>
      <c r="E115" s="583"/>
      <c r="F115" s="583"/>
      <c r="G115" s="583"/>
      <c r="H115" s="583"/>
      <c r="I115" s="583"/>
      <c r="J115" s="583"/>
      <c r="K115" s="584"/>
      <c r="L115" s="585"/>
      <c r="M115" s="586"/>
      <c r="N115" s="1152"/>
      <c r="O115" s="1152"/>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8"/>
      <c r="Q116" s="504"/>
    </row>
    <row r="117" spans="1:17" ht="15" thickTop="1">
      <c r="A117" s="599"/>
      <c r="B117" s="538" t="s">
        <v>2603</v>
      </c>
      <c r="C117" s="554"/>
      <c r="D117" s="554"/>
      <c r="E117" s="554"/>
      <c r="F117" s="554"/>
      <c r="G117" s="554"/>
      <c r="H117" s="583"/>
      <c r="I117" s="583"/>
      <c r="J117" s="583"/>
      <c r="K117" s="584"/>
      <c r="L117" s="585"/>
      <c r="M117" s="586"/>
      <c r="N117" s="1152"/>
      <c r="O117" s="1152"/>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8"/>
      <c r="Q118" s="504"/>
    </row>
    <row r="119" spans="1:17" ht="15" thickTop="1">
      <c r="A119" s="599"/>
      <c r="B119" s="636" t="s">
        <v>2686</v>
      </c>
      <c r="C119" s="583"/>
      <c r="D119" s="583"/>
      <c r="E119" s="583"/>
      <c r="F119" s="583"/>
      <c r="G119" s="583"/>
      <c r="H119" s="583"/>
      <c r="I119" s="583"/>
      <c r="J119" s="583"/>
      <c r="K119" s="583"/>
      <c r="L119" s="2683"/>
      <c r="M119" s="2684"/>
      <c r="N119" s="1153"/>
      <c r="O119" s="1153"/>
      <c r="P119" s="268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8"/>
      <c r="Q120" s="504"/>
    </row>
    <row r="121" spans="1:17" s="471" customFormat="1" ht="15" thickTop="1">
      <c r="A121" s="593"/>
      <c r="B121" s="538" t="s">
        <v>2669</v>
      </c>
      <c r="C121" s="554"/>
      <c r="D121" s="554"/>
      <c r="E121" s="554"/>
      <c r="F121" s="583"/>
      <c r="G121" s="555"/>
      <c r="H121" s="555"/>
      <c r="I121" s="555"/>
      <c r="J121" s="555"/>
      <c r="K121" s="555"/>
      <c r="L121" s="556"/>
      <c r="M121" s="557"/>
      <c r="N121" s="1154"/>
      <c r="O121" s="1154"/>
      <c r="P121" s="267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9"/>
      <c r="Q122" s="559"/>
    </row>
    <row r="123" spans="1:17" ht="15" thickTop="1">
      <c r="A123" s="599"/>
      <c r="B123" s="538" t="s">
        <v>2605</v>
      </c>
      <c r="C123" s="554"/>
      <c r="D123" s="554"/>
      <c r="E123" s="554"/>
      <c r="F123" s="583"/>
      <c r="G123" s="583"/>
      <c r="H123" s="583"/>
      <c r="I123" s="583"/>
      <c r="J123" s="583"/>
      <c r="K123" s="584"/>
      <c r="L123" s="585"/>
      <c r="M123" s="586"/>
      <c r="N123" s="1152"/>
      <c r="O123" s="1152"/>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8"/>
      <c r="Q124" s="504"/>
    </row>
    <row r="125" spans="1:17" ht="15" thickTop="1">
      <c r="A125" s="599"/>
      <c r="B125" s="538" t="s">
        <v>2606</v>
      </c>
      <c r="C125" s="578" t="s">
        <v>2582</v>
      </c>
      <c r="D125" s="578" t="s">
        <v>2583</v>
      </c>
      <c r="E125" s="578" t="s">
        <v>2584</v>
      </c>
      <c r="F125" s="578" t="s">
        <v>2585</v>
      </c>
      <c r="G125" s="578" t="s">
        <v>2586</v>
      </c>
      <c r="H125" s="539"/>
      <c r="I125" s="539"/>
      <c r="J125" s="539"/>
      <c r="K125" s="540"/>
      <c r="L125" s="541"/>
      <c r="M125" s="542"/>
      <c r="N125" s="1152"/>
      <c r="O125" s="1152"/>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9"/>
      <c r="Q128" s="559"/>
    </row>
    <row r="129" spans="1:17" ht="15" thickTop="1">
      <c r="A129" s="599"/>
      <c r="B129" s="538">
        <f>B46</f>
        <v>111</v>
      </c>
      <c r="C129" s="554"/>
      <c r="D129" s="554"/>
      <c r="E129" s="554"/>
      <c r="F129" s="554"/>
      <c r="G129" s="583"/>
      <c r="H129" s="583"/>
      <c r="I129" s="583"/>
      <c r="J129" s="583"/>
      <c r="K129" s="584"/>
      <c r="L129" s="585"/>
      <c r="M129" s="586"/>
      <c r="N129" s="1152"/>
      <c r="O129" s="1152"/>
      <c r="P129" s="2678"/>
      <c r="Q129" s="504"/>
    </row>
    <row r="130" spans="1:17" ht="15.75" thickBot="1">
      <c r="A130" s="534"/>
      <c r="B130" s="543"/>
      <c r="C130" s="560"/>
      <c r="D130" s="560"/>
      <c r="E130" s="560"/>
      <c r="F130" s="560"/>
      <c r="G130" s="536"/>
      <c r="H130" s="536"/>
      <c r="I130" s="536"/>
      <c r="J130" s="536"/>
      <c r="K130" s="536"/>
      <c r="L130" s="536"/>
      <c r="M130" s="537"/>
      <c r="N130" s="1153"/>
      <c r="O130" s="1153"/>
      <c r="P130" s="2678"/>
      <c r="Q130" s="504"/>
    </row>
    <row r="131" spans="1:17" ht="15" thickTop="1">
      <c r="A131" s="599"/>
      <c r="B131" s="546">
        <f>B47</f>
        <v>111</v>
      </c>
      <c r="C131" s="523"/>
      <c r="D131" s="523"/>
      <c r="E131" s="523"/>
      <c r="F131" s="523"/>
      <c r="G131" s="587"/>
      <c r="H131" s="587"/>
      <c r="I131" s="587"/>
      <c r="J131" s="587"/>
      <c r="K131" s="523"/>
      <c r="L131" s="524"/>
      <c r="M131" s="590"/>
      <c r="N131" s="1152"/>
      <c r="O131" s="1152"/>
      <c r="P131" s="2678"/>
      <c r="Q131" s="504"/>
    </row>
    <row r="132" spans="1:17" ht="15.75" thickBot="1">
      <c r="A132" s="2630"/>
      <c r="B132" s="569"/>
      <c r="C132" s="570"/>
      <c r="D132" s="570"/>
      <c r="E132" s="570"/>
      <c r="F132" s="570"/>
      <c r="G132" s="591"/>
      <c r="H132" s="591"/>
      <c r="I132" s="591"/>
      <c r="J132" s="591"/>
      <c r="K132" s="591"/>
      <c r="L132" s="591"/>
      <c r="M132" s="592"/>
      <c r="N132" s="1153"/>
      <c r="O132" s="1153"/>
      <c r="P132" s="267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v>
      </c>
    </row>
    <row r="4" spans="1:1" ht="54">
      <c r="A4" s="1946" t="str">
        <f>"受贵公司委托，我公司对"&amp;项目基本情况!S1&amp;"进行了预评估。"</f>
        <v>受贵公司委托，我公司对贵州省六盘水市钟山区红桥大道南侧、双龙一路西侧、南干线北侧住宅用地出让国有建设用地使用权出让国有建设用地使用权抵押价值进行了预评估。</v>
      </c>
    </row>
    <row r="5" spans="1:1" ht="18.75">
      <c r="A5" s="1947" t="s">
        <v>1607</v>
      </c>
    </row>
    <row r="6" spans="1:1" ht="18.75">
      <c r="A6" s="1948" t="s">
        <v>1608</v>
      </c>
    </row>
    <row r="7" spans="1:1" ht="90">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六盘水市钟山区红桥大道南侧、双龙一路西侧、南干线北侧住宅用地出让国有建设用地使用权出让国有建设用地使用权，为六盘水市新未来教育发展投资有限责任公司所有。根据《不动产权证书》[]，估价对象（分摊）出让国有建设用地使用权面积为21322.59平方米。根据《测绘报告》[]，估价对象建筑面积为53306.4平方米。</v>
      </c>
    </row>
    <row r="8" spans="1:1" ht="57.75">
      <c r="A8" s="1949" t="s">
        <v>1609</v>
      </c>
    </row>
    <row r="9" spans="1:1" ht="18.75">
      <c r="A9" s="1948" t="s">
        <v>1610</v>
      </c>
    </row>
    <row r="10" spans="1:1" ht="90">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六盘水市钟山区红桥大道南侧、双龙一路西侧、南干线北侧住宅用地出让国有建设用地使用权出让国有建设用地使用权,属六盘水市新未来教育发展投资有限责任公司开发建设的商业项目，该项目尚在开发建设中。根据《不动产权证书》[]，估价对象（分摊）出让国有建设用地使用权面积为21322.59平方米。根据《测绘报告》[]，估价对象规划建筑面积为53306.4平方米。</v>
      </c>
    </row>
    <row r="11" spans="1:1" ht="76.5">
      <c r="A11" s="1949" t="s">
        <v>1611</v>
      </c>
    </row>
    <row r="12" spans="1:1" ht="18.75">
      <c r="A12" s="1947" t="s">
        <v>1612</v>
      </c>
    </row>
    <row r="13" spans="1:1" ht="38.25" customHeight="1">
      <c r="A13" s="1950" t="str">
        <f>IF(项目基本情况!B8="抵押",IF(项目基本情况!B5=项目基本情况!B6,定义!C51,定义!B51),定义!D51)</f>
        <v>拟使用贵州省六盘水市钟山区红桥大道南侧、双龙一路西侧、南干线北侧住宅用地出让国有建设用地使用权出让国有建设用地使用权作为抵押担保物，向办理贷款手续。特委托北京康正宏基房地产评估有限公司对上述抵押物进行评估。本次评估为确定房地产抵押贷款额度提供参考依据而评估房地产抵押价值。</v>
      </c>
    </row>
    <row r="14" spans="1:1" ht="18.75">
      <c r="A14" s="1951" t="s">
        <v>1613</v>
      </c>
    </row>
    <row r="15" spans="1:1" ht="18">
      <c r="A15" s="1952" t="str">
        <f>TEXT(项目基本情况!D3,"yyyy年m月d日;;")&amp;IF(项目基本情况!D3=项目基本情况!B3,"（评估专业人员实地查勘之日）","")</f>
        <v>2020年7月6日（评估专业人员实地查勘之日）</v>
      </c>
    </row>
    <row r="16" spans="1:1" ht="18.75">
      <c r="A16" s="1951" t="s">
        <v>1614</v>
      </c>
    </row>
    <row r="17" spans="1:1" ht="75">
      <c r="A17" s="1946" t="s">
        <v>1615</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6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1604</v>
      </c>
    </row>
    <row r="24" spans="1:1" ht="18">
      <c r="A24" s="1953" t="str">
        <f>"本次评估采用的主估价方法为"&amp;结果表!K4&amp;"和"&amp;结果表!L4&amp;"。"</f>
        <v>本次评估采用的主估价方法为比较法和假设开发法。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19" sqref="F19"/>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2513</v>
      </c>
      <c r="B1" s="2663" t="s">
        <v>2687</v>
      </c>
      <c r="C1" s="1619" t="s">
        <v>2515</v>
      </c>
      <c r="D1" s="1620"/>
      <c r="E1" s="1629"/>
      <c r="F1" s="2580"/>
      <c r="G1" s="1630" t="s">
        <v>2628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2315</v>
      </c>
      <c r="B2" s="1418" t="e">
        <f ca="1">IF(C2="——",ROUND(C43*D3/10000,0),ROUND(C43*D3/10000,0)-D2)</f>
        <v>#DIV/0!</v>
      </c>
      <c r="C2" s="2582"/>
      <c r="D2" s="1124" t="e">
        <f ca="1">SUMIF(INDIRECT("'"&amp;F2&amp;"'"&amp;"!A:A"),"承租人权益价值",INDIRECT("'"&amp;F2&amp;"'"&amp;"!c:c"))</f>
        <v>#REF!</v>
      </c>
      <c r="E2" s="2583" t="s">
        <v>2316</v>
      </c>
      <c r="F2" s="2584"/>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2629</v>
      </c>
      <c r="D3" s="399">
        <f>IF(D1="",'数据-汇总表'!E3,SUMIF('数据-汇总表'!$C19:$C33,D1,'数据-汇总表'!$E19:$E33))</f>
        <v>53306.400000000001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182" t="s">
        <v>2631</v>
      </c>
      <c r="D4" s="3183"/>
      <c r="E4" s="3184" t="s">
        <v>2632</v>
      </c>
      <c r="F4" s="3185"/>
      <c r="G4" s="3182" t="s">
        <v>2633</v>
      </c>
      <c r="H4" s="3183"/>
      <c r="I4" s="3182" t="s">
        <v>2634</v>
      </c>
      <c r="J4" s="3183"/>
      <c r="K4" s="610" t="s">
        <v>2635</v>
      </c>
      <c r="L4" s="1130"/>
      <c r="M4" s="1131"/>
      <c r="N4" s="1131"/>
      <c r="O4" s="1131"/>
      <c r="P4" s="3186" t="s">
        <v>2636</v>
      </c>
      <c r="Q4" s="3187"/>
      <c r="R4" s="3169" t="s">
        <v>2632</v>
      </c>
      <c r="S4" s="3170"/>
      <c r="T4" s="3169" t="s">
        <v>2633</v>
      </c>
      <c r="U4" s="3170"/>
      <c r="V4" s="3194" t="s">
        <v>2634</v>
      </c>
      <c r="W4" s="3194"/>
      <c r="X4" s="1812"/>
      <c r="Y4" s="3169" t="s">
        <v>2636</v>
      </c>
      <c r="Z4" s="3170"/>
      <c r="AA4" s="3164" t="s">
        <v>2632</v>
      </c>
      <c r="AB4" s="3165" t="s">
        <v>2633</v>
      </c>
      <c r="AC4" s="3164" t="s">
        <v>2634</v>
      </c>
    </row>
    <row r="5" spans="1:29" ht="15">
      <c r="A5" s="404"/>
      <c r="B5" s="405"/>
      <c r="C5" s="3175" t="s">
        <v>2527</v>
      </c>
      <c r="D5" s="3176"/>
      <c r="E5" s="3173" t="s">
        <v>2528</v>
      </c>
      <c r="F5" s="3174"/>
      <c r="G5" s="3175" t="s">
        <v>2529</v>
      </c>
      <c r="H5" s="3176"/>
      <c r="I5" s="3175" t="s">
        <v>2530</v>
      </c>
      <c r="J5" s="3176"/>
      <c r="K5" s="610"/>
      <c r="L5" s="1130"/>
      <c r="M5" s="1131"/>
      <c r="N5" s="1131"/>
      <c r="O5" s="1131"/>
      <c r="P5" s="3188"/>
      <c r="Q5" s="3189"/>
      <c r="R5" s="3171"/>
      <c r="S5" s="3172"/>
      <c r="T5" s="3171"/>
      <c r="U5" s="3172"/>
      <c r="V5" s="3194"/>
      <c r="W5" s="3194"/>
      <c r="X5" s="1812"/>
      <c r="Y5" s="3171"/>
      <c r="Z5" s="3172"/>
      <c r="AA5" s="3165"/>
      <c r="AB5" s="3165"/>
      <c r="AC5" s="3165"/>
    </row>
    <row r="6" spans="1:29" ht="15.75" thickBot="1">
      <c r="A6" s="406"/>
      <c r="B6" s="407"/>
      <c r="C6" s="3177" t="s">
        <v>2531</v>
      </c>
      <c r="D6" s="3178"/>
      <c r="E6" s="3179" t="s">
        <v>2531</v>
      </c>
      <c r="F6" s="3180"/>
      <c r="G6" s="3177" t="s">
        <v>2531</v>
      </c>
      <c r="H6" s="3178"/>
      <c r="I6" s="3177" t="s">
        <v>2531</v>
      </c>
      <c r="J6" s="3178"/>
      <c r="K6" s="610" t="s">
        <v>2532</v>
      </c>
      <c r="L6" s="1130"/>
      <c r="M6" s="1131"/>
      <c r="N6" s="1131"/>
      <c r="O6" s="1131"/>
      <c r="P6" s="3190"/>
      <c r="Q6" s="3191"/>
      <c r="R6" s="3171"/>
      <c r="S6" s="3172"/>
      <c r="T6" s="3192"/>
      <c r="U6" s="3193"/>
      <c r="V6" s="3194"/>
      <c r="W6" s="3194"/>
      <c r="X6" s="1812"/>
      <c r="Y6" s="3192"/>
      <c r="Z6" s="3193"/>
      <c r="AA6" s="3166"/>
      <c r="AB6" s="3166"/>
      <c r="AC6" s="3166"/>
    </row>
    <row r="7" spans="1:29" s="117" customFormat="1" ht="15.75" thickBot="1">
      <c r="A7" s="408" t="s">
        <v>2533</v>
      </c>
      <c r="B7" s="409"/>
      <c r="C7" s="410">
        <f>'数据-取费表'!B2</f>
        <v>44018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67" t="s">
        <v>2534</v>
      </c>
      <c r="Q7" s="3195"/>
      <c r="R7" s="770" t="s">
        <v>17</v>
      </c>
      <c r="S7" s="771">
        <f t="shared" ref="S7:S15" si="0">F7</f>
        <v>0</v>
      </c>
      <c r="T7" s="770" t="s">
        <v>17</v>
      </c>
      <c r="U7" s="771">
        <f t="shared" ref="U7:U15" si="1">H7</f>
        <v>0</v>
      </c>
      <c r="V7" s="770" t="s">
        <v>17</v>
      </c>
      <c r="W7" s="771">
        <f t="shared" ref="W7:W15" si="2">J7</f>
        <v>0</v>
      </c>
      <c r="X7" s="772"/>
      <c r="Y7" s="3167" t="s">
        <v>2534</v>
      </c>
      <c r="Z7" s="3168"/>
      <c r="AA7" s="773" t="e">
        <f>D7/F7</f>
        <v>#DIV/0!</v>
      </c>
      <c r="AB7" s="773" t="e">
        <f>D7/H7</f>
        <v>#DIV/0!</v>
      </c>
      <c r="AC7" s="773" t="e">
        <f>D7/J7</f>
        <v>#DIV/0!</v>
      </c>
    </row>
    <row r="8" spans="1:29" s="117" customFormat="1" ht="15.75" thickBot="1">
      <c r="A8" s="408" t="s">
        <v>2535</v>
      </c>
      <c r="B8" s="409"/>
      <c r="C8" s="414" t="s">
        <v>2536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67" t="s">
        <v>2537</v>
      </c>
      <c r="Q8" s="3168"/>
      <c r="R8" s="770" t="s">
        <v>17</v>
      </c>
      <c r="S8" s="771">
        <f t="shared" si="0"/>
        <v>0</v>
      </c>
      <c r="T8" s="770" t="s">
        <v>17</v>
      </c>
      <c r="U8" s="771">
        <f t="shared" si="1"/>
        <v>0</v>
      </c>
      <c r="V8" s="770" t="s">
        <v>17</v>
      </c>
      <c r="W8" s="771">
        <f t="shared" si="2"/>
        <v>0</v>
      </c>
      <c r="X8" s="772"/>
      <c r="Y8" s="3167" t="s">
        <v>2537</v>
      </c>
      <c r="Z8" s="3168"/>
      <c r="AA8" s="773" t="e">
        <f t="shared" ref="AA8:AA40" si="3">D8/F8</f>
        <v>#DIV/0!</v>
      </c>
      <c r="AB8" s="773" t="e">
        <f t="shared" ref="AB8:AB40" si="4">D8/H8</f>
        <v>#DIV/0!</v>
      </c>
      <c r="AC8" s="773" t="e">
        <f t="shared" ref="AC8:AC40" si="5">D8/J8</f>
        <v>#DIV/0!</v>
      </c>
    </row>
    <row r="9" spans="1:29" s="117" customFormat="1">
      <c r="A9" s="415" t="s">
        <v>2538</v>
      </c>
      <c r="B9" s="71" t="s">
        <v>2539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1" t="s">
        <v>2540</v>
      </c>
      <c r="Q9" s="1794" t="str">
        <f t="shared" ref="Q9:Q15" si="6">B9</f>
        <v>用途</v>
      </c>
      <c r="R9" s="770" t="s">
        <v>17</v>
      </c>
      <c r="S9" s="771">
        <f t="shared" si="0"/>
        <v>100</v>
      </c>
      <c r="T9" s="770" t="s">
        <v>17</v>
      </c>
      <c r="U9" s="771">
        <f t="shared" si="1"/>
        <v>100</v>
      </c>
      <c r="V9" s="770" t="s">
        <v>17</v>
      </c>
      <c r="W9" s="771">
        <f t="shared" si="2"/>
        <v>100</v>
      </c>
      <c r="X9" s="772"/>
      <c r="Y9" s="3044"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1"/>
      <c r="Q10" s="1794"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2543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1"/>
      <c r="Q11" s="1794"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6"/>
      <c r="H12" s="136">
        <f>SUMIF(64:64,G12,65:65)-SUMIF(64:64,C12,65:65)+100</f>
        <v>100</v>
      </c>
      <c r="I12" s="469"/>
      <c r="J12" s="136">
        <f>SUMIF(64:64,I12,65:65)-SUMIF(64:64,C12,65:65)+100</f>
        <v>100</v>
      </c>
      <c r="K12" s="613"/>
      <c r="L12" s="1132"/>
      <c r="M12" s="1133"/>
      <c r="N12" s="1133"/>
      <c r="O12" s="1134"/>
      <c r="P12" s="3181"/>
      <c r="Q12" s="1794">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6"/>
      <c r="H13" s="435">
        <f>SUMIF(66:66,G13,67:67)-SUMIF(66:66,C13,67:67)+100</f>
        <v>100</v>
      </c>
      <c r="I13" s="469"/>
      <c r="J13" s="435">
        <f>SUMIF(66:66,I13,67:67)-SUMIF(66:66,C13,67:67)+100</f>
        <v>100</v>
      </c>
      <c r="K13" s="613"/>
      <c r="L13" s="1140"/>
      <c r="M13" s="1131"/>
      <c r="N13" s="1131"/>
      <c r="O13" s="1139"/>
      <c r="P13" s="3181"/>
      <c r="Q13" s="1794">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6"/>
      <c r="H14" s="438">
        <f>SUMIF(68:68,G14,69:69)-SUMIF(68:68,C14,69:69)+100</f>
        <v>100</v>
      </c>
      <c r="I14" s="469"/>
      <c r="J14" s="438">
        <f>SUMIF(68:68,I14,69:69)-SUMIF(68:68,C14,69:69)+100</f>
        <v>100</v>
      </c>
      <c r="K14" s="613"/>
      <c r="L14" s="1140"/>
      <c r="M14" s="1131"/>
      <c r="N14" s="1131"/>
      <c r="O14" s="1139"/>
      <c r="P14" s="3181"/>
      <c r="Q14" s="1794">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57">
      <c r="A15" s="440" t="s">
        <v>2544</v>
      </c>
      <c r="B15" s="69" t="s">
        <v>2688</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6" t="s">
        <v>2545</v>
      </c>
      <c r="Q15" s="1809" t="str">
        <f t="shared" si="6"/>
        <v>产业集聚程度</v>
      </c>
      <c r="R15" s="774" t="s">
        <v>17</v>
      </c>
      <c r="S15" s="775">
        <f t="shared" si="0"/>
        <v>100</v>
      </c>
      <c r="T15" s="774" t="s">
        <v>17</v>
      </c>
      <c r="U15" s="775">
        <f t="shared" si="1"/>
        <v>100</v>
      </c>
      <c r="V15" s="774" t="s">
        <v>17</v>
      </c>
      <c r="W15" s="775">
        <f t="shared" si="2"/>
        <v>100</v>
      </c>
      <c r="X15" s="1812"/>
      <c r="Y15" s="3196" t="s">
        <v>2545</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97"/>
      <c r="Q16" s="1809"/>
      <c r="R16" s="774"/>
      <c r="S16" s="775"/>
      <c r="T16" s="774"/>
      <c r="U16" s="775"/>
      <c r="V16" s="774"/>
      <c r="W16" s="775"/>
      <c r="X16" s="1812"/>
      <c r="Y16" s="3197"/>
      <c r="Z16" s="1813"/>
      <c r="AA16" s="1810">
        <v>1</v>
      </c>
      <c r="AB16" s="1810">
        <v>1</v>
      </c>
      <c r="AC16" s="1810">
        <v>1</v>
      </c>
    </row>
    <row r="17" spans="1:29" ht="85.5">
      <c r="A17" s="428"/>
      <c r="B17" s="451" t="s">
        <v>2085</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7"/>
      <c r="Q17" s="1809" t="str">
        <f>B17</f>
        <v>交通便捷度</v>
      </c>
      <c r="R17" s="774" t="s">
        <v>17</v>
      </c>
      <c r="S17" s="775">
        <f>F17</f>
        <v>100</v>
      </c>
      <c r="T17" s="774" t="s">
        <v>17</v>
      </c>
      <c r="U17" s="775">
        <f>H17</f>
        <v>100</v>
      </c>
      <c r="V17" s="774" t="s">
        <v>17</v>
      </c>
      <c r="W17" s="775">
        <f>J17</f>
        <v>100</v>
      </c>
      <c r="X17" s="1812"/>
      <c r="Y17" s="3197"/>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40"/>
      <c r="M18" s="1131"/>
      <c r="N18" s="1131"/>
      <c r="O18" s="1139"/>
      <c r="P18" s="3197"/>
      <c r="Q18" s="1809"/>
      <c r="R18" s="774"/>
      <c r="S18" s="775"/>
      <c r="T18" s="774"/>
      <c r="U18" s="775"/>
      <c r="V18" s="774"/>
      <c r="W18" s="775"/>
      <c r="X18" s="1812"/>
      <c r="Y18" s="3197"/>
      <c r="Z18" s="1813"/>
      <c r="AA18" s="1810">
        <v>1</v>
      </c>
      <c r="AB18" s="1810">
        <v>1</v>
      </c>
      <c r="AC18" s="1810">
        <v>1</v>
      </c>
    </row>
    <row r="19" spans="1:29" ht="42.75">
      <c r="A19" s="428"/>
      <c r="B19" s="451" t="s">
        <v>2673</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7"/>
      <c r="Q19" s="1809" t="str">
        <f>B19</f>
        <v>公共配套设施</v>
      </c>
      <c r="R19" s="774" t="s">
        <v>17</v>
      </c>
      <c r="S19" s="775">
        <f>F19</f>
        <v>100</v>
      </c>
      <c r="T19" s="774" t="s">
        <v>17</v>
      </c>
      <c r="U19" s="775">
        <f>H19</f>
        <v>100</v>
      </c>
      <c r="V19" s="774" t="s">
        <v>17</v>
      </c>
      <c r="W19" s="775">
        <f>J19</f>
        <v>100</v>
      </c>
      <c r="X19" s="1812"/>
      <c r="Y19" s="3197"/>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40"/>
      <c r="M20" s="1131"/>
      <c r="N20" s="1131"/>
      <c r="O20" s="1139"/>
      <c r="P20" s="3197"/>
      <c r="Q20" s="1809"/>
      <c r="R20" s="774"/>
      <c r="S20" s="775"/>
      <c r="T20" s="774"/>
      <c r="U20" s="775"/>
      <c r="V20" s="774"/>
      <c r="W20" s="775"/>
      <c r="X20" s="1812"/>
      <c r="Y20" s="3197"/>
      <c r="Z20" s="1813"/>
      <c r="AA20" s="1810">
        <v>1</v>
      </c>
      <c r="AB20" s="1810">
        <v>1</v>
      </c>
      <c r="AC20" s="1810">
        <v>1</v>
      </c>
    </row>
    <row r="21" spans="1:29" ht="28.5">
      <c r="A21" s="428"/>
      <c r="B21" s="1384" t="s">
        <v>2674</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7"/>
      <c r="Q21" s="1809" t="str">
        <f>B21</f>
        <v>基础设施水平</v>
      </c>
      <c r="R21" s="774" t="s">
        <v>17</v>
      </c>
      <c r="S21" s="775">
        <f>F21</f>
        <v>100</v>
      </c>
      <c r="T21" s="774" t="s">
        <v>17</v>
      </c>
      <c r="U21" s="775">
        <f>H21</f>
        <v>100</v>
      </c>
      <c r="V21" s="774" t="s">
        <v>17</v>
      </c>
      <c r="W21" s="775">
        <f>J21</f>
        <v>100</v>
      </c>
      <c r="X21" s="1812"/>
      <c r="Y21" s="3197"/>
      <c r="Z21" s="1813" t="str">
        <f>Q21</f>
        <v>基础设施水平</v>
      </c>
      <c r="AA21" s="1810">
        <f t="shared" ref="AA21" si="8">D21/F21</f>
        <v>1</v>
      </c>
      <c r="AB21" s="1810">
        <f t="shared" ref="AB21" si="9">D21/H21</f>
        <v>1</v>
      </c>
      <c r="AC21" s="1810">
        <f t="shared" ref="AC21" si="10">D21/J21</f>
        <v>1</v>
      </c>
    </row>
    <row r="22" spans="1:29" ht="15">
      <c r="A22" s="428"/>
      <c r="B22" s="1384"/>
      <c r="C22" s="2604"/>
      <c r="D22" s="448"/>
      <c r="E22" s="447"/>
      <c r="F22" s="449"/>
      <c r="G22" s="447"/>
      <c r="H22" s="448"/>
      <c r="I22" s="447"/>
      <c r="J22" s="448"/>
      <c r="K22" s="1383"/>
      <c r="L22" s="1140"/>
      <c r="M22" s="1131"/>
      <c r="N22" s="1131"/>
      <c r="O22" s="1139"/>
      <c r="P22" s="3197"/>
      <c r="Q22" s="1809"/>
      <c r="R22" s="774"/>
      <c r="S22" s="775"/>
      <c r="T22" s="774"/>
      <c r="U22" s="775"/>
      <c r="V22" s="774"/>
      <c r="W22" s="775"/>
      <c r="X22" s="1812"/>
      <c r="Y22" s="3197"/>
      <c r="Z22" s="1813"/>
      <c r="AA22" s="1810">
        <v>1</v>
      </c>
      <c r="AB22" s="1810">
        <v>1</v>
      </c>
      <c r="AC22" s="1810">
        <v>1</v>
      </c>
    </row>
    <row r="23" spans="1:29" ht="71.25">
      <c r="A23" s="428"/>
      <c r="B23" s="451" t="s">
        <v>2675</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7"/>
      <c r="Q23" s="1809" t="str">
        <f>B23</f>
        <v>环境质量</v>
      </c>
      <c r="R23" s="774" t="s">
        <v>17</v>
      </c>
      <c r="S23" s="775">
        <f>F23</f>
        <v>100</v>
      </c>
      <c r="T23" s="774" t="s">
        <v>17</v>
      </c>
      <c r="U23" s="775">
        <f>H23</f>
        <v>100</v>
      </c>
      <c r="V23" s="774" t="s">
        <v>17</v>
      </c>
      <c r="W23" s="775">
        <f>J23</f>
        <v>100</v>
      </c>
      <c r="X23" s="1812"/>
      <c r="Y23" s="3197"/>
      <c r="Z23" s="1813" t="str">
        <f>Q23</f>
        <v>环境质量</v>
      </c>
      <c r="AA23" s="1810">
        <f t="shared" si="3"/>
        <v>1</v>
      </c>
      <c r="AB23" s="1810">
        <f t="shared" si="4"/>
        <v>1</v>
      </c>
      <c r="AC23" s="1810">
        <f t="shared" si="5"/>
        <v>1</v>
      </c>
    </row>
    <row r="24" spans="1:29" ht="15">
      <c r="A24" s="428"/>
      <c r="B24" s="1384"/>
      <c r="C24" s="447"/>
      <c r="D24" s="448"/>
      <c r="E24" s="2601"/>
      <c r="F24" s="449"/>
      <c r="G24" s="2600"/>
      <c r="H24" s="448"/>
      <c r="I24" s="2601"/>
      <c r="J24" s="448"/>
      <c r="K24" s="615"/>
      <c r="L24" s="1140"/>
      <c r="M24" s="1131"/>
      <c r="N24" s="1131"/>
      <c r="O24" s="1139"/>
      <c r="P24" s="3197"/>
      <c r="Q24" s="1809"/>
      <c r="R24" s="774"/>
      <c r="S24" s="775"/>
      <c r="T24" s="774"/>
      <c r="U24" s="775"/>
      <c r="V24" s="774"/>
      <c r="W24" s="775"/>
      <c r="X24" s="1812"/>
      <c r="Y24" s="3197"/>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7"/>
      <c r="Q25" s="1809">
        <f>B25</f>
        <v>111</v>
      </c>
      <c r="R25" s="774" t="s">
        <v>17</v>
      </c>
      <c r="S25" s="775">
        <f>F25</f>
        <v>100</v>
      </c>
      <c r="T25" s="774" t="s">
        <v>17</v>
      </c>
      <c r="U25" s="775">
        <f>H25</f>
        <v>100</v>
      </c>
      <c r="V25" s="774" t="s">
        <v>17</v>
      </c>
      <c r="W25" s="775">
        <f>J25</f>
        <v>100</v>
      </c>
      <c r="X25" s="1812"/>
      <c r="Y25" s="3197"/>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7"/>
      <c r="Q26" s="1809">
        <f t="shared" ref="Q26:Q40" si="11">B26</f>
        <v>111</v>
      </c>
      <c r="R26" s="774" t="s">
        <v>17</v>
      </c>
      <c r="S26" s="775">
        <f>F26</f>
        <v>100</v>
      </c>
      <c r="T26" s="774" t="s">
        <v>17</v>
      </c>
      <c r="U26" s="775">
        <f>H26</f>
        <v>100</v>
      </c>
      <c r="V26" s="774" t="s">
        <v>17</v>
      </c>
      <c r="W26" s="775">
        <f>J26</f>
        <v>100</v>
      </c>
      <c r="X26" s="1812"/>
      <c r="Y26" s="3197"/>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7"/>
      <c r="Q27" s="1794">
        <f t="shared" si="11"/>
        <v>111</v>
      </c>
      <c r="R27" s="770" t="s">
        <v>17</v>
      </c>
      <c r="S27" s="771">
        <f>F27</f>
        <v>100</v>
      </c>
      <c r="T27" s="770" t="s">
        <v>17</v>
      </c>
      <c r="U27" s="771">
        <f>H27</f>
        <v>100</v>
      </c>
      <c r="V27" s="770" t="s">
        <v>17</v>
      </c>
      <c r="W27" s="771">
        <f>J27</f>
        <v>100</v>
      </c>
      <c r="X27" s="772"/>
      <c r="Y27" s="3197"/>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7"/>
      <c r="Q28" s="1809">
        <f t="shared" si="11"/>
        <v>111</v>
      </c>
      <c r="R28" s="774" t="s">
        <v>17</v>
      </c>
      <c r="S28" s="775">
        <f t="shared" ref="S28:S40" si="12">F28</f>
        <v>100</v>
      </c>
      <c r="T28" s="774" t="s">
        <v>17</v>
      </c>
      <c r="U28" s="775">
        <f t="shared" ref="U28:U40" si="13">H28</f>
        <v>100</v>
      </c>
      <c r="V28" s="774" t="s">
        <v>17</v>
      </c>
      <c r="W28" s="775">
        <f t="shared" ref="W28:W40" si="14">J28</f>
        <v>100</v>
      </c>
      <c r="X28" s="1812"/>
      <c r="Y28" s="3197"/>
      <c r="Z28" s="1813">
        <f t="shared" ref="Z28:Z40" si="15">Q28</f>
        <v>111</v>
      </c>
      <c r="AA28" s="1810">
        <f t="shared" si="3"/>
        <v>1</v>
      </c>
      <c r="AB28" s="1810">
        <f t="shared" si="4"/>
        <v>1</v>
      </c>
      <c r="AC28" s="1810">
        <f t="shared" si="5"/>
        <v>1</v>
      </c>
    </row>
    <row r="29" spans="1:29" ht="28.5">
      <c r="A29" s="466" t="s">
        <v>2548</v>
      </c>
      <c r="B29" s="71" t="s">
        <v>2678</v>
      </c>
      <c r="C29" s="2673"/>
      <c r="D29" s="467">
        <v>100</v>
      </c>
      <c r="E29" s="2673"/>
      <c r="F29" s="461">
        <f>SUMIF(88:88,E29,89:89)-SUMIF(88:88,C29,89:89)+100</f>
        <v>100</v>
      </c>
      <c r="G29" s="2673"/>
      <c r="H29" s="435">
        <f>SUMIF(88:88,G29,89:89)-SUMIF(88:88,C29,89:89)+100</f>
        <v>100</v>
      </c>
      <c r="I29" s="2673"/>
      <c r="J29" s="467">
        <f>SUMIF(88:88,I29,89:89)-SUMIF(88:88,C29,89:89)+100</f>
        <v>100</v>
      </c>
      <c r="K29" s="612"/>
      <c r="L29" s="1140"/>
      <c r="M29" s="1131"/>
      <c r="N29" s="1131"/>
      <c r="O29" s="1139"/>
      <c r="P29" s="3198" t="s">
        <v>2550</v>
      </c>
      <c r="Q29" s="1809" t="str">
        <f t="shared" si="11"/>
        <v>建筑类型</v>
      </c>
      <c r="R29" s="774" t="s">
        <v>17</v>
      </c>
      <c r="S29" s="775">
        <f t="shared" si="12"/>
        <v>100</v>
      </c>
      <c r="T29" s="774" t="s">
        <v>17</v>
      </c>
      <c r="U29" s="775">
        <f t="shared" si="13"/>
        <v>100</v>
      </c>
      <c r="V29" s="774" t="s">
        <v>17</v>
      </c>
      <c r="W29" s="775">
        <f t="shared" si="14"/>
        <v>100</v>
      </c>
      <c r="X29" s="1812"/>
      <c r="Y29" s="3199" t="s">
        <v>2550</v>
      </c>
      <c r="Z29" s="1813" t="str">
        <f t="shared" si="15"/>
        <v>建筑类型</v>
      </c>
      <c r="AA29" s="1810">
        <f t="shared" si="3"/>
        <v>1</v>
      </c>
      <c r="AB29" s="1810">
        <f t="shared" si="4"/>
        <v>1</v>
      </c>
      <c r="AC29" s="1810">
        <f t="shared" si="5"/>
        <v>1</v>
      </c>
    </row>
    <row r="30" spans="1:29" s="471" customFormat="1" ht="15">
      <c r="A30" s="468"/>
      <c r="B30" s="422" t="s">
        <v>2551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9"/>
      <c r="Q30" s="776" t="str">
        <f t="shared" si="11"/>
        <v>项目建筑规模</v>
      </c>
      <c r="R30" s="777" t="s">
        <v>17</v>
      </c>
      <c r="S30" s="778" t="e">
        <f t="shared" si="12"/>
        <v>#N/A</v>
      </c>
      <c r="T30" s="777" t="s">
        <v>17</v>
      </c>
      <c r="U30" s="778" t="e">
        <f t="shared" si="13"/>
        <v>#N/A</v>
      </c>
      <c r="V30" s="777" t="s">
        <v>17</v>
      </c>
      <c r="W30" s="778" t="e">
        <f t="shared" si="14"/>
        <v>#N/A</v>
      </c>
      <c r="X30" s="779"/>
      <c r="Y30" s="3199"/>
      <c r="Z30" s="780" t="str">
        <f t="shared" si="15"/>
        <v>项目建筑规模</v>
      </c>
      <c r="AA30" s="1810" t="e">
        <f t="shared" si="3"/>
        <v>#N/A</v>
      </c>
      <c r="AB30" s="1810" t="e">
        <f t="shared" si="4"/>
        <v>#N/A</v>
      </c>
      <c r="AC30" s="1810" t="e">
        <f t="shared" si="5"/>
        <v>#N/A</v>
      </c>
    </row>
    <row r="31" spans="1:29" ht="15">
      <c r="A31" s="472"/>
      <c r="B31" s="422" t="s">
        <v>2552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9"/>
      <c r="Q31" s="1809" t="str">
        <f t="shared" si="11"/>
        <v>建筑结构</v>
      </c>
      <c r="R31" s="774" t="s">
        <v>17</v>
      </c>
      <c r="S31" s="775">
        <f t="shared" si="12"/>
        <v>100</v>
      </c>
      <c r="T31" s="774" t="s">
        <v>17</v>
      </c>
      <c r="U31" s="775">
        <f t="shared" si="13"/>
        <v>100</v>
      </c>
      <c r="V31" s="774" t="s">
        <v>17</v>
      </c>
      <c r="W31" s="775">
        <f t="shared" si="14"/>
        <v>100</v>
      </c>
      <c r="X31" s="1812"/>
      <c r="Y31" s="3199"/>
      <c r="Z31" s="1813" t="str">
        <f t="shared" si="15"/>
        <v>建筑结构</v>
      </c>
      <c r="AA31" s="1810">
        <f t="shared" si="3"/>
        <v>1</v>
      </c>
      <c r="AB31" s="1810">
        <f t="shared" si="4"/>
        <v>1</v>
      </c>
      <c r="AC31" s="1810">
        <f t="shared" si="5"/>
        <v>1</v>
      </c>
    </row>
    <row r="32" spans="1:29" ht="15">
      <c r="A32" s="472"/>
      <c r="B32" s="422" t="s">
        <v>2646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9"/>
      <c r="Q32" s="1809" t="str">
        <f t="shared" si="11"/>
        <v>公共部分装修</v>
      </c>
      <c r="R32" s="774" t="s">
        <v>17</v>
      </c>
      <c r="S32" s="775">
        <f t="shared" si="12"/>
        <v>100</v>
      </c>
      <c r="T32" s="774" t="s">
        <v>17</v>
      </c>
      <c r="U32" s="775">
        <f t="shared" si="13"/>
        <v>100</v>
      </c>
      <c r="V32" s="774" t="s">
        <v>17</v>
      </c>
      <c r="W32" s="775">
        <f t="shared" si="14"/>
        <v>100</v>
      </c>
      <c r="X32" s="1812"/>
      <c r="Y32" s="3199"/>
      <c r="Z32" s="1813" t="str">
        <f t="shared" si="15"/>
        <v>公共部分装修</v>
      </c>
      <c r="AA32" s="1810">
        <f t="shared" si="3"/>
        <v>1</v>
      </c>
      <c r="AB32" s="1810">
        <f t="shared" si="4"/>
        <v>1</v>
      </c>
      <c r="AC32" s="1810">
        <f t="shared" si="5"/>
        <v>1</v>
      </c>
    </row>
    <row r="33" spans="1:29" ht="15">
      <c r="A33" s="472"/>
      <c r="B33" s="422" t="s">
        <v>2647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9"/>
      <c r="Q33" s="1809" t="str">
        <f t="shared" si="11"/>
        <v>成新度</v>
      </c>
      <c r="R33" s="774" t="s">
        <v>17</v>
      </c>
      <c r="S33" s="775" t="e">
        <f t="shared" si="12"/>
        <v>#N/A</v>
      </c>
      <c r="T33" s="774" t="s">
        <v>17</v>
      </c>
      <c r="U33" s="775" t="e">
        <f t="shared" si="13"/>
        <v>#N/A</v>
      </c>
      <c r="V33" s="774" t="s">
        <v>17</v>
      </c>
      <c r="W33" s="775" t="e">
        <f t="shared" si="14"/>
        <v>#N/A</v>
      </c>
      <c r="X33" s="1812"/>
      <c r="Y33" s="3199"/>
      <c r="Z33" s="1813" t="str">
        <f t="shared" si="15"/>
        <v>成新度</v>
      </c>
      <c r="AA33" s="1810" t="e">
        <f t="shared" si="3"/>
        <v>#N/A</v>
      </c>
      <c r="AB33" s="1810" t="e">
        <f t="shared" si="4"/>
        <v>#N/A</v>
      </c>
      <c r="AC33" s="1810" t="e">
        <f t="shared" si="5"/>
        <v>#N/A</v>
      </c>
    </row>
    <row r="34" spans="1:29" s="117" customFormat="1" ht="15">
      <c r="A34" s="473"/>
      <c r="B34" s="422" t="s">
        <v>2680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9"/>
      <c r="Q34" s="1794" t="str">
        <f t="shared" si="11"/>
        <v>物业管理</v>
      </c>
      <c r="R34" s="770" t="s">
        <v>17</v>
      </c>
      <c r="S34" s="771">
        <f t="shared" si="12"/>
        <v>100</v>
      </c>
      <c r="T34" s="770" t="s">
        <v>17</v>
      </c>
      <c r="U34" s="771">
        <f t="shared" si="13"/>
        <v>100</v>
      </c>
      <c r="V34" s="770" t="s">
        <v>17</v>
      </c>
      <c r="W34" s="771">
        <f t="shared" si="14"/>
        <v>100</v>
      </c>
      <c r="X34" s="772"/>
      <c r="Y34" s="3199"/>
      <c r="Z34" s="55" t="str">
        <f t="shared" si="15"/>
        <v>物业管理</v>
      </c>
      <c r="AA34" s="773">
        <f t="shared" si="3"/>
        <v>1</v>
      </c>
      <c r="AB34" s="773">
        <f t="shared" si="4"/>
        <v>1</v>
      </c>
      <c r="AC34" s="773">
        <f t="shared" si="5"/>
        <v>1</v>
      </c>
    </row>
    <row r="35" spans="1:29" ht="15">
      <c r="A35" s="472"/>
      <c r="B35" s="422" t="s">
        <v>2648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9" t="s">
        <v>2550</v>
      </c>
      <c r="Q35" s="1809" t="str">
        <f t="shared" si="11"/>
        <v>市政基础设施</v>
      </c>
      <c r="R35" s="774" t="s">
        <v>17</v>
      </c>
      <c r="S35" s="775">
        <f t="shared" si="12"/>
        <v>100</v>
      </c>
      <c r="T35" s="774" t="s">
        <v>17</v>
      </c>
      <c r="U35" s="775">
        <f t="shared" si="13"/>
        <v>100</v>
      </c>
      <c r="V35" s="774" t="s">
        <v>17</v>
      </c>
      <c r="W35" s="775">
        <f t="shared" si="14"/>
        <v>100</v>
      </c>
      <c r="X35" s="1812"/>
      <c r="Y35" s="3199" t="s">
        <v>2550</v>
      </c>
      <c r="Z35" s="1813" t="str">
        <f t="shared" si="15"/>
        <v>市政基础设施</v>
      </c>
      <c r="AA35" s="1810">
        <f t="shared" si="3"/>
        <v>1</v>
      </c>
      <c r="AB35" s="1810">
        <f t="shared" si="4"/>
        <v>1</v>
      </c>
      <c r="AC35" s="1810">
        <f t="shared" si="5"/>
        <v>1</v>
      </c>
    </row>
    <row r="36" spans="1:29" ht="15">
      <c r="A36" s="472"/>
      <c r="B36" s="422" t="s">
        <v>2653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9"/>
      <c r="Q36" s="1809" t="str">
        <f t="shared" si="11"/>
        <v>内部装修</v>
      </c>
      <c r="R36" s="774" t="s">
        <v>17</v>
      </c>
      <c r="S36" s="775">
        <f t="shared" si="12"/>
        <v>100</v>
      </c>
      <c r="T36" s="774" t="s">
        <v>17</v>
      </c>
      <c r="U36" s="775">
        <f t="shared" si="13"/>
        <v>100</v>
      </c>
      <c r="V36" s="774" t="s">
        <v>17</v>
      </c>
      <c r="W36" s="775">
        <f t="shared" si="14"/>
        <v>100</v>
      </c>
      <c r="X36" s="1812"/>
      <c r="Y36" s="3199"/>
      <c r="Z36" s="1813" t="str">
        <f t="shared" si="15"/>
        <v>内部装修</v>
      </c>
      <c r="AA36" s="1810">
        <f t="shared" si="3"/>
        <v>1</v>
      </c>
      <c r="AB36" s="1810">
        <f t="shared" si="4"/>
        <v>1</v>
      </c>
      <c r="AC36" s="1810">
        <f t="shared" si="5"/>
        <v>1</v>
      </c>
    </row>
    <row r="37" spans="1:29" ht="15">
      <c r="A37" s="472"/>
      <c r="B37" s="422" t="s">
        <v>2689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9"/>
      <c r="Q37" s="1809" t="str">
        <f t="shared" si="11"/>
        <v>内部装修状况</v>
      </c>
      <c r="R37" s="774" t="s">
        <v>17</v>
      </c>
      <c r="S37" s="775">
        <f t="shared" si="12"/>
        <v>100</v>
      </c>
      <c r="T37" s="774" t="s">
        <v>17</v>
      </c>
      <c r="U37" s="775">
        <f t="shared" si="13"/>
        <v>100</v>
      </c>
      <c r="V37" s="774" t="s">
        <v>17</v>
      </c>
      <c r="W37" s="775">
        <f t="shared" si="14"/>
        <v>100</v>
      </c>
      <c r="X37" s="1812"/>
      <c r="Y37" s="3199"/>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9"/>
      <c r="Q38" s="776">
        <f t="shared" si="11"/>
        <v>111</v>
      </c>
      <c r="R38" s="777" t="s">
        <v>17</v>
      </c>
      <c r="S38" s="778">
        <f t="shared" si="12"/>
        <v>100</v>
      </c>
      <c r="T38" s="777" t="s">
        <v>17</v>
      </c>
      <c r="U38" s="778">
        <f t="shared" si="13"/>
        <v>100</v>
      </c>
      <c r="V38" s="777" t="s">
        <v>17</v>
      </c>
      <c r="W38" s="778">
        <f t="shared" si="14"/>
        <v>100</v>
      </c>
      <c r="X38" s="779"/>
      <c r="Y38" s="3199"/>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9"/>
      <c r="Q39" s="1809">
        <f t="shared" si="11"/>
        <v>111</v>
      </c>
      <c r="R39" s="774" t="s">
        <v>17</v>
      </c>
      <c r="S39" s="775">
        <f t="shared" si="12"/>
        <v>100</v>
      </c>
      <c r="T39" s="774" t="s">
        <v>17</v>
      </c>
      <c r="U39" s="775">
        <f t="shared" si="13"/>
        <v>100</v>
      </c>
      <c r="V39" s="774" t="s">
        <v>17</v>
      </c>
      <c r="W39" s="775">
        <f t="shared" si="14"/>
        <v>100</v>
      </c>
      <c r="X39" s="1812"/>
      <c r="Y39" s="3199"/>
      <c r="Z39" s="1813">
        <f t="shared" si="15"/>
        <v>111</v>
      </c>
      <c r="AA39" s="1810">
        <f t="shared" si="3"/>
        <v>1</v>
      </c>
      <c r="AB39" s="1810">
        <f t="shared" si="4"/>
        <v>1</v>
      </c>
      <c r="AC39" s="1810">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4"/>
      <c r="Q40" s="1809">
        <f t="shared" si="11"/>
        <v>111</v>
      </c>
      <c r="R40" s="774" t="s">
        <v>17</v>
      </c>
      <c r="S40" s="775">
        <f t="shared" si="12"/>
        <v>100</v>
      </c>
      <c r="T40" s="774" t="s">
        <v>17</v>
      </c>
      <c r="U40" s="775">
        <f t="shared" si="13"/>
        <v>100</v>
      </c>
      <c r="V40" s="774" t="s">
        <v>17</v>
      </c>
      <c r="W40" s="775">
        <f t="shared" si="14"/>
        <v>100</v>
      </c>
      <c r="X40" s="1812"/>
      <c r="Y40" s="3244"/>
      <c r="Z40" s="1813">
        <f t="shared" si="15"/>
        <v>111</v>
      </c>
      <c r="AA40" s="1810">
        <f t="shared" si="3"/>
        <v>1</v>
      </c>
      <c r="AB40" s="1810">
        <f t="shared" si="4"/>
        <v>1</v>
      </c>
      <c r="AC40" s="1810">
        <f t="shared" si="5"/>
        <v>1</v>
      </c>
    </row>
    <row r="41" spans="1:29" ht="15">
      <c r="A41" s="479" t="s">
        <v>2562</v>
      </c>
      <c r="B41" s="480"/>
      <c r="C41" s="1407" t="s">
        <v>1</v>
      </c>
      <c r="D41" s="1408"/>
      <c r="E41" s="1409"/>
      <c r="F41" s="1410"/>
      <c r="G41" s="1411"/>
      <c r="H41" s="1412"/>
      <c r="I41" s="1409"/>
      <c r="J41" s="1412"/>
      <c r="K41" s="783"/>
      <c r="L41" s="1143"/>
      <c r="M41" s="1144"/>
      <c r="N41" s="1131"/>
      <c r="O41" s="1144"/>
      <c r="P41" s="3181" t="str">
        <f>A41</f>
        <v>成交单价（元/平方米）</v>
      </c>
      <c r="Q41" s="3181"/>
      <c r="R41" s="3240">
        <f>E41</f>
        <v>0</v>
      </c>
      <c r="S41" s="3240"/>
      <c r="T41" s="3240">
        <f>G41</f>
        <v>0</v>
      </c>
      <c r="U41" s="3240"/>
      <c r="V41" s="3240">
        <f>I41</f>
        <v>0</v>
      </c>
      <c r="W41" s="3240"/>
      <c r="X41" s="759"/>
      <c r="Y41" s="781"/>
      <c r="Z41" s="759"/>
      <c r="AA41" s="759"/>
      <c r="AB41" s="759"/>
      <c r="AC41" s="759"/>
    </row>
    <row r="42" spans="1:29" ht="15.75" thickBot="1">
      <c r="A42" s="486" t="s">
        <v>2654</v>
      </c>
      <c r="B42" s="487"/>
      <c r="C42" s="1413" t="e">
        <f>R43</f>
        <v>#DIV/0!</v>
      </c>
      <c r="D42" s="1414"/>
      <c r="E42" s="1415" t="e">
        <f>R42</f>
        <v>#DIV/0!</v>
      </c>
      <c r="F42" s="1415"/>
      <c r="G42" s="1413" t="e">
        <f>T42</f>
        <v>#DIV/0!</v>
      </c>
      <c r="H42" s="1414"/>
      <c r="I42" s="1415" t="e">
        <f>V42</f>
        <v>#DIV/0!</v>
      </c>
      <c r="J42" s="1414"/>
      <c r="K42" s="784"/>
      <c r="L42" s="1143"/>
      <c r="M42" s="1144"/>
      <c r="N42" s="1131"/>
      <c r="O42" s="1144"/>
      <c r="P42" s="3181" t="str">
        <f>A42</f>
        <v>比较价值（元/平方米）</v>
      </c>
      <c r="Q42" s="3181"/>
      <c r="R42" s="3240" t="e">
        <f>IF(F1="售价",ROUND(PRODUCT(R41,AA7:AA40),0),ROUND(PRODUCT(R41,AA7:AA40),1))</f>
        <v>#DIV/0!</v>
      </c>
      <c r="S42" s="3240"/>
      <c r="T42" s="3240" t="e">
        <f>IF(F1="售价",ROUND(PRODUCT(T41,AB7:AB40),0),ROUND(PRODUCT(T41,AB7:AB40),1))</f>
        <v>#DIV/0!</v>
      </c>
      <c r="U42" s="3240"/>
      <c r="V42" s="3240" t="e">
        <f>IF(F1="售价",ROUND(PRODUCT(V41,AC7:AC40),0),ROUND(PRODUCT(V41,AC7:AC40),1))</f>
        <v>#DIV/0!</v>
      </c>
      <c r="W42" s="3240"/>
      <c r="X42" s="759"/>
      <c r="Y42" s="759"/>
      <c r="Z42" s="759"/>
      <c r="AA42" s="759"/>
      <c r="AB42" s="759"/>
      <c r="AC42" s="759"/>
    </row>
    <row r="43" spans="1:29" ht="15.75" thickBot="1">
      <c r="A43" s="492" t="s">
        <v>2655</v>
      </c>
      <c r="B43" s="493"/>
      <c r="C43" s="1417" t="e">
        <f>R43</f>
        <v>#DIV/0!</v>
      </c>
      <c r="D43" s="1417"/>
      <c r="E43" s="1417"/>
      <c r="F43" s="1417"/>
      <c r="G43" s="1417"/>
      <c r="H43" s="1417"/>
      <c r="I43" s="1417"/>
      <c r="J43" s="1417"/>
      <c r="K43" s="785"/>
      <c r="L43" s="1143"/>
      <c r="M43" s="1144"/>
      <c r="N43" s="1144"/>
      <c r="O43" s="1144"/>
      <c r="P43" s="3201" t="str">
        <f>A43</f>
        <v>估价对象XX用房的比较价值（楼面单价，元/平方米）</v>
      </c>
      <c r="Q43" s="3202"/>
      <c r="R43" s="3239" t="e">
        <f>IF(F1="售价",ROUND(AVERAGE(R42:V42),0),ROUND(AVERAGE(R42:V42),1))</f>
        <v>#DIV/0!</v>
      </c>
      <c r="S43" s="3239"/>
      <c r="T43" s="3239"/>
      <c r="U43" s="3239"/>
      <c r="V43" s="3239"/>
      <c r="W43" s="323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2659</v>
      </c>
      <c r="B51" s="759"/>
      <c r="C51" s="764"/>
      <c r="D51" s="764"/>
      <c r="E51" s="764"/>
      <c r="F51" s="765"/>
      <c r="G51" s="765"/>
      <c r="H51" s="764"/>
      <c r="I51" s="764"/>
      <c r="J51" s="764"/>
      <c r="K51" s="1160"/>
      <c r="L51" s="1161"/>
      <c r="M51" s="1159"/>
      <c r="N51" s="1159"/>
      <c r="O51" s="1159"/>
      <c r="P51" s="503"/>
      <c r="Q51" s="504"/>
    </row>
    <row r="52" spans="1:17" s="508" customFormat="1" ht="15">
      <c r="A52" s="505" t="s">
        <v>2533</v>
      </c>
      <c r="B52" s="506"/>
      <c r="C52" s="1573" t="str">
        <f>YEAR(C7)&amp;"-"&amp;MONTH(C7)</f>
        <v>2020-7</v>
      </c>
      <c r="D52" s="1574">
        <f>EDATE(C52,-1)</f>
        <v>43983</v>
      </c>
      <c r="E52" s="1574">
        <f t="shared" ref="E52:O52" si="16">EDATE(D52,-1)</f>
        <v>43952</v>
      </c>
      <c r="F52" s="1574">
        <f t="shared" si="16"/>
        <v>43922</v>
      </c>
      <c r="G52" s="1574">
        <f t="shared" si="16"/>
        <v>43891</v>
      </c>
      <c r="H52" s="1574">
        <f t="shared" si="16"/>
        <v>43862</v>
      </c>
      <c r="I52" s="1574">
        <f t="shared" si="16"/>
        <v>43831</v>
      </c>
      <c r="J52" s="1574">
        <f t="shared" si="16"/>
        <v>43800</v>
      </c>
      <c r="K52" s="1574">
        <f t="shared" si="16"/>
        <v>43770</v>
      </c>
      <c r="L52" s="1574">
        <f t="shared" si="16"/>
        <v>43739</v>
      </c>
      <c r="M52" s="1574">
        <f t="shared" si="16"/>
        <v>43709</v>
      </c>
      <c r="N52" s="1574">
        <f t="shared" si="16"/>
        <v>43678</v>
      </c>
      <c r="O52" s="1574">
        <f t="shared" si="16"/>
        <v>43647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2570</v>
      </c>
      <c r="B54" s="516"/>
      <c r="C54" s="517"/>
      <c r="D54" s="518"/>
      <c r="E54" s="518"/>
      <c r="F54" s="518"/>
      <c r="G54" s="518"/>
      <c r="H54" s="518"/>
      <c r="I54" s="518"/>
      <c r="J54" s="518"/>
      <c r="K54" s="518"/>
      <c r="L54" s="518"/>
      <c r="M54" s="519"/>
      <c r="N54" s="518"/>
      <c r="O54" s="520"/>
      <c r="P54" s="504"/>
      <c r="Q54" s="504"/>
    </row>
    <row r="55" spans="1:17" s="117" customFormat="1" ht="15">
      <c r="A55" s="521" t="s">
        <v>2535</v>
      </c>
      <c r="B55" s="510"/>
      <c r="C55" s="522" t="s">
        <v>2637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2573</v>
      </c>
      <c r="B57" s="528" t="s">
        <v>2539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2542</v>
      </c>
      <c r="C59" s="539" t="s">
        <v>2574</v>
      </c>
      <c r="D59" s="539" t="s">
        <v>2575</v>
      </c>
      <c r="E59" s="539" t="s">
        <v>2576</v>
      </c>
      <c r="F59" s="539" t="s">
        <v>2577</v>
      </c>
      <c r="G59" s="539" t="s">
        <v>2578</v>
      </c>
      <c r="H59" s="539" t="s">
        <v>2579</v>
      </c>
      <c r="I59" s="539" t="s">
        <v>2580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2544</v>
      </c>
      <c r="B70" s="528" t="s">
        <v>2690</v>
      </c>
      <c r="C70" s="573" t="s">
        <v>2582</v>
      </c>
      <c r="D70" s="573" t="s">
        <v>2583</v>
      </c>
      <c r="E70" s="573" t="s">
        <v>2584</v>
      </c>
      <c r="F70" s="573" t="s">
        <v>2585</v>
      </c>
      <c r="G70" s="573" t="s">
        <v>2586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2587</v>
      </c>
      <c r="C72" s="578" t="s">
        <v>2582</v>
      </c>
      <c r="D72" s="578" t="s">
        <v>2583</v>
      </c>
      <c r="E72" s="578" t="s">
        <v>2584</v>
      </c>
      <c r="F72" s="578" t="s">
        <v>2585</v>
      </c>
      <c r="G72" s="578" t="s">
        <v>2586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2588</v>
      </c>
      <c r="C74" s="578" t="s">
        <v>2582</v>
      </c>
      <c r="D74" s="578" t="s">
        <v>2583</v>
      </c>
      <c r="E74" s="578" t="s">
        <v>2584</v>
      </c>
      <c r="F74" s="578" t="s">
        <v>2585</v>
      </c>
      <c r="G74" s="578" t="s">
        <v>2586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2674</v>
      </c>
      <c r="C76" s="660" t="s">
        <v>2660</v>
      </c>
      <c r="D76" s="660" t="s">
        <v>2661</v>
      </c>
      <c r="E76" s="660" t="s">
        <v>2662</v>
      </c>
      <c r="F76" s="660" t="s">
        <v>2663</v>
      </c>
      <c r="G76" s="660" t="s">
        <v>2664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2683</v>
      </c>
      <c r="C78" s="578" t="s">
        <v>2582</v>
      </c>
      <c r="D78" s="578" t="s">
        <v>2583</v>
      </c>
      <c r="E78" s="578" t="s">
        <v>2584</v>
      </c>
      <c r="F78" s="578" t="s">
        <v>2585</v>
      </c>
      <c r="G78" s="578" t="s">
        <v>2586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0"/>
      <c r="B87" s="569"/>
      <c r="C87" s="570"/>
      <c r="D87" s="570"/>
      <c r="E87" s="570"/>
      <c r="F87" s="570"/>
      <c r="G87" s="591"/>
      <c r="H87" s="591"/>
      <c r="I87" s="591"/>
      <c r="J87" s="591"/>
      <c r="K87" s="591"/>
      <c r="L87" s="591"/>
      <c r="M87" s="592"/>
      <c r="N87" s="1153"/>
      <c r="O87" s="1153"/>
      <c r="P87" s="45"/>
      <c r="Q87" s="504"/>
    </row>
    <row r="88" spans="1:17">
      <c r="A88" s="527" t="s">
        <v>2548</v>
      </c>
      <c r="B88" s="528" t="s">
        <v>2597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2691</v>
      </c>
      <c r="C106" s="578" t="s">
        <v>2582</v>
      </c>
      <c r="D106" s="578" t="s">
        <v>2583</v>
      </c>
      <c r="E106" s="578" t="s">
        <v>2584</v>
      </c>
      <c r="F106" s="578" t="s">
        <v>2585</v>
      </c>
      <c r="G106" s="578" t="s">
        <v>2586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19" sqref="F19"/>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2692</v>
      </c>
      <c r="B1" s="1618"/>
      <c r="C1" s="1619" t="s">
        <v>2515</v>
      </c>
      <c r="D1" s="1620"/>
      <c r="E1" s="1621"/>
      <c r="F1" s="2580"/>
      <c r="G1" s="1622" t="s">
        <v>2628</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2315</v>
      </c>
      <c r="B2" s="1418" t="e">
        <f ca="1">IF(C2="——",IF(B37="元/平方米",ROUND(C39*D3/10000,0),ROUND(F3*C39/10000,0)),IF(B37="元/平方米",ROUND(C39*D3/10000,0),ROUND(F3*C39/10000,0))-D2)</f>
        <v>#DIV/0!</v>
      </c>
      <c r="C2" s="2582"/>
      <c r="D2" s="1124" t="e">
        <f ca="1">SUMIF(INDIRECT("'"&amp;F2&amp;"'"&amp;"!A:A"),"承租人权益价值",INDIRECT("'"&amp;F2&amp;"'"&amp;"!c:c"))</f>
        <v>#REF!</v>
      </c>
      <c r="E2" s="2583" t="s">
        <v>2316</v>
      </c>
      <c r="F2" s="2584"/>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2629</v>
      </c>
      <c r="D3" s="399">
        <f>SUMIF('数据-汇总表'!$C19:$C33,D1,'数据-汇总表'!$E19:$E33)</f>
        <v>0</v>
      </c>
      <c r="E3" s="400" t="s">
        <v>2693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2630</v>
      </c>
      <c r="B4" s="402"/>
      <c r="C4" s="3182" t="s">
        <v>2631</v>
      </c>
      <c r="D4" s="3183"/>
      <c r="E4" s="3184" t="s">
        <v>2632</v>
      </c>
      <c r="F4" s="3185"/>
      <c r="G4" s="3182" t="s">
        <v>2633</v>
      </c>
      <c r="H4" s="3183"/>
      <c r="I4" s="3182" t="s">
        <v>2634</v>
      </c>
      <c r="J4" s="3183"/>
      <c r="K4" s="610" t="s">
        <v>2635</v>
      </c>
      <c r="L4" s="1130"/>
      <c r="M4" s="1131"/>
      <c r="N4" s="1131"/>
      <c r="O4" s="1131"/>
      <c r="P4" s="3186" t="s">
        <v>2636</v>
      </c>
      <c r="Q4" s="3187"/>
      <c r="R4" s="3169" t="s">
        <v>2632</v>
      </c>
      <c r="S4" s="3170"/>
      <c r="T4" s="3169" t="s">
        <v>2633</v>
      </c>
      <c r="U4" s="3170"/>
      <c r="V4" s="3194" t="s">
        <v>2634</v>
      </c>
      <c r="W4" s="3194"/>
      <c r="X4" s="1812"/>
      <c r="Y4" s="3169" t="s">
        <v>2636</v>
      </c>
      <c r="Z4" s="3170"/>
      <c r="AA4" s="3164" t="s">
        <v>2632</v>
      </c>
      <c r="AB4" s="3165" t="s">
        <v>2633</v>
      </c>
      <c r="AC4" s="3164" t="s">
        <v>2634</v>
      </c>
    </row>
    <row r="5" spans="1:29" ht="15">
      <c r="A5" s="404"/>
      <c r="B5" s="405"/>
      <c r="C5" s="3175" t="s">
        <v>2527</v>
      </c>
      <c r="D5" s="3176"/>
      <c r="E5" s="3173" t="s">
        <v>2528</v>
      </c>
      <c r="F5" s="3174"/>
      <c r="G5" s="3175" t="s">
        <v>2529</v>
      </c>
      <c r="H5" s="3176"/>
      <c r="I5" s="3175" t="s">
        <v>2530</v>
      </c>
      <c r="J5" s="3176"/>
      <c r="K5" s="610"/>
      <c r="L5" s="1130"/>
      <c r="M5" s="1131"/>
      <c r="N5" s="1131"/>
      <c r="O5" s="1131"/>
      <c r="P5" s="3188"/>
      <c r="Q5" s="3189"/>
      <c r="R5" s="3171"/>
      <c r="S5" s="3172"/>
      <c r="T5" s="3171"/>
      <c r="U5" s="3172"/>
      <c r="V5" s="3194"/>
      <c r="W5" s="3194"/>
      <c r="X5" s="1812"/>
      <c r="Y5" s="3171"/>
      <c r="Z5" s="3172"/>
      <c r="AA5" s="3165"/>
      <c r="AB5" s="3165"/>
      <c r="AC5" s="3165"/>
    </row>
    <row r="6" spans="1:29" ht="15.75" thickBot="1">
      <c r="A6" s="406"/>
      <c r="B6" s="407"/>
      <c r="C6" s="3177" t="s">
        <v>2531</v>
      </c>
      <c r="D6" s="3178"/>
      <c r="E6" s="3179" t="s">
        <v>2531</v>
      </c>
      <c r="F6" s="3180"/>
      <c r="G6" s="3177" t="s">
        <v>2531</v>
      </c>
      <c r="H6" s="3178"/>
      <c r="I6" s="3177" t="s">
        <v>2531</v>
      </c>
      <c r="J6" s="3178"/>
      <c r="K6" s="610" t="s">
        <v>2532</v>
      </c>
      <c r="L6" s="1130"/>
      <c r="M6" s="1131"/>
      <c r="N6" s="1131"/>
      <c r="O6" s="1131"/>
      <c r="P6" s="3190"/>
      <c r="Q6" s="3191"/>
      <c r="R6" s="3171"/>
      <c r="S6" s="3172"/>
      <c r="T6" s="3192"/>
      <c r="U6" s="3193"/>
      <c r="V6" s="3194"/>
      <c r="W6" s="3194"/>
      <c r="X6" s="1812"/>
      <c r="Y6" s="3192"/>
      <c r="Z6" s="3193"/>
      <c r="AA6" s="3166"/>
      <c r="AB6" s="3166"/>
      <c r="AC6" s="3166"/>
    </row>
    <row r="7" spans="1:29" s="117" customFormat="1" ht="15.75" thickBot="1">
      <c r="A7" s="408" t="s">
        <v>2533</v>
      </c>
      <c r="B7" s="409"/>
      <c r="C7" s="410">
        <f>'数据-取费表'!B2</f>
        <v>44018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67" t="s">
        <v>2534</v>
      </c>
      <c r="Q7" s="3195"/>
      <c r="R7" s="770" t="s">
        <v>17</v>
      </c>
      <c r="S7" s="771">
        <f t="shared" ref="S7:S14" si="0">F7</f>
        <v>0</v>
      </c>
      <c r="T7" s="770" t="s">
        <v>17</v>
      </c>
      <c r="U7" s="771">
        <f t="shared" ref="U7:U14" si="1">H7</f>
        <v>0</v>
      </c>
      <c r="V7" s="770" t="s">
        <v>17</v>
      </c>
      <c r="W7" s="771">
        <f t="shared" ref="W7:W14" si="2">J7</f>
        <v>0</v>
      </c>
      <c r="X7" s="772"/>
      <c r="Y7" s="3167" t="s">
        <v>2534</v>
      </c>
      <c r="Z7" s="3168"/>
      <c r="AA7" s="773" t="e">
        <f>D7/F7</f>
        <v>#DIV/0!</v>
      </c>
      <c r="AB7" s="773" t="e">
        <f>D7/H7</f>
        <v>#DIV/0!</v>
      </c>
      <c r="AC7" s="773" t="e">
        <f>D7/J7</f>
        <v>#DIV/0!</v>
      </c>
    </row>
    <row r="8" spans="1:29" s="117" customFormat="1" ht="15.75" thickBot="1">
      <c r="A8" s="408" t="s">
        <v>2535</v>
      </c>
      <c r="B8" s="409"/>
      <c r="C8" s="414" t="s">
        <v>2637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67" t="s">
        <v>2537</v>
      </c>
      <c r="Q8" s="3168"/>
      <c r="R8" s="770" t="s">
        <v>17</v>
      </c>
      <c r="S8" s="771">
        <f t="shared" si="0"/>
        <v>0</v>
      </c>
      <c r="T8" s="770" t="s">
        <v>17</v>
      </c>
      <c r="U8" s="771">
        <f t="shared" si="1"/>
        <v>0</v>
      </c>
      <c r="V8" s="770" t="s">
        <v>17</v>
      </c>
      <c r="W8" s="771">
        <f t="shared" si="2"/>
        <v>0</v>
      </c>
      <c r="X8" s="772"/>
      <c r="Y8" s="3167" t="s">
        <v>2537</v>
      </c>
      <c r="Z8" s="3168"/>
      <c r="AA8" s="773" t="e">
        <f t="shared" ref="AA8:AA36" si="3">D8/F8</f>
        <v>#DIV/0!</v>
      </c>
      <c r="AB8" s="773" t="e">
        <f t="shared" ref="AB8:AB36" si="4">D8/H8</f>
        <v>#DIV/0!</v>
      </c>
      <c r="AC8" s="773" t="e">
        <f t="shared" ref="AC8:AC36" si="5">D8/J8</f>
        <v>#DIV/0!</v>
      </c>
    </row>
    <row r="9" spans="1:29" s="117" customFormat="1">
      <c r="A9" s="68" t="s">
        <v>2538</v>
      </c>
      <c r="B9" s="640" t="s">
        <v>2539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1" t="s">
        <v>2540</v>
      </c>
      <c r="Q9" s="1794" t="str">
        <f t="shared" ref="Q9:Q14" si="6">B9</f>
        <v>用途</v>
      </c>
      <c r="R9" s="770" t="s">
        <v>17</v>
      </c>
      <c r="S9" s="771">
        <f t="shared" si="0"/>
        <v>100</v>
      </c>
      <c r="T9" s="770" t="s">
        <v>17</v>
      </c>
      <c r="U9" s="771">
        <f t="shared" si="1"/>
        <v>100</v>
      </c>
      <c r="V9" s="770" t="s">
        <v>17</v>
      </c>
      <c r="W9" s="771">
        <f t="shared" si="2"/>
        <v>100</v>
      </c>
      <c r="X9" s="772"/>
      <c r="Y9" s="3044" t="s">
        <v>2541</v>
      </c>
      <c r="Z9" s="55" t="str">
        <f t="shared" ref="Z9:Z14" si="7">Q9</f>
        <v>用途</v>
      </c>
      <c r="AA9" s="773">
        <f t="shared" si="3"/>
        <v>1</v>
      </c>
      <c r="AB9" s="773">
        <f t="shared" si="4"/>
        <v>1</v>
      </c>
      <c r="AC9" s="773">
        <f t="shared" si="5"/>
        <v>1</v>
      </c>
    </row>
    <row r="10" spans="1:29" s="427" customFormat="1" ht="27">
      <c r="A10" s="641"/>
      <c r="B10" s="642" t="s">
        <v>2542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1"/>
      <c r="Q10" s="1794"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1"/>
      <c r="Q11" s="1794">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1"/>
      <c r="Q12" s="1794">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1"/>
      <c r="Q13" s="1794">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
      <c r="A14" s="401" t="s">
        <v>2544</v>
      </c>
      <c r="B14" s="629" t="s">
        <v>2694</v>
      </c>
      <c r="C14" s="2687"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6" t="s">
        <v>2545</v>
      </c>
      <c r="Q14" s="1809" t="str">
        <f t="shared" si="6"/>
        <v>交通便捷度</v>
      </c>
      <c r="R14" s="774" t="s">
        <v>17</v>
      </c>
      <c r="S14" s="775">
        <f t="shared" si="0"/>
        <v>100</v>
      </c>
      <c r="T14" s="774" t="s">
        <v>17</v>
      </c>
      <c r="U14" s="775">
        <f t="shared" si="1"/>
        <v>100</v>
      </c>
      <c r="V14" s="774" t="s">
        <v>17</v>
      </c>
      <c r="W14" s="775">
        <f t="shared" si="2"/>
        <v>100</v>
      </c>
      <c r="X14" s="1812"/>
      <c r="Y14" s="3196" t="s">
        <v>2545</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97"/>
      <c r="Q15" s="1809"/>
      <c r="R15" s="774"/>
      <c r="S15" s="775"/>
      <c r="T15" s="774"/>
      <c r="U15" s="775"/>
      <c r="V15" s="774"/>
      <c r="W15" s="775"/>
      <c r="X15" s="1812"/>
      <c r="Y15" s="3197"/>
      <c r="Z15" s="1813"/>
      <c r="AA15" s="1810">
        <v>1</v>
      </c>
      <c r="AB15" s="1810">
        <v>1</v>
      </c>
      <c r="AC15" s="1810">
        <v>1</v>
      </c>
    </row>
    <row r="16" spans="1:29" ht="15">
      <c r="A16" s="404"/>
      <c r="B16" s="631" t="s">
        <v>2673</v>
      </c>
      <c r="C16" s="2603"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7"/>
      <c r="Q16" s="1809" t="str">
        <f>B16</f>
        <v>公共配套设施</v>
      </c>
      <c r="R16" s="774" t="s">
        <v>17</v>
      </c>
      <c r="S16" s="775">
        <f>F16</f>
        <v>100</v>
      </c>
      <c r="T16" s="774" t="s">
        <v>17</v>
      </c>
      <c r="U16" s="775">
        <f>H16</f>
        <v>100</v>
      </c>
      <c r="V16" s="774" t="s">
        <v>17</v>
      </c>
      <c r="W16" s="775">
        <f>J16</f>
        <v>100</v>
      </c>
      <c r="X16" s="1812"/>
      <c r="Y16" s="3197"/>
      <c r="Z16" s="1813" t="str">
        <f>Q16</f>
        <v>公共配套设施</v>
      </c>
      <c r="AA16" s="1810">
        <f t="shared" si="3"/>
        <v>1</v>
      </c>
      <c r="AB16" s="1810">
        <f t="shared" si="4"/>
        <v>1</v>
      </c>
      <c r="AC16" s="1810">
        <f t="shared" si="5"/>
        <v>1</v>
      </c>
    </row>
    <row r="17" spans="1:29" ht="15">
      <c r="A17" s="404"/>
      <c r="B17" s="632"/>
      <c r="C17" s="2604"/>
      <c r="D17" s="448"/>
      <c r="E17" s="447"/>
      <c r="F17" s="449"/>
      <c r="G17" s="447"/>
      <c r="H17" s="448"/>
      <c r="I17" s="447"/>
      <c r="J17" s="448"/>
      <c r="K17" s="615"/>
      <c r="L17" s="1140"/>
      <c r="M17" s="1131"/>
      <c r="N17" s="1131"/>
      <c r="O17" s="1131"/>
      <c r="P17" s="3197"/>
      <c r="Q17" s="1809"/>
      <c r="R17" s="774"/>
      <c r="S17" s="775"/>
      <c r="T17" s="774"/>
      <c r="U17" s="775"/>
      <c r="V17" s="774"/>
      <c r="W17" s="775"/>
      <c r="X17" s="1812"/>
      <c r="Y17" s="3197"/>
      <c r="Z17" s="1813"/>
      <c r="AA17" s="1810">
        <v>1</v>
      </c>
      <c r="AB17" s="1810">
        <v>1</v>
      </c>
      <c r="AC17" s="1810">
        <v>1</v>
      </c>
    </row>
    <row r="18" spans="1:29" ht="15">
      <c r="A18" s="404"/>
      <c r="B18" s="633" t="s">
        <v>2674</v>
      </c>
      <c r="C18" s="2603"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7"/>
      <c r="Q18" s="1809" t="str">
        <f>B18</f>
        <v>基础设施水平</v>
      </c>
      <c r="R18" s="774" t="s">
        <v>17</v>
      </c>
      <c r="S18" s="775">
        <f>F18</f>
        <v>100</v>
      </c>
      <c r="T18" s="774" t="s">
        <v>17</v>
      </c>
      <c r="U18" s="775">
        <f>H18</f>
        <v>100</v>
      </c>
      <c r="V18" s="774" t="s">
        <v>17</v>
      </c>
      <c r="W18" s="775">
        <f>J18</f>
        <v>100</v>
      </c>
      <c r="X18" s="1812"/>
      <c r="Y18" s="3197"/>
      <c r="Z18" s="1813" t="str">
        <f>Q18</f>
        <v>基础设施水平</v>
      </c>
      <c r="AA18" s="1810">
        <f t="shared" ref="AA18" si="8">D18/F18</f>
        <v>1</v>
      </c>
      <c r="AB18" s="1810">
        <f t="shared" ref="AB18" si="9">D18/H18</f>
        <v>1</v>
      </c>
      <c r="AC18" s="1810">
        <f t="shared" ref="AC18" si="10">D18/J18</f>
        <v>1</v>
      </c>
    </row>
    <row r="19" spans="1:29" ht="15">
      <c r="A19" s="404"/>
      <c r="B19" s="633"/>
      <c r="C19" s="2604"/>
      <c r="D19" s="450"/>
      <c r="E19" s="2604"/>
      <c r="F19" s="453"/>
      <c r="G19" s="2604"/>
      <c r="H19" s="448"/>
      <c r="I19" s="447"/>
      <c r="J19" s="448"/>
      <c r="K19" s="1383"/>
      <c r="L19" s="1140"/>
      <c r="M19" s="1131"/>
      <c r="N19" s="1131"/>
      <c r="O19" s="1131"/>
      <c r="P19" s="3197"/>
      <c r="Q19" s="1809"/>
      <c r="R19" s="774"/>
      <c r="S19" s="775"/>
      <c r="T19" s="774"/>
      <c r="U19" s="775"/>
      <c r="V19" s="774"/>
      <c r="W19" s="775"/>
      <c r="X19" s="1812"/>
      <c r="Y19" s="3197"/>
      <c r="Z19" s="1813"/>
      <c r="AA19" s="1810">
        <v>1</v>
      </c>
      <c r="AB19" s="1810">
        <v>1</v>
      </c>
      <c r="AC19" s="1810">
        <v>1</v>
      </c>
    </row>
    <row r="20" spans="1:29" ht="15">
      <c r="A20" s="404"/>
      <c r="B20" s="631" t="s">
        <v>2695</v>
      </c>
      <c r="C20" s="2603"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7"/>
      <c r="Q20" s="1809" t="str">
        <f>B20</f>
        <v>自然及人文环境</v>
      </c>
      <c r="R20" s="774" t="s">
        <v>17</v>
      </c>
      <c r="S20" s="775">
        <f>F20</f>
        <v>100</v>
      </c>
      <c r="T20" s="774" t="s">
        <v>17</v>
      </c>
      <c r="U20" s="775">
        <f>H20</f>
        <v>100</v>
      </c>
      <c r="V20" s="774" t="s">
        <v>17</v>
      </c>
      <c r="W20" s="775">
        <f>J20</f>
        <v>100</v>
      </c>
      <c r="X20" s="1812"/>
      <c r="Y20" s="319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97"/>
      <c r="Q21" s="1809"/>
      <c r="R21" s="774"/>
      <c r="S21" s="775"/>
      <c r="T21" s="774"/>
      <c r="U21" s="775"/>
      <c r="V21" s="774"/>
      <c r="W21" s="775"/>
      <c r="X21" s="1812"/>
      <c r="Y21" s="3197"/>
      <c r="Z21" s="1813"/>
      <c r="AA21" s="1810">
        <v>1</v>
      </c>
      <c r="AB21" s="1810">
        <v>1</v>
      </c>
      <c r="AC21" s="1810">
        <v>1</v>
      </c>
    </row>
    <row r="22" spans="1:29" ht="15">
      <c r="A22" s="404"/>
      <c r="B22" s="631" t="s">
        <v>2696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7"/>
      <c r="Q22" s="1809" t="str">
        <f>B22</f>
        <v>楼层</v>
      </c>
      <c r="R22" s="774" t="s">
        <v>17</v>
      </c>
      <c r="S22" s="775">
        <f>F22</f>
        <v>100</v>
      </c>
      <c r="T22" s="774" t="s">
        <v>17</v>
      </c>
      <c r="U22" s="775">
        <f>H22</f>
        <v>100</v>
      </c>
      <c r="V22" s="774" t="s">
        <v>17</v>
      </c>
      <c r="W22" s="775">
        <f>J22</f>
        <v>100</v>
      </c>
      <c r="X22" s="1812"/>
      <c r="Y22" s="319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7"/>
      <c r="Q23" s="1809">
        <f>B23</f>
        <v>111</v>
      </c>
      <c r="R23" s="774" t="s">
        <v>17</v>
      </c>
      <c r="S23" s="775">
        <f>F23</f>
        <v>100</v>
      </c>
      <c r="T23" s="774" t="s">
        <v>17</v>
      </c>
      <c r="U23" s="775">
        <f>H23</f>
        <v>100</v>
      </c>
      <c r="V23" s="774" t="s">
        <v>17</v>
      </c>
      <c r="W23" s="775">
        <f>J23</f>
        <v>100</v>
      </c>
      <c r="X23" s="1812"/>
      <c r="Y23" s="319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7"/>
      <c r="Q24" s="1809">
        <f t="shared" ref="Q24:Q36" si="11">B24</f>
        <v>111</v>
      </c>
      <c r="R24" s="774" t="s">
        <v>17</v>
      </c>
      <c r="S24" s="775">
        <f>F24</f>
        <v>100</v>
      </c>
      <c r="T24" s="774" t="s">
        <v>17</v>
      </c>
      <c r="U24" s="775">
        <f>H24</f>
        <v>100</v>
      </c>
      <c r="V24" s="774" t="s">
        <v>17</v>
      </c>
      <c r="W24" s="775">
        <f>J24</f>
        <v>100</v>
      </c>
      <c r="X24" s="1812"/>
      <c r="Y24" s="3197"/>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7"/>
      <c r="Q25" s="1794">
        <f t="shared" si="11"/>
        <v>111</v>
      </c>
      <c r="R25" s="770" t="s">
        <v>17</v>
      </c>
      <c r="S25" s="771">
        <f>F25</f>
        <v>100</v>
      </c>
      <c r="T25" s="770" t="s">
        <v>17</v>
      </c>
      <c r="U25" s="771">
        <f>H25</f>
        <v>100</v>
      </c>
      <c r="V25" s="770" t="s">
        <v>17</v>
      </c>
      <c r="W25" s="771">
        <f>J25</f>
        <v>100</v>
      </c>
      <c r="X25" s="772"/>
      <c r="Y25" s="3197"/>
      <c r="Z25" s="55">
        <f>Q25</f>
        <v>111</v>
      </c>
      <c r="AA25" s="1810">
        <f>D25/F25</f>
        <v>1</v>
      </c>
      <c r="AB25" s="1810">
        <f>D25/H25</f>
        <v>1</v>
      </c>
      <c r="AC25" s="1810">
        <f>D25/J25</f>
        <v>1</v>
      </c>
    </row>
    <row r="26" spans="1:29" ht="28.5">
      <c r="A26" s="652" t="s">
        <v>2548</v>
      </c>
      <c r="B26" s="70" t="s">
        <v>2697</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8" t="s">
        <v>2550</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99" t="s">
        <v>2550</v>
      </c>
      <c r="Z26" s="1813" t="str">
        <f t="shared" ref="Z26:Z36" si="15">Q26</f>
        <v>配套类型</v>
      </c>
      <c r="AA26" s="1810">
        <f t="shared" si="3"/>
        <v>1</v>
      </c>
      <c r="AB26" s="1810">
        <f t="shared" si="4"/>
        <v>1</v>
      </c>
      <c r="AC26" s="1810">
        <f t="shared" si="5"/>
        <v>1</v>
      </c>
    </row>
    <row r="27" spans="1:29" s="471" customFormat="1" ht="15">
      <c r="A27" s="653"/>
      <c r="B27" s="654" t="s">
        <v>2698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9"/>
      <c r="Q27" s="776" t="str">
        <f t="shared" si="11"/>
        <v>项目停车位配比</v>
      </c>
      <c r="R27" s="777" t="s">
        <v>17</v>
      </c>
      <c r="S27" s="778">
        <f t="shared" si="12"/>
        <v>100</v>
      </c>
      <c r="T27" s="777" t="s">
        <v>17</v>
      </c>
      <c r="U27" s="778">
        <f t="shared" si="13"/>
        <v>100</v>
      </c>
      <c r="V27" s="777" t="s">
        <v>17</v>
      </c>
      <c r="W27" s="778">
        <f t="shared" si="14"/>
        <v>100</v>
      </c>
      <c r="X27" s="779"/>
      <c r="Y27" s="3199"/>
      <c r="Z27" s="780" t="str">
        <f t="shared" si="15"/>
        <v>项目停车位配比</v>
      </c>
      <c r="AA27" s="1810">
        <f t="shared" si="3"/>
        <v>1</v>
      </c>
      <c r="AB27" s="1810">
        <f t="shared" si="4"/>
        <v>1</v>
      </c>
      <c r="AC27" s="1810">
        <f t="shared" si="5"/>
        <v>1</v>
      </c>
    </row>
    <row r="28" spans="1:29" ht="15">
      <c r="A28" s="656"/>
      <c r="B28" s="654" t="s">
        <v>2699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9"/>
      <c r="Q28" s="1809" t="str">
        <f t="shared" si="11"/>
        <v>公共部分装修</v>
      </c>
      <c r="R28" s="774" t="s">
        <v>17</v>
      </c>
      <c r="S28" s="775">
        <f t="shared" si="12"/>
        <v>100</v>
      </c>
      <c r="T28" s="774" t="s">
        <v>17</v>
      </c>
      <c r="U28" s="775">
        <f t="shared" si="13"/>
        <v>100</v>
      </c>
      <c r="V28" s="774" t="s">
        <v>17</v>
      </c>
      <c r="W28" s="775">
        <f t="shared" si="14"/>
        <v>100</v>
      </c>
      <c r="X28" s="1812"/>
      <c r="Y28" s="3199"/>
      <c r="Z28" s="1813" t="str">
        <f t="shared" si="15"/>
        <v>公共部分装修</v>
      </c>
      <c r="AA28" s="1810">
        <f t="shared" si="3"/>
        <v>1</v>
      </c>
      <c r="AB28" s="1810">
        <f t="shared" si="4"/>
        <v>1</v>
      </c>
      <c r="AC28" s="1810">
        <f t="shared" si="5"/>
        <v>1</v>
      </c>
    </row>
    <row r="29" spans="1:29" ht="15">
      <c r="A29" s="656"/>
      <c r="B29" s="654" t="s">
        <v>2700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9"/>
      <c r="Q29" s="1809" t="str">
        <f t="shared" si="11"/>
        <v>成新率</v>
      </c>
      <c r="R29" s="774" t="s">
        <v>17</v>
      </c>
      <c r="S29" s="775" t="e">
        <f t="shared" si="12"/>
        <v>#N/A</v>
      </c>
      <c r="T29" s="774" t="s">
        <v>17</v>
      </c>
      <c r="U29" s="775" t="e">
        <f t="shared" si="13"/>
        <v>#N/A</v>
      </c>
      <c r="V29" s="774" t="s">
        <v>17</v>
      </c>
      <c r="W29" s="775" t="e">
        <f t="shared" si="14"/>
        <v>#N/A</v>
      </c>
      <c r="X29" s="1812"/>
      <c r="Y29" s="3199"/>
      <c r="Z29" s="1813" t="str">
        <f t="shared" si="15"/>
        <v>成新率</v>
      </c>
      <c r="AA29" s="1810" t="e">
        <f t="shared" si="3"/>
        <v>#N/A</v>
      </c>
      <c r="AB29" s="1810" t="e">
        <f t="shared" si="4"/>
        <v>#N/A</v>
      </c>
      <c r="AC29" s="1810" t="e">
        <f t="shared" si="5"/>
        <v>#N/A</v>
      </c>
    </row>
    <row r="30" spans="1:29" ht="15">
      <c r="A30" s="656"/>
      <c r="B30" s="654" t="s">
        <v>2701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9"/>
      <c r="Q30" s="1809" t="str">
        <f t="shared" si="11"/>
        <v>物业等级</v>
      </c>
      <c r="R30" s="774" t="s">
        <v>17</v>
      </c>
      <c r="S30" s="775">
        <f t="shared" si="12"/>
        <v>100</v>
      </c>
      <c r="T30" s="774" t="s">
        <v>17</v>
      </c>
      <c r="U30" s="775">
        <f t="shared" si="13"/>
        <v>100</v>
      </c>
      <c r="V30" s="774" t="s">
        <v>17</v>
      </c>
      <c r="W30" s="775">
        <f t="shared" si="14"/>
        <v>100</v>
      </c>
      <c r="X30" s="1812"/>
      <c r="Y30" s="3199"/>
      <c r="Z30" s="1813" t="str">
        <f t="shared" si="15"/>
        <v>物业等级</v>
      </c>
      <c r="AA30" s="1810">
        <f t="shared" si="3"/>
        <v>1</v>
      </c>
      <c r="AB30" s="1810">
        <f t="shared" si="4"/>
        <v>1</v>
      </c>
      <c r="AC30" s="1810">
        <f t="shared" si="5"/>
        <v>1</v>
      </c>
    </row>
    <row r="31" spans="1:29" s="117" customFormat="1" ht="15">
      <c r="A31" s="658"/>
      <c r="B31" s="654" t="s">
        <v>2702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9"/>
      <c r="Q31" s="1794" t="str">
        <f t="shared" si="11"/>
        <v>停车位面积</v>
      </c>
      <c r="R31" s="770" t="s">
        <v>17</v>
      </c>
      <c r="S31" s="771" t="e">
        <f t="shared" si="12"/>
        <v>#N/A</v>
      </c>
      <c r="T31" s="770" t="s">
        <v>17</v>
      </c>
      <c r="U31" s="771" t="e">
        <f t="shared" si="13"/>
        <v>#N/A</v>
      </c>
      <c r="V31" s="770" t="s">
        <v>17</v>
      </c>
      <c r="W31" s="771" t="e">
        <f t="shared" si="14"/>
        <v>#N/A</v>
      </c>
      <c r="X31" s="772"/>
      <c r="Y31" s="3199"/>
      <c r="Z31" s="55" t="str">
        <f t="shared" si="15"/>
        <v>停车位面积</v>
      </c>
      <c r="AA31" s="773" t="e">
        <f t="shared" si="3"/>
        <v>#N/A</v>
      </c>
      <c r="AB31" s="773" t="e">
        <f t="shared" si="4"/>
        <v>#N/A</v>
      </c>
      <c r="AC31" s="773" t="e">
        <f t="shared" si="5"/>
        <v>#N/A</v>
      </c>
    </row>
    <row r="32" spans="1:29" ht="15">
      <c r="A32" s="656"/>
      <c r="B32" s="654" t="s">
        <v>2703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9" t="s">
        <v>2550</v>
      </c>
      <c r="Q32" s="1809" t="str">
        <f t="shared" si="11"/>
        <v>车位类型</v>
      </c>
      <c r="R32" s="774" t="s">
        <v>17</v>
      </c>
      <c r="S32" s="775">
        <f t="shared" si="12"/>
        <v>100</v>
      </c>
      <c r="T32" s="774" t="s">
        <v>17</v>
      </c>
      <c r="U32" s="775">
        <f t="shared" si="13"/>
        <v>100</v>
      </c>
      <c r="V32" s="774" t="s">
        <v>17</v>
      </c>
      <c r="W32" s="775">
        <f t="shared" si="14"/>
        <v>100</v>
      </c>
      <c r="X32" s="1812"/>
      <c r="Y32" s="3199" t="s">
        <v>2550</v>
      </c>
      <c r="Z32" s="1813" t="str">
        <f t="shared" si="15"/>
        <v>车位类型</v>
      </c>
      <c r="AA32" s="1810">
        <f t="shared" si="3"/>
        <v>1</v>
      </c>
      <c r="AB32" s="1810">
        <f t="shared" si="4"/>
        <v>1</v>
      </c>
      <c r="AC32" s="1810">
        <f t="shared" si="5"/>
        <v>1</v>
      </c>
    </row>
    <row r="33" spans="1:29" ht="15">
      <c r="A33" s="656"/>
      <c r="B33" s="654" t="s">
        <v>2704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9"/>
      <c r="Q33" s="1809" t="str">
        <f t="shared" si="11"/>
        <v>是否直接入户</v>
      </c>
      <c r="R33" s="774" t="s">
        <v>17</v>
      </c>
      <c r="S33" s="775">
        <f t="shared" si="12"/>
        <v>100</v>
      </c>
      <c r="T33" s="774" t="s">
        <v>17</v>
      </c>
      <c r="U33" s="775">
        <f t="shared" si="13"/>
        <v>100</v>
      </c>
      <c r="V33" s="774" t="s">
        <v>17</v>
      </c>
      <c r="W33" s="775">
        <f t="shared" si="14"/>
        <v>100</v>
      </c>
      <c r="X33" s="1812"/>
      <c r="Y33" s="3199"/>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9"/>
      <c r="Q34" s="1809">
        <f t="shared" si="11"/>
        <v>111</v>
      </c>
      <c r="R34" s="774" t="s">
        <v>17</v>
      </c>
      <c r="S34" s="775">
        <f t="shared" si="12"/>
        <v>100</v>
      </c>
      <c r="T34" s="774" t="s">
        <v>17</v>
      </c>
      <c r="U34" s="775">
        <f t="shared" si="13"/>
        <v>100</v>
      </c>
      <c r="V34" s="774" t="s">
        <v>17</v>
      </c>
      <c r="W34" s="775">
        <f t="shared" si="14"/>
        <v>100</v>
      </c>
      <c r="X34" s="1812"/>
      <c r="Y34" s="3199"/>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9"/>
      <c r="Q35" s="776">
        <f t="shared" si="11"/>
        <v>111</v>
      </c>
      <c r="R35" s="777" t="s">
        <v>17</v>
      </c>
      <c r="S35" s="778">
        <f t="shared" si="12"/>
        <v>100</v>
      </c>
      <c r="T35" s="777" t="s">
        <v>17</v>
      </c>
      <c r="U35" s="778">
        <f t="shared" si="13"/>
        <v>100</v>
      </c>
      <c r="V35" s="777" t="s">
        <v>17</v>
      </c>
      <c r="W35" s="778">
        <f t="shared" si="14"/>
        <v>100</v>
      </c>
      <c r="X35" s="779"/>
      <c r="Y35" s="3199"/>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9"/>
      <c r="Q36" s="1809">
        <f t="shared" si="11"/>
        <v>111</v>
      </c>
      <c r="R36" s="774" t="s">
        <v>17</v>
      </c>
      <c r="S36" s="775">
        <f t="shared" si="12"/>
        <v>100</v>
      </c>
      <c r="T36" s="774" t="s">
        <v>17</v>
      </c>
      <c r="U36" s="775">
        <f t="shared" si="13"/>
        <v>100</v>
      </c>
      <c r="V36" s="774" t="s">
        <v>17</v>
      </c>
      <c r="W36" s="775">
        <f t="shared" si="14"/>
        <v>100</v>
      </c>
      <c r="X36" s="1812"/>
      <c r="Y36" s="3199"/>
      <c r="Z36" s="1813">
        <f t="shared" si="15"/>
        <v>111</v>
      </c>
      <c r="AA36" s="1810">
        <f t="shared" si="3"/>
        <v>1</v>
      </c>
      <c r="AB36" s="1810">
        <f t="shared" si="4"/>
        <v>1</v>
      </c>
      <c r="AC36" s="1810">
        <f t="shared" si="5"/>
        <v>1</v>
      </c>
    </row>
    <row r="37" spans="1:29" ht="15">
      <c r="A37" s="479" t="s">
        <v>2705</v>
      </c>
      <c r="B37" s="2689" t="s">
        <v>2706</v>
      </c>
      <c r="C37" s="1407" t="s">
        <v>1</v>
      </c>
      <c r="D37" s="1408"/>
      <c r="E37" s="1409"/>
      <c r="F37" s="1410"/>
      <c r="G37" s="1411"/>
      <c r="H37" s="1412"/>
      <c r="I37" s="1409"/>
      <c r="J37" s="1412"/>
      <c r="K37" s="619"/>
      <c r="L37" s="1143"/>
      <c r="M37" s="1144"/>
      <c r="N37" s="1131"/>
      <c r="O37" s="1144"/>
      <c r="P37" s="3181" t="str">
        <f>A37</f>
        <v>成交单价</v>
      </c>
      <c r="Q37" s="3181"/>
      <c r="R37" s="3240">
        <f>E37</f>
        <v>0</v>
      </c>
      <c r="S37" s="3240"/>
      <c r="T37" s="3240">
        <f>G37</f>
        <v>0</v>
      </c>
      <c r="U37" s="3240"/>
      <c r="V37" s="3240">
        <f>I37</f>
        <v>0</v>
      </c>
      <c r="W37" s="3240"/>
      <c r="X37" s="759"/>
      <c r="Y37" s="781"/>
      <c r="Z37" s="759"/>
      <c r="AA37" s="759"/>
      <c r="AB37" s="759"/>
      <c r="AC37" s="759"/>
    </row>
    <row r="38" spans="1:29" ht="15.75" thickBot="1">
      <c r="A38" s="486" t="s">
        <v>2707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1" t="str">
        <f>A38</f>
        <v>比较价值（元/平方米）</v>
      </c>
      <c r="Q38" s="3181"/>
      <c r="R38" s="3240" t="e">
        <f>IF(F1="售价",ROUND(PRODUCT(R37,AA7:AA36),0),ROUND(PRODUCT(R37,AA7:AA36),1))</f>
        <v>#DIV/0!</v>
      </c>
      <c r="S38" s="3240"/>
      <c r="T38" s="3240" t="e">
        <f>IF(F1="售价",ROUND(PRODUCT(T37,AB7:AB36),0),ROUND(PRODUCT(T37,AB7:AB36),1))</f>
        <v>#DIV/0!</v>
      </c>
      <c r="U38" s="3240"/>
      <c r="V38" s="3240" t="e">
        <f>IF(F1="售价",ROUND(PRODUCT(V37,AC7:AC36),0),ROUND(PRODUCT(V37,AC7:AC36),1))</f>
        <v>#DIV/0!</v>
      </c>
      <c r="W38" s="3240"/>
      <c r="X38" s="759"/>
      <c r="Y38" s="759"/>
      <c r="Z38" s="759"/>
      <c r="AA38" s="759"/>
      <c r="AB38" s="759"/>
      <c r="AC38" s="759"/>
    </row>
    <row r="39" spans="1:29" ht="15.75" thickBot="1">
      <c r="A39" s="492" t="s">
        <v>2708</v>
      </c>
      <c r="B39" s="493"/>
      <c r="C39" s="1417" t="e">
        <f>R39</f>
        <v>#DIV/0!</v>
      </c>
      <c r="D39" s="1417"/>
      <c r="E39" s="1417"/>
      <c r="F39" s="1417"/>
      <c r="G39" s="1417"/>
      <c r="H39" s="1417"/>
      <c r="I39" s="1417"/>
      <c r="J39" s="1417"/>
      <c r="K39" s="621"/>
      <c r="L39" s="1143"/>
      <c r="M39" s="1144"/>
      <c r="N39" s="1144"/>
      <c r="O39" s="1144"/>
      <c r="P39" s="3201" t="str">
        <f>A39</f>
        <v>估价对象XX用房的比较价值（楼面单价，元/平方米）</v>
      </c>
      <c r="Q39" s="3202"/>
      <c r="R39" s="3239" t="e">
        <f>IF(F1="售价",ROUND(AVERAGE(R38:V38),0),ROUND(AVERAGE(R38:V38),1))</f>
        <v>#DIV/0!</v>
      </c>
      <c r="S39" s="3239"/>
      <c r="T39" s="3239"/>
      <c r="U39" s="3239"/>
      <c r="V39" s="3239"/>
      <c r="W39" s="323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2713</v>
      </c>
      <c r="B48" s="506"/>
      <c r="C48" s="1573" t="str">
        <f>YEAR(C7)&amp;"-"&amp;MONTH(C7)</f>
        <v>2020-7</v>
      </c>
      <c r="D48" s="1574">
        <f>EDATE(C48,-1)</f>
        <v>43983</v>
      </c>
      <c r="E48" s="1574">
        <f t="shared" ref="E48:O48" si="16">EDATE(D48,-1)</f>
        <v>43952</v>
      </c>
      <c r="F48" s="1574">
        <f t="shared" si="16"/>
        <v>43922</v>
      </c>
      <c r="G48" s="1574">
        <f t="shared" si="16"/>
        <v>43891</v>
      </c>
      <c r="H48" s="1574">
        <f t="shared" si="16"/>
        <v>43862</v>
      </c>
      <c r="I48" s="1574">
        <f t="shared" si="16"/>
        <v>43831</v>
      </c>
      <c r="J48" s="1574">
        <f t="shared" si="16"/>
        <v>43800</v>
      </c>
      <c r="K48" s="1574">
        <f t="shared" si="16"/>
        <v>43770</v>
      </c>
      <c r="L48" s="1574">
        <f t="shared" si="16"/>
        <v>43739</v>
      </c>
      <c r="M48" s="1574">
        <f t="shared" si="16"/>
        <v>43709</v>
      </c>
      <c r="N48" s="1574">
        <f t="shared" si="16"/>
        <v>43678</v>
      </c>
      <c r="O48" s="1574">
        <f t="shared" si="16"/>
        <v>43647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2535</v>
      </c>
      <c r="B51" s="510"/>
      <c r="C51" s="522" t="s">
        <v>2637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2573</v>
      </c>
      <c r="B53" s="528" t="s">
        <v>2539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2542</v>
      </c>
      <c r="C55" s="539" t="s">
        <v>2574</v>
      </c>
      <c r="D55" s="539" t="s">
        <v>2575</v>
      </c>
      <c r="E55" s="539" t="s">
        <v>2576</v>
      </c>
      <c r="F55" s="539" t="s">
        <v>2577</v>
      </c>
      <c r="G55" s="539" t="s">
        <v>2578</v>
      </c>
      <c r="H55" s="539" t="s">
        <v>2579</v>
      </c>
      <c r="I55" s="539" t="s">
        <v>2580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2544</v>
      </c>
      <c r="B63" s="528" t="s">
        <v>2587</v>
      </c>
      <c r="C63" s="573" t="s">
        <v>2582</v>
      </c>
      <c r="D63" s="573" t="s">
        <v>2583</v>
      </c>
      <c r="E63" s="573" t="s">
        <v>2584</v>
      </c>
      <c r="F63" s="573" t="s">
        <v>2585</v>
      </c>
      <c r="G63" s="573" t="s">
        <v>2586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2588</v>
      </c>
      <c r="C65" s="578" t="s">
        <v>2582</v>
      </c>
      <c r="D65" s="578" t="s">
        <v>2583</v>
      </c>
      <c r="E65" s="578" t="s">
        <v>2584</v>
      </c>
      <c r="F65" s="578" t="s">
        <v>2585</v>
      </c>
      <c r="G65" s="578" t="s">
        <v>2586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2674</v>
      </c>
      <c r="C67" s="660" t="s">
        <v>2660</v>
      </c>
      <c r="D67" s="660" t="s">
        <v>2661</v>
      </c>
      <c r="E67" s="660" t="s">
        <v>2662</v>
      </c>
      <c r="F67" s="660" t="s">
        <v>2663</v>
      </c>
      <c r="G67" s="660" t="s">
        <v>2664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2594</v>
      </c>
      <c r="C69" s="578" t="s">
        <v>2582</v>
      </c>
      <c r="D69" s="578" t="s">
        <v>2583</v>
      </c>
      <c r="E69" s="578" t="s">
        <v>2584</v>
      </c>
      <c r="F69" s="578" t="s">
        <v>2585</v>
      </c>
      <c r="G69" s="578" t="s">
        <v>2586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2548</v>
      </c>
      <c r="B79" s="528" t="s">
        <v>2715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19" sqref="F19"/>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2692</v>
      </c>
      <c r="B1" s="1618"/>
      <c r="C1" s="1619" t="s">
        <v>2515</v>
      </c>
      <c r="D1" s="1620"/>
      <c r="E1" s="1629"/>
      <c r="F1" s="2580"/>
      <c r="G1" s="1630" t="s">
        <v>2628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2315</v>
      </c>
      <c r="B2" s="1418" t="e">
        <f ca="1">IF(C2="——",ROUND(C37*D3/10000,0),ROUND(C37*D3/10000,0)-D2)</f>
        <v>#DIV/0!</v>
      </c>
      <c r="C2" s="2582"/>
      <c r="D2" s="1124" t="e">
        <f ca="1">SUMIF(INDIRECT("'"&amp;F2&amp;"'"&amp;"!A:A"),"承租人权益价值",INDIRECT("'"&amp;F2&amp;"'"&amp;"!c:c"))</f>
        <v>#REF!</v>
      </c>
      <c r="E2" s="2583" t="s">
        <v>2316</v>
      </c>
      <c r="F2" s="2584"/>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2629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182" t="s">
        <v>2631</v>
      </c>
      <c r="D4" s="3183"/>
      <c r="E4" s="3184" t="s">
        <v>2632</v>
      </c>
      <c r="F4" s="3185"/>
      <c r="G4" s="3182" t="s">
        <v>2633</v>
      </c>
      <c r="H4" s="3183"/>
      <c r="I4" s="3182" t="s">
        <v>2634</v>
      </c>
      <c r="J4" s="3183"/>
      <c r="K4" s="610" t="s">
        <v>2635</v>
      </c>
      <c r="L4" s="1130"/>
      <c r="M4" s="1131"/>
      <c r="N4" s="1131"/>
      <c r="O4" s="1131"/>
      <c r="P4" s="3186" t="s">
        <v>2636</v>
      </c>
      <c r="Q4" s="3187"/>
      <c r="R4" s="3169" t="s">
        <v>2632</v>
      </c>
      <c r="S4" s="3170"/>
      <c r="T4" s="3169" t="s">
        <v>2633</v>
      </c>
      <c r="U4" s="3170"/>
      <c r="V4" s="3194" t="s">
        <v>2634</v>
      </c>
      <c r="W4" s="3194"/>
      <c r="X4" s="1812"/>
      <c r="Y4" s="3169" t="s">
        <v>2636</v>
      </c>
      <c r="Z4" s="3170"/>
      <c r="AA4" s="3164" t="s">
        <v>2632</v>
      </c>
      <c r="AB4" s="3165" t="s">
        <v>2633</v>
      </c>
      <c r="AC4" s="3164" t="s">
        <v>2634</v>
      </c>
    </row>
    <row r="5" spans="1:29" ht="15">
      <c r="A5" s="404"/>
      <c r="B5" s="405"/>
      <c r="C5" s="3175" t="s">
        <v>2527</v>
      </c>
      <c r="D5" s="3176"/>
      <c r="E5" s="3173" t="s">
        <v>2528</v>
      </c>
      <c r="F5" s="3174"/>
      <c r="G5" s="3175" t="s">
        <v>2529</v>
      </c>
      <c r="H5" s="3176"/>
      <c r="I5" s="3175" t="s">
        <v>2530</v>
      </c>
      <c r="J5" s="3176"/>
      <c r="K5" s="610"/>
      <c r="L5" s="1130"/>
      <c r="M5" s="1131"/>
      <c r="N5" s="1131"/>
      <c r="O5" s="1131"/>
      <c r="P5" s="3188"/>
      <c r="Q5" s="3189"/>
      <c r="R5" s="3171"/>
      <c r="S5" s="3172"/>
      <c r="T5" s="3171"/>
      <c r="U5" s="3172"/>
      <c r="V5" s="3194"/>
      <c r="W5" s="3194"/>
      <c r="X5" s="1812"/>
      <c r="Y5" s="3171"/>
      <c r="Z5" s="3172"/>
      <c r="AA5" s="3165"/>
      <c r="AB5" s="3165"/>
      <c r="AC5" s="3165"/>
    </row>
    <row r="6" spans="1:29" ht="15.75" thickBot="1">
      <c r="A6" s="406"/>
      <c r="B6" s="407"/>
      <c r="C6" s="3177" t="s">
        <v>2531</v>
      </c>
      <c r="D6" s="3178"/>
      <c r="E6" s="3179" t="s">
        <v>2531</v>
      </c>
      <c r="F6" s="3180"/>
      <c r="G6" s="3177" t="s">
        <v>2531</v>
      </c>
      <c r="H6" s="3178"/>
      <c r="I6" s="3177" t="s">
        <v>2531</v>
      </c>
      <c r="J6" s="3178"/>
      <c r="K6" s="610" t="s">
        <v>2532</v>
      </c>
      <c r="L6" s="1130"/>
      <c r="M6" s="1131"/>
      <c r="N6" s="1131"/>
      <c r="O6" s="1131"/>
      <c r="P6" s="3190"/>
      <c r="Q6" s="3191"/>
      <c r="R6" s="3171"/>
      <c r="S6" s="3172"/>
      <c r="T6" s="3192"/>
      <c r="U6" s="3193"/>
      <c r="V6" s="3194"/>
      <c r="W6" s="3194"/>
      <c r="X6" s="1812"/>
      <c r="Y6" s="3192"/>
      <c r="Z6" s="3193"/>
      <c r="AA6" s="3166"/>
      <c r="AB6" s="3166"/>
      <c r="AC6" s="3166"/>
    </row>
    <row r="7" spans="1:29" s="117" customFormat="1" ht="15.75" thickBot="1">
      <c r="A7" s="408" t="s">
        <v>2533</v>
      </c>
      <c r="B7" s="409"/>
      <c r="C7" s="410">
        <f>'数据-取费表'!B2</f>
        <v>44018</v>
      </c>
      <c r="D7" s="411">
        <v>100</v>
      </c>
      <c r="E7" s="412"/>
      <c r="F7" s="413">
        <f>SUMIF(46:46,YEAR(E7)&amp;"-"&amp;MONTH(E7),47:47)</f>
        <v>0</v>
      </c>
      <c r="G7" s="2690"/>
      <c r="H7" s="411">
        <f>SUMIF(46:46,YEAR(G7)&amp;"-"&amp;MONTH(G7),47:47)</f>
        <v>0</v>
      </c>
      <c r="I7" s="412"/>
      <c r="J7" s="411">
        <f>SUMIF(46:46,YEAR(I7)&amp;"-"&amp;MONTH(I7),47:47)</f>
        <v>0</v>
      </c>
      <c r="K7" s="611"/>
      <c r="L7" s="1132"/>
      <c r="M7" s="1133"/>
      <c r="N7" s="1133"/>
      <c r="O7" s="1133"/>
      <c r="P7" s="3167" t="s">
        <v>2534</v>
      </c>
      <c r="Q7" s="3195"/>
      <c r="R7" s="770" t="s">
        <v>17</v>
      </c>
      <c r="S7" s="771">
        <f t="shared" ref="S7:S14" si="0">F7</f>
        <v>0</v>
      </c>
      <c r="T7" s="770" t="s">
        <v>17</v>
      </c>
      <c r="U7" s="771">
        <f t="shared" ref="U7:U14" si="1">H7</f>
        <v>0</v>
      </c>
      <c r="V7" s="770" t="s">
        <v>17</v>
      </c>
      <c r="W7" s="771">
        <f t="shared" ref="W7:W14" si="2">J7</f>
        <v>0</v>
      </c>
      <c r="X7" s="772"/>
      <c r="Y7" s="3167" t="s">
        <v>2534</v>
      </c>
      <c r="Z7" s="3168"/>
      <c r="AA7" s="773" t="e">
        <f>D7/F7</f>
        <v>#DIV/0!</v>
      </c>
      <c r="AB7" s="773" t="e">
        <f>D7/H7</f>
        <v>#DIV/0!</v>
      </c>
      <c r="AC7" s="773" t="e">
        <f>D7/J7</f>
        <v>#DIV/0!</v>
      </c>
    </row>
    <row r="8" spans="1:29" s="117" customFormat="1" ht="15.75" thickBot="1">
      <c r="A8" s="408" t="s">
        <v>2535</v>
      </c>
      <c r="B8" s="409"/>
      <c r="C8" s="414" t="s">
        <v>2637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67" t="s">
        <v>2537</v>
      </c>
      <c r="Q8" s="3168"/>
      <c r="R8" s="770" t="s">
        <v>17</v>
      </c>
      <c r="S8" s="771">
        <f t="shared" si="0"/>
        <v>0</v>
      </c>
      <c r="T8" s="770" t="s">
        <v>17</v>
      </c>
      <c r="U8" s="771">
        <f t="shared" si="1"/>
        <v>0</v>
      </c>
      <c r="V8" s="770" t="s">
        <v>17</v>
      </c>
      <c r="W8" s="771">
        <f t="shared" si="2"/>
        <v>0</v>
      </c>
      <c r="X8" s="772"/>
      <c r="Y8" s="3167" t="s">
        <v>2537</v>
      </c>
      <c r="Z8" s="3168"/>
      <c r="AA8" s="773" t="e">
        <f t="shared" ref="AA8:AA34" si="3">D8/F8</f>
        <v>#DIV/0!</v>
      </c>
      <c r="AB8" s="773" t="e">
        <f t="shared" ref="AB8:AB34" si="4">D8/H8</f>
        <v>#DIV/0!</v>
      </c>
      <c r="AC8" s="773" t="e">
        <f t="shared" ref="AC8:AC34" si="5">D8/J8</f>
        <v>#DIV/0!</v>
      </c>
    </row>
    <row r="9" spans="1:29" s="117" customFormat="1">
      <c r="A9" s="415" t="s">
        <v>2538</v>
      </c>
      <c r="B9" s="71" t="s">
        <v>2539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1" t="s">
        <v>2540</v>
      </c>
      <c r="Q9" s="1794" t="str">
        <f t="shared" ref="Q9:Q14" si="6">B9</f>
        <v>用途</v>
      </c>
      <c r="R9" s="770" t="s">
        <v>17</v>
      </c>
      <c r="S9" s="771">
        <f t="shared" si="0"/>
        <v>100</v>
      </c>
      <c r="T9" s="770" t="s">
        <v>17</v>
      </c>
      <c r="U9" s="771">
        <f t="shared" si="1"/>
        <v>100</v>
      </c>
      <c r="V9" s="770" t="s">
        <v>17</v>
      </c>
      <c r="W9" s="771">
        <f t="shared" si="2"/>
        <v>100</v>
      </c>
      <c r="X9" s="772"/>
      <c r="Y9" s="3044" t="s">
        <v>2541</v>
      </c>
      <c r="Z9" s="55" t="str">
        <f t="shared" ref="Z9:Z14" si="7">Q9</f>
        <v>用途</v>
      </c>
      <c r="AA9" s="773">
        <f t="shared" si="3"/>
        <v>1</v>
      </c>
      <c r="AB9" s="773">
        <f t="shared" si="4"/>
        <v>1</v>
      </c>
      <c r="AC9" s="773">
        <f t="shared" si="5"/>
        <v>1</v>
      </c>
    </row>
    <row r="10" spans="1:29" s="427" customFormat="1" ht="27">
      <c r="A10" s="421"/>
      <c r="B10" s="422" t="s">
        <v>2542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1"/>
      <c r="Q10" s="1794"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1"/>
      <c r="Q11" s="1794">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1"/>
      <c r="Q12" s="1794">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1"/>
      <c r="H13" s="438">
        <f>SUMIF(59:59,G13,60:60)-SUMIF(59:59,C13,60:60)+100</f>
        <v>100</v>
      </c>
      <c r="I13" s="469"/>
      <c r="J13" s="435">
        <f>SUMIF(59:59,I13,60:60)-SUMIF(59:59,C13,60:60)+100</f>
        <v>100</v>
      </c>
      <c r="K13" s="613"/>
      <c r="L13" s="1140"/>
      <c r="M13" s="1131"/>
      <c r="N13" s="1131"/>
      <c r="O13" s="1139"/>
      <c r="P13" s="3181"/>
      <c r="Q13" s="1794">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
      <c r="A14" s="440" t="s">
        <v>2544</v>
      </c>
      <c r="B14" s="69" t="s">
        <v>2694</v>
      </c>
      <c r="C14" s="2687"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6" t="s">
        <v>2545</v>
      </c>
      <c r="Q14" s="1809" t="str">
        <f t="shared" si="6"/>
        <v>交通便捷度</v>
      </c>
      <c r="R14" s="774" t="s">
        <v>17</v>
      </c>
      <c r="S14" s="775">
        <f t="shared" si="0"/>
        <v>100</v>
      </c>
      <c r="T14" s="774" t="s">
        <v>17</v>
      </c>
      <c r="U14" s="775">
        <f t="shared" si="1"/>
        <v>100</v>
      </c>
      <c r="V14" s="774" t="s">
        <v>17</v>
      </c>
      <c r="W14" s="775">
        <f t="shared" si="2"/>
        <v>100</v>
      </c>
      <c r="X14" s="1812"/>
      <c r="Y14" s="3196" t="s">
        <v>2545</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97"/>
      <c r="Q15" s="1809"/>
      <c r="R15" s="774"/>
      <c r="S15" s="775"/>
      <c r="T15" s="774"/>
      <c r="U15" s="775"/>
      <c r="V15" s="774"/>
      <c r="W15" s="775"/>
      <c r="X15" s="1812"/>
      <c r="Y15" s="3197"/>
      <c r="Z15" s="1813"/>
      <c r="AA15" s="1810">
        <v>1</v>
      </c>
      <c r="AB15" s="1810">
        <v>1</v>
      </c>
      <c r="AC15" s="1810">
        <v>1</v>
      </c>
    </row>
    <row r="16" spans="1:29" ht="15">
      <c r="A16" s="428"/>
      <c r="B16" s="451" t="s">
        <v>2673</v>
      </c>
      <c r="C16" s="2603"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7"/>
      <c r="Q16" s="1809" t="str">
        <f>B16</f>
        <v>公共配套设施</v>
      </c>
      <c r="R16" s="774" t="s">
        <v>17</v>
      </c>
      <c r="S16" s="775">
        <f>F16</f>
        <v>100</v>
      </c>
      <c r="T16" s="774" t="s">
        <v>17</v>
      </c>
      <c r="U16" s="775">
        <f>H16</f>
        <v>100</v>
      </c>
      <c r="V16" s="774" t="s">
        <v>17</v>
      </c>
      <c r="W16" s="775">
        <f>J16</f>
        <v>100</v>
      </c>
      <c r="X16" s="1812"/>
      <c r="Y16" s="3197"/>
      <c r="Z16" s="1813" t="str">
        <f>Q16</f>
        <v>公共配套设施</v>
      </c>
      <c r="AA16" s="1810">
        <f t="shared" si="3"/>
        <v>1</v>
      </c>
      <c r="AB16" s="1810">
        <f t="shared" si="4"/>
        <v>1</v>
      </c>
      <c r="AC16" s="1810">
        <f t="shared" si="5"/>
        <v>1</v>
      </c>
    </row>
    <row r="17" spans="1:29" ht="15">
      <c r="A17" s="428"/>
      <c r="B17" s="456"/>
      <c r="C17" s="2604"/>
      <c r="D17" s="448"/>
      <c r="E17" s="447"/>
      <c r="F17" s="449"/>
      <c r="G17" s="447"/>
      <c r="H17" s="448"/>
      <c r="I17" s="447"/>
      <c r="J17" s="448"/>
      <c r="K17" s="615"/>
      <c r="L17" s="1140"/>
      <c r="M17" s="1131"/>
      <c r="N17" s="1131"/>
      <c r="O17" s="1139"/>
      <c r="P17" s="3197"/>
      <c r="Q17" s="1809"/>
      <c r="R17" s="774"/>
      <c r="S17" s="775"/>
      <c r="T17" s="774"/>
      <c r="U17" s="775"/>
      <c r="V17" s="774"/>
      <c r="W17" s="775"/>
      <c r="X17" s="1812"/>
      <c r="Y17" s="3197"/>
      <c r="Z17" s="1813"/>
      <c r="AA17" s="1810">
        <v>1</v>
      </c>
      <c r="AB17" s="1810">
        <v>1</v>
      </c>
      <c r="AC17" s="1810">
        <v>1</v>
      </c>
    </row>
    <row r="18" spans="1:29" ht="15">
      <c r="A18" s="428"/>
      <c r="B18" s="1384" t="s">
        <v>2674</v>
      </c>
      <c r="C18" s="2603"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7"/>
      <c r="Q18" s="1809" t="str">
        <f>B18</f>
        <v>基础设施水平</v>
      </c>
      <c r="R18" s="774" t="s">
        <v>17</v>
      </c>
      <c r="S18" s="775">
        <f>F18</f>
        <v>100</v>
      </c>
      <c r="T18" s="774" t="s">
        <v>17</v>
      </c>
      <c r="U18" s="775">
        <f>H18</f>
        <v>100</v>
      </c>
      <c r="V18" s="774" t="s">
        <v>17</v>
      </c>
      <c r="W18" s="775">
        <f>J18</f>
        <v>100</v>
      </c>
      <c r="X18" s="1812"/>
      <c r="Y18" s="3197"/>
      <c r="Z18" s="1813" t="str">
        <f>Q18</f>
        <v>基础设施水平</v>
      </c>
      <c r="AA18" s="1810">
        <f t="shared" ref="AA18" si="8">D18/F18</f>
        <v>1</v>
      </c>
      <c r="AB18" s="1810">
        <f t="shared" ref="AB18" si="9">D18/H18</f>
        <v>1</v>
      </c>
      <c r="AC18" s="1810">
        <f t="shared" ref="AC18" si="10">D18/J18</f>
        <v>1</v>
      </c>
    </row>
    <row r="19" spans="1:29" ht="15">
      <c r="A19" s="428"/>
      <c r="B19" s="1384"/>
      <c r="C19" s="2604"/>
      <c r="D19" s="450"/>
      <c r="E19" s="2604"/>
      <c r="F19" s="453"/>
      <c r="G19" s="2604"/>
      <c r="H19" s="448"/>
      <c r="I19" s="447"/>
      <c r="J19" s="448"/>
      <c r="K19" s="1383"/>
      <c r="L19" s="1140"/>
      <c r="M19" s="1131"/>
      <c r="N19" s="1131"/>
      <c r="O19" s="1139"/>
      <c r="P19" s="3197"/>
      <c r="Q19" s="1809"/>
      <c r="R19" s="774"/>
      <c r="S19" s="775"/>
      <c r="T19" s="774"/>
      <c r="U19" s="775"/>
      <c r="V19" s="774"/>
      <c r="W19" s="775"/>
      <c r="X19" s="1812"/>
      <c r="Y19" s="3197"/>
      <c r="Z19" s="1813"/>
      <c r="AA19" s="1810">
        <v>1</v>
      </c>
      <c r="AB19" s="1810">
        <v>1</v>
      </c>
      <c r="AC19" s="1810">
        <v>1</v>
      </c>
    </row>
    <row r="20" spans="1:29" ht="15">
      <c r="A20" s="428"/>
      <c r="B20" s="451" t="s">
        <v>2695</v>
      </c>
      <c r="C20" s="2603"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7"/>
      <c r="Q20" s="1809" t="str">
        <f>B20</f>
        <v>自然及人文环境</v>
      </c>
      <c r="R20" s="774" t="s">
        <v>17</v>
      </c>
      <c r="S20" s="775">
        <f>F20</f>
        <v>100</v>
      </c>
      <c r="T20" s="774" t="s">
        <v>17</v>
      </c>
      <c r="U20" s="775">
        <f>H20</f>
        <v>100</v>
      </c>
      <c r="V20" s="774" t="s">
        <v>17</v>
      </c>
      <c r="W20" s="775">
        <f>J20</f>
        <v>100</v>
      </c>
      <c r="X20" s="1812"/>
      <c r="Y20" s="319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97"/>
      <c r="Q21" s="1809"/>
      <c r="R21" s="774"/>
      <c r="S21" s="775"/>
      <c r="T21" s="774"/>
      <c r="U21" s="775"/>
      <c r="V21" s="774"/>
      <c r="W21" s="775"/>
      <c r="X21" s="1812"/>
      <c r="Y21" s="3197"/>
      <c r="Z21" s="1813"/>
      <c r="AA21" s="1810">
        <v>1</v>
      </c>
      <c r="AB21" s="1810">
        <v>1</v>
      </c>
      <c r="AC21" s="1810">
        <v>1</v>
      </c>
    </row>
    <row r="22" spans="1:29" ht="15">
      <c r="A22" s="428"/>
      <c r="B22" s="451" t="s">
        <v>2696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7"/>
      <c r="Q22" s="1809" t="str">
        <f>B22</f>
        <v>楼层</v>
      </c>
      <c r="R22" s="774" t="s">
        <v>17</v>
      </c>
      <c r="S22" s="775">
        <f>F22</f>
        <v>100</v>
      </c>
      <c r="T22" s="774" t="s">
        <v>17</v>
      </c>
      <c r="U22" s="775">
        <f>H22</f>
        <v>100</v>
      </c>
      <c r="V22" s="774" t="s">
        <v>17</v>
      </c>
      <c r="W22" s="775">
        <f>J22</f>
        <v>100</v>
      </c>
      <c r="X22" s="1812"/>
      <c r="Y22" s="3197"/>
      <c r="Z22" s="1813" t="str">
        <f>Q22</f>
        <v>楼层</v>
      </c>
      <c r="AA22" s="1810">
        <f t="shared" si="3"/>
        <v>1</v>
      </c>
      <c r="AB22" s="1810">
        <f t="shared" si="4"/>
        <v>1</v>
      </c>
      <c r="AC22" s="1810">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7"/>
      <c r="Q23" s="1809">
        <f>B23</f>
        <v>111</v>
      </c>
      <c r="R23" s="774" t="s">
        <v>17</v>
      </c>
      <c r="S23" s="775">
        <f>F23</f>
        <v>100</v>
      </c>
      <c r="T23" s="774" t="s">
        <v>17</v>
      </c>
      <c r="U23" s="775">
        <f>H23</f>
        <v>100</v>
      </c>
      <c r="V23" s="774" t="s">
        <v>17</v>
      </c>
      <c r="W23" s="775">
        <f>J23</f>
        <v>100</v>
      </c>
      <c r="X23" s="1812"/>
      <c r="Y23" s="3197"/>
      <c r="Z23" s="1813">
        <f>Q23</f>
        <v>111</v>
      </c>
      <c r="AA23" s="1810">
        <f t="shared" si="3"/>
        <v>1</v>
      </c>
      <c r="AB23" s="1810">
        <f t="shared" si="4"/>
        <v>1</v>
      </c>
      <c r="AC23" s="1810">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7"/>
      <c r="Q24" s="1809">
        <f t="shared" ref="Q24:Q34" si="11">B24</f>
        <v>111</v>
      </c>
      <c r="R24" s="774" t="s">
        <v>17</v>
      </c>
      <c r="S24" s="775">
        <f>F24</f>
        <v>100</v>
      </c>
      <c r="T24" s="774" t="s">
        <v>17</v>
      </c>
      <c r="U24" s="775">
        <f>H24</f>
        <v>100</v>
      </c>
      <c r="V24" s="774" t="s">
        <v>17</v>
      </c>
      <c r="W24" s="775">
        <f>J24</f>
        <v>100</v>
      </c>
      <c r="X24" s="1812"/>
      <c r="Y24" s="3197"/>
      <c r="Z24" s="1813">
        <f>Q24</f>
        <v>111</v>
      </c>
      <c r="AA24" s="1810">
        <f t="shared" si="3"/>
        <v>1</v>
      </c>
      <c r="AB24" s="1810">
        <f t="shared" si="4"/>
        <v>1</v>
      </c>
      <c r="AC24" s="1810">
        <f t="shared" si="5"/>
        <v>1</v>
      </c>
    </row>
    <row r="25" spans="1:29" s="117" customFormat="1" ht="15.75" thickBot="1">
      <c r="A25" s="431"/>
      <c r="B25" s="2596">
        <v>111</v>
      </c>
      <c r="C25" s="2692"/>
      <c r="D25" s="665">
        <v>100</v>
      </c>
      <c r="E25" s="2692"/>
      <c r="F25" s="666">
        <f>SUMIF(75:75,E25,76:76)-SUMIF(75:75,C25,76:76)+100</f>
        <v>100</v>
      </c>
      <c r="G25" s="2692"/>
      <c r="H25" s="665">
        <f>SUMIF(75:75,G25,76:76)-SUMIF(75:75,C25,76:76)+100</f>
        <v>100</v>
      </c>
      <c r="I25" s="2692"/>
      <c r="J25" s="665">
        <f>SUMIF(75:75,I25,76:76)-SUMIF(75:75,C25,76:76)+100</f>
        <v>100</v>
      </c>
      <c r="K25" s="613"/>
      <c r="L25" s="1132"/>
      <c r="M25" s="1133"/>
      <c r="N25" s="1133"/>
      <c r="O25" s="1134"/>
      <c r="P25" s="3197"/>
      <c r="Q25" s="1794">
        <f t="shared" si="11"/>
        <v>111</v>
      </c>
      <c r="R25" s="770" t="s">
        <v>17</v>
      </c>
      <c r="S25" s="771">
        <f>F25</f>
        <v>100</v>
      </c>
      <c r="T25" s="770" t="s">
        <v>17</v>
      </c>
      <c r="U25" s="771">
        <f>H25</f>
        <v>100</v>
      </c>
      <c r="V25" s="770" t="s">
        <v>17</v>
      </c>
      <c r="W25" s="771">
        <f>J25</f>
        <v>100</v>
      </c>
      <c r="X25" s="772"/>
      <c r="Y25" s="3197"/>
      <c r="Z25" s="55">
        <f>Q25</f>
        <v>111</v>
      </c>
      <c r="AA25" s="1810">
        <f>D25/F25</f>
        <v>1</v>
      </c>
      <c r="AB25" s="1810">
        <f>D25/H25</f>
        <v>1</v>
      </c>
      <c r="AC25" s="1810">
        <f>D25/J25</f>
        <v>1</v>
      </c>
    </row>
    <row r="26" spans="1:29" ht="28.5">
      <c r="A26" s="466" t="s">
        <v>2548</v>
      </c>
      <c r="B26" s="71" t="s">
        <v>2699</v>
      </c>
      <c r="C26" s="2673"/>
      <c r="D26" s="467">
        <v>100</v>
      </c>
      <c r="E26" s="2673"/>
      <c r="F26" s="667">
        <f>SUMIF(77:77,E26,78:78)-SUMIF(77:77,C26,78:78)+100</f>
        <v>100</v>
      </c>
      <c r="G26" s="2673"/>
      <c r="H26" s="467">
        <f>SUMIF(77:77,G26,78:78)-SUMIF(77:77,C26,78:78)+100</f>
        <v>100</v>
      </c>
      <c r="I26" s="2673"/>
      <c r="J26" s="467">
        <f>SUMIF(77:77,I26,78:78)-SUMIF(77:77,C26,78:78)+100</f>
        <v>100</v>
      </c>
      <c r="K26" s="612"/>
      <c r="L26" s="1140"/>
      <c r="M26" s="1131"/>
      <c r="N26" s="1131"/>
      <c r="O26" s="1139"/>
      <c r="P26" s="3198" t="s">
        <v>2550</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99" t="s">
        <v>2550</v>
      </c>
      <c r="Z26" s="1813" t="str">
        <f t="shared" ref="Z26:Z34" si="15">Q26</f>
        <v>公共部分装修</v>
      </c>
      <c r="AA26" s="1810">
        <f t="shared" si="3"/>
        <v>1</v>
      </c>
      <c r="AB26" s="1810">
        <f t="shared" si="4"/>
        <v>1</v>
      </c>
      <c r="AC26" s="1810">
        <f t="shared" si="5"/>
        <v>1</v>
      </c>
    </row>
    <row r="27" spans="1:29" s="471" customFormat="1" ht="15">
      <c r="A27" s="468"/>
      <c r="B27" s="422" t="s">
        <v>2700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9"/>
      <c r="Q27" s="776" t="str">
        <f t="shared" si="11"/>
        <v>成新率</v>
      </c>
      <c r="R27" s="777" t="s">
        <v>17</v>
      </c>
      <c r="S27" s="778" t="e">
        <f t="shared" si="12"/>
        <v>#N/A</v>
      </c>
      <c r="T27" s="777" t="s">
        <v>17</v>
      </c>
      <c r="U27" s="778" t="e">
        <f t="shared" si="13"/>
        <v>#N/A</v>
      </c>
      <c r="V27" s="777" t="s">
        <v>17</v>
      </c>
      <c r="W27" s="778" t="e">
        <f t="shared" si="14"/>
        <v>#N/A</v>
      </c>
      <c r="X27" s="779"/>
      <c r="Y27" s="3199"/>
      <c r="Z27" s="780" t="str">
        <f t="shared" si="15"/>
        <v>成新率</v>
      </c>
      <c r="AA27" s="1810" t="e">
        <f t="shared" si="3"/>
        <v>#N/A</v>
      </c>
      <c r="AB27" s="1810" t="e">
        <f t="shared" si="4"/>
        <v>#N/A</v>
      </c>
      <c r="AC27" s="1810" t="e">
        <f t="shared" si="5"/>
        <v>#N/A</v>
      </c>
    </row>
    <row r="28" spans="1:29" ht="15">
      <c r="A28" s="472"/>
      <c r="B28" s="422" t="s">
        <v>2701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9"/>
      <c r="Q28" s="1809" t="str">
        <f t="shared" si="11"/>
        <v>物业等级</v>
      </c>
      <c r="R28" s="774" t="s">
        <v>17</v>
      </c>
      <c r="S28" s="775">
        <f t="shared" si="12"/>
        <v>100</v>
      </c>
      <c r="T28" s="774" t="s">
        <v>17</v>
      </c>
      <c r="U28" s="775">
        <f t="shared" si="13"/>
        <v>100</v>
      </c>
      <c r="V28" s="774" t="s">
        <v>17</v>
      </c>
      <c r="W28" s="775">
        <f t="shared" si="14"/>
        <v>100</v>
      </c>
      <c r="X28" s="1812"/>
      <c r="Y28" s="3199"/>
      <c r="Z28" s="1813" t="str">
        <f t="shared" si="15"/>
        <v>物业等级</v>
      </c>
      <c r="AA28" s="1810">
        <f t="shared" si="3"/>
        <v>1</v>
      </c>
      <c r="AB28" s="1810">
        <f t="shared" si="4"/>
        <v>1</v>
      </c>
      <c r="AC28" s="1810">
        <f t="shared" si="5"/>
        <v>1</v>
      </c>
    </row>
    <row r="29" spans="1:29" ht="15">
      <c r="A29" s="472"/>
      <c r="B29" s="422" t="s">
        <v>2722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9"/>
      <c r="Q29" s="1809" t="str">
        <f t="shared" si="11"/>
        <v>有无电梯</v>
      </c>
      <c r="R29" s="774" t="s">
        <v>17</v>
      </c>
      <c r="S29" s="775">
        <f t="shared" si="12"/>
        <v>100</v>
      </c>
      <c r="T29" s="774" t="s">
        <v>17</v>
      </c>
      <c r="U29" s="775">
        <f t="shared" si="13"/>
        <v>100</v>
      </c>
      <c r="V29" s="774" t="s">
        <v>17</v>
      </c>
      <c r="W29" s="775">
        <f t="shared" si="14"/>
        <v>100</v>
      </c>
      <c r="X29" s="1812"/>
      <c r="Y29" s="3199"/>
      <c r="Z29" s="1813" t="str">
        <f t="shared" si="15"/>
        <v>有无电梯</v>
      </c>
      <c r="AA29" s="1810">
        <f t="shared" si="3"/>
        <v>1</v>
      </c>
      <c r="AB29" s="1810">
        <f t="shared" si="4"/>
        <v>1</v>
      </c>
      <c r="AC29" s="1810">
        <f t="shared" si="5"/>
        <v>1</v>
      </c>
    </row>
    <row r="30" spans="1:29" ht="15">
      <c r="A30" s="472"/>
      <c r="B30" s="422" t="s">
        <v>2723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9"/>
      <c r="Q30" s="1809" t="str">
        <f t="shared" si="11"/>
        <v>建筑面积</v>
      </c>
      <c r="R30" s="774" t="s">
        <v>17</v>
      </c>
      <c r="S30" s="775" t="e">
        <f t="shared" si="12"/>
        <v>#N/A</v>
      </c>
      <c r="T30" s="774" t="s">
        <v>17</v>
      </c>
      <c r="U30" s="775" t="e">
        <f t="shared" si="13"/>
        <v>#N/A</v>
      </c>
      <c r="V30" s="774" t="s">
        <v>17</v>
      </c>
      <c r="W30" s="775" t="e">
        <f t="shared" si="14"/>
        <v>#N/A</v>
      </c>
      <c r="X30" s="1812"/>
      <c r="Y30" s="3199"/>
      <c r="Z30" s="1813" t="str">
        <f t="shared" si="15"/>
        <v>建筑面积</v>
      </c>
      <c r="AA30" s="1810" t="e">
        <f t="shared" si="3"/>
        <v>#N/A</v>
      </c>
      <c r="AB30" s="1810" t="e">
        <f t="shared" si="4"/>
        <v>#N/A</v>
      </c>
      <c r="AC30" s="1810" t="e">
        <f t="shared" si="5"/>
        <v>#N/A</v>
      </c>
    </row>
    <row r="31" spans="1:29" s="117" customFormat="1" ht="15">
      <c r="A31" s="473"/>
      <c r="B31" s="422" t="s">
        <v>2724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9"/>
      <c r="Q31" s="1794" t="str">
        <f t="shared" si="11"/>
        <v>是否封闭</v>
      </c>
      <c r="R31" s="770" t="s">
        <v>17</v>
      </c>
      <c r="S31" s="771">
        <f t="shared" si="12"/>
        <v>100</v>
      </c>
      <c r="T31" s="770" t="s">
        <v>17</v>
      </c>
      <c r="U31" s="771">
        <f t="shared" si="13"/>
        <v>100</v>
      </c>
      <c r="V31" s="770" t="s">
        <v>17</v>
      </c>
      <c r="W31" s="771">
        <f t="shared" si="14"/>
        <v>100</v>
      </c>
      <c r="X31" s="772"/>
      <c r="Y31" s="3199"/>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9" t="s">
        <v>2550</v>
      </c>
      <c r="Q32" s="1809">
        <f t="shared" si="11"/>
        <v>111</v>
      </c>
      <c r="R32" s="774" t="s">
        <v>17</v>
      </c>
      <c r="S32" s="775">
        <f t="shared" si="12"/>
        <v>100</v>
      </c>
      <c r="T32" s="774" t="s">
        <v>17</v>
      </c>
      <c r="U32" s="775">
        <f t="shared" si="13"/>
        <v>100</v>
      </c>
      <c r="V32" s="774" t="s">
        <v>17</v>
      </c>
      <c r="W32" s="775">
        <f t="shared" si="14"/>
        <v>100</v>
      </c>
      <c r="X32" s="1812"/>
      <c r="Y32" s="3199" t="s">
        <v>2550</v>
      </c>
      <c r="Z32" s="1813">
        <f t="shared" si="15"/>
        <v>111</v>
      </c>
      <c r="AA32" s="1810">
        <f t="shared" si="3"/>
        <v>1</v>
      </c>
      <c r="AB32" s="1810">
        <f t="shared" si="4"/>
        <v>1</v>
      </c>
      <c r="AC32" s="1810">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9"/>
      <c r="Q33" s="1809">
        <f t="shared" si="11"/>
        <v>111</v>
      </c>
      <c r="R33" s="774" t="s">
        <v>17</v>
      </c>
      <c r="S33" s="775">
        <f t="shared" si="12"/>
        <v>100</v>
      </c>
      <c r="T33" s="774" t="s">
        <v>17</v>
      </c>
      <c r="U33" s="775">
        <f t="shared" si="13"/>
        <v>100</v>
      </c>
      <c r="V33" s="774" t="s">
        <v>17</v>
      </c>
      <c r="W33" s="775">
        <f t="shared" si="14"/>
        <v>100</v>
      </c>
      <c r="X33" s="1812"/>
      <c r="Y33" s="3199"/>
      <c r="Z33" s="1813">
        <f t="shared" si="15"/>
        <v>111</v>
      </c>
      <c r="AA33" s="1810">
        <f t="shared" si="3"/>
        <v>1</v>
      </c>
      <c r="AB33" s="1810">
        <f t="shared" si="4"/>
        <v>1</v>
      </c>
      <c r="AC33" s="1810">
        <f t="shared" si="5"/>
        <v>1</v>
      </c>
    </row>
    <row r="34" spans="1:29" ht="15.75" thickBot="1">
      <c r="A34" s="478"/>
      <c r="B34" s="2598">
        <v>111</v>
      </c>
      <c r="C34" s="437"/>
      <c r="D34" s="438">
        <v>100</v>
      </c>
      <c r="E34" s="2691"/>
      <c r="F34" s="439">
        <f>SUMIF(95:95,E34,96:96)-SUMIF(95:95,C34,96:96)+100</f>
        <v>100</v>
      </c>
      <c r="G34" s="2691"/>
      <c r="H34" s="438">
        <f>SUMIF(95:95,G34,96:96)-SUMIF(95:95,C34,96:96)+100</f>
        <v>100</v>
      </c>
      <c r="I34" s="2691"/>
      <c r="J34" s="438">
        <f>SUMIF(95:95,I34,96:96)-SUMIF(95:95,C34,96:96)+100</f>
        <v>100</v>
      </c>
      <c r="K34" s="613"/>
      <c r="L34" s="1140"/>
      <c r="M34" s="1131"/>
      <c r="N34" s="1131"/>
      <c r="O34" s="1139"/>
      <c r="P34" s="3199"/>
      <c r="Q34" s="1809">
        <f t="shared" si="11"/>
        <v>111</v>
      </c>
      <c r="R34" s="774" t="s">
        <v>17</v>
      </c>
      <c r="S34" s="775">
        <f t="shared" si="12"/>
        <v>100</v>
      </c>
      <c r="T34" s="774" t="s">
        <v>17</v>
      </c>
      <c r="U34" s="775">
        <f t="shared" si="13"/>
        <v>100</v>
      </c>
      <c r="V34" s="774" t="s">
        <v>17</v>
      </c>
      <c r="W34" s="775">
        <f t="shared" si="14"/>
        <v>100</v>
      </c>
      <c r="X34" s="1812"/>
      <c r="Y34" s="3199"/>
      <c r="Z34" s="1813">
        <f t="shared" si="15"/>
        <v>111</v>
      </c>
      <c r="AA34" s="1810">
        <f t="shared" si="3"/>
        <v>1</v>
      </c>
      <c r="AB34" s="1810">
        <f t="shared" si="4"/>
        <v>1</v>
      </c>
      <c r="AC34" s="1810">
        <f t="shared" si="5"/>
        <v>1</v>
      </c>
    </row>
    <row r="35" spans="1:29" ht="15">
      <c r="A35" s="479" t="s">
        <v>2562</v>
      </c>
      <c r="B35" s="480"/>
      <c r="C35" s="1407" t="s">
        <v>1</v>
      </c>
      <c r="D35" s="1408"/>
      <c r="E35" s="1409"/>
      <c r="F35" s="1410"/>
      <c r="G35" s="1411"/>
      <c r="H35" s="1412"/>
      <c r="I35" s="1409"/>
      <c r="J35" s="1412"/>
      <c r="K35" s="783"/>
      <c r="L35" s="1143"/>
      <c r="M35" s="1144"/>
      <c r="N35" s="1131"/>
      <c r="O35" s="1144"/>
      <c r="P35" s="3181" t="str">
        <f>A35</f>
        <v>成交单价（元/平方米）</v>
      </c>
      <c r="Q35" s="3181"/>
      <c r="R35" s="3240">
        <f>E35</f>
        <v>0</v>
      </c>
      <c r="S35" s="3240"/>
      <c r="T35" s="3240">
        <f>G35</f>
        <v>0</v>
      </c>
      <c r="U35" s="3240"/>
      <c r="V35" s="3240">
        <f>I35</f>
        <v>0</v>
      </c>
      <c r="W35" s="3240"/>
      <c r="X35" s="759"/>
      <c r="Y35" s="781"/>
      <c r="Z35" s="759"/>
      <c r="AA35" s="759"/>
      <c r="AB35" s="759"/>
      <c r="AC35" s="759"/>
    </row>
    <row r="36" spans="1:29" ht="15.75" thickBot="1">
      <c r="A36" s="486" t="s">
        <v>2654</v>
      </c>
      <c r="B36" s="487"/>
      <c r="C36" s="1413" t="e">
        <f>R37</f>
        <v>#DIV/0!</v>
      </c>
      <c r="D36" s="1414"/>
      <c r="E36" s="1415" t="e">
        <f>R36</f>
        <v>#DIV/0!</v>
      </c>
      <c r="F36" s="1415"/>
      <c r="G36" s="1413" t="e">
        <f>T36</f>
        <v>#DIV/0!</v>
      </c>
      <c r="H36" s="1414"/>
      <c r="I36" s="1415" t="e">
        <f>V36</f>
        <v>#DIV/0!</v>
      </c>
      <c r="J36" s="1414"/>
      <c r="K36" s="784"/>
      <c r="L36" s="1143"/>
      <c r="M36" s="1144"/>
      <c r="N36" s="1131"/>
      <c r="O36" s="1144"/>
      <c r="P36" s="3181" t="str">
        <f>A36</f>
        <v>比较价值（元/平方米）</v>
      </c>
      <c r="Q36" s="3181"/>
      <c r="R36" s="3240" t="e">
        <f>IF(F1="售价",ROUND(PRODUCT(R35,AA7:AA34),0),ROUND(PRODUCT(R35,AA7:AA34),1))</f>
        <v>#DIV/0!</v>
      </c>
      <c r="S36" s="3240"/>
      <c r="T36" s="3240" t="e">
        <f>IF(F1="售价",ROUND(PRODUCT(T35,AB7:AB34),0),ROUND(PRODUCT(T35,AB7:AB34),1))</f>
        <v>#DIV/0!</v>
      </c>
      <c r="U36" s="3240"/>
      <c r="V36" s="3240" t="e">
        <f>IF(F1="售价",ROUND(PRODUCT(V35,AC7:AC34),0),ROUND(PRODUCT(V35,AC7:AC34),1))</f>
        <v>#DIV/0!</v>
      </c>
      <c r="W36" s="3240"/>
      <c r="X36" s="759"/>
      <c r="Y36" s="759"/>
      <c r="Z36" s="759"/>
      <c r="AA36" s="759"/>
      <c r="AB36" s="759"/>
      <c r="AC36" s="759"/>
    </row>
    <row r="37" spans="1:29" ht="15.75" thickBot="1">
      <c r="A37" s="492" t="s">
        <v>2655</v>
      </c>
      <c r="B37" s="493"/>
      <c r="C37" s="1417" t="e">
        <f>R37</f>
        <v>#DIV/0!</v>
      </c>
      <c r="D37" s="1417"/>
      <c r="E37" s="1417"/>
      <c r="F37" s="1417"/>
      <c r="G37" s="1417"/>
      <c r="H37" s="1417"/>
      <c r="I37" s="1417"/>
      <c r="J37" s="1417"/>
      <c r="K37" s="785"/>
      <c r="L37" s="1143"/>
      <c r="M37" s="1144"/>
      <c r="N37" s="1144"/>
      <c r="O37" s="1144"/>
      <c r="P37" s="3201" t="str">
        <f>A37</f>
        <v>估价对象XX用房的比较价值（楼面单价，元/平方米）</v>
      </c>
      <c r="Q37" s="3202"/>
      <c r="R37" s="3239" t="e">
        <f>IF(F1="售价",ROUND(AVERAGE(R36:V36),0),ROUND(AVERAGE(R36:V36),1))</f>
        <v>#DIV/0!</v>
      </c>
      <c r="S37" s="3239"/>
      <c r="T37" s="3239"/>
      <c r="U37" s="3239"/>
      <c r="V37" s="3239"/>
      <c r="W37" s="323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2659</v>
      </c>
      <c r="B45" s="759"/>
      <c r="C45" s="764"/>
      <c r="D45" s="764"/>
      <c r="E45" s="764"/>
      <c r="F45" s="765"/>
      <c r="G45" s="765"/>
      <c r="H45" s="764"/>
      <c r="I45" s="764"/>
      <c r="J45" s="764"/>
      <c r="K45" s="766"/>
      <c r="L45" s="767"/>
      <c r="M45" s="764"/>
      <c r="N45" s="764"/>
      <c r="O45" s="764"/>
      <c r="P45" s="503"/>
      <c r="Q45" s="504"/>
    </row>
    <row r="46" spans="1:29" s="508" customFormat="1" ht="15">
      <c r="A46" s="505" t="s">
        <v>2533</v>
      </c>
      <c r="B46" s="506"/>
      <c r="C46" s="1573" t="str">
        <f>YEAR(C7)&amp;"-"&amp;MONTH(C7)</f>
        <v>2020-7</v>
      </c>
      <c r="D46" s="1574">
        <f>EDATE(C46,-1)</f>
        <v>43983</v>
      </c>
      <c r="E46" s="1574">
        <f t="shared" ref="E46:O46" si="16">EDATE(D46,-1)</f>
        <v>43952</v>
      </c>
      <c r="F46" s="1574">
        <f t="shared" si="16"/>
        <v>43922</v>
      </c>
      <c r="G46" s="1574">
        <f t="shared" si="16"/>
        <v>43891</v>
      </c>
      <c r="H46" s="1574">
        <f t="shared" si="16"/>
        <v>43862</v>
      </c>
      <c r="I46" s="1574">
        <f t="shared" si="16"/>
        <v>43831</v>
      </c>
      <c r="J46" s="1574">
        <f t="shared" si="16"/>
        <v>43800</v>
      </c>
      <c r="K46" s="1574">
        <f t="shared" si="16"/>
        <v>43770</v>
      </c>
      <c r="L46" s="1574">
        <f t="shared" si="16"/>
        <v>43739</v>
      </c>
      <c r="M46" s="1574">
        <f t="shared" si="16"/>
        <v>43709</v>
      </c>
      <c r="N46" s="1574">
        <f t="shared" si="16"/>
        <v>43678</v>
      </c>
      <c r="O46" s="1574">
        <f t="shared" si="16"/>
        <v>43647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2570</v>
      </c>
      <c r="B48" s="516"/>
      <c r="C48" s="517"/>
      <c r="D48" s="518"/>
      <c r="E48" s="518"/>
      <c r="F48" s="518"/>
      <c r="G48" s="518"/>
      <c r="H48" s="518"/>
      <c r="I48" s="518"/>
      <c r="J48" s="518"/>
      <c r="K48" s="518"/>
      <c r="L48" s="518"/>
      <c r="M48" s="519"/>
      <c r="N48" s="518"/>
      <c r="O48" s="520"/>
      <c r="P48" s="504"/>
      <c r="Q48" s="504"/>
    </row>
    <row r="49" spans="1:17" s="117" customFormat="1" ht="15">
      <c r="A49" s="521" t="s">
        <v>2535</v>
      </c>
      <c r="B49" s="510"/>
      <c r="C49" s="522" t="s">
        <v>2637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2573</v>
      </c>
      <c r="B51" s="528" t="s">
        <v>2539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2542</v>
      </c>
      <c r="C53" s="539" t="s">
        <v>2574</v>
      </c>
      <c r="D53" s="539" t="s">
        <v>2575</v>
      </c>
      <c r="E53" s="539" t="s">
        <v>2576</v>
      </c>
      <c r="F53" s="539" t="s">
        <v>2577</v>
      </c>
      <c r="G53" s="539" t="s">
        <v>2578</v>
      </c>
      <c r="H53" s="539" t="s">
        <v>2579</v>
      </c>
      <c r="I53" s="539" t="s">
        <v>2580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2544</v>
      </c>
      <c r="B61" s="528" t="s">
        <v>2587</v>
      </c>
      <c r="C61" s="573" t="s">
        <v>2582</v>
      </c>
      <c r="D61" s="573" t="s">
        <v>2583</v>
      </c>
      <c r="E61" s="573" t="s">
        <v>2584</v>
      </c>
      <c r="F61" s="573" t="s">
        <v>2585</v>
      </c>
      <c r="G61" s="573" t="s">
        <v>2586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2725</v>
      </c>
      <c r="C63" s="578" t="s">
        <v>2582</v>
      </c>
      <c r="D63" s="578" t="s">
        <v>2583</v>
      </c>
      <c r="E63" s="578" t="s">
        <v>2584</v>
      </c>
      <c r="F63" s="578" t="s">
        <v>2585</v>
      </c>
      <c r="G63" s="578" t="s">
        <v>2586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2674</v>
      </c>
      <c r="C65" s="660" t="s">
        <v>2660</v>
      </c>
      <c r="D65" s="660" t="s">
        <v>2661</v>
      </c>
      <c r="E65" s="660" t="s">
        <v>2662</v>
      </c>
      <c r="F65" s="660" t="s">
        <v>2663</v>
      </c>
      <c r="G65" s="660" t="s">
        <v>2664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2594</v>
      </c>
      <c r="C67" s="578" t="s">
        <v>2582</v>
      </c>
      <c r="D67" s="578" t="s">
        <v>2583</v>
      </c>
      <c r="E67" s="578" t="s">
        <v>2584</v>
      </c>
      <c r="F67" s="578" t="s">
        <v>2585</v>
      </c>
      <c r="G67" s="578" t="s">
        <v>2586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2548</v>
      </c>
      <c r="B77" s="528" t="s">
        <v>2601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2729</v>
      </c>
      <c r="B1" s="395"/>
      <c r="C1" s="396" t="s">
        <v>2781</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2731</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182" t="s">
        <v>2631</v>
      </c>
      <c r="D4" s="3183"/>
      <c r="E4" s="3184" t="s">
        <v>2632</v>
      </c>
      <c r="F4" s="3185"/>
      <c r="G4" s="3182" t="s">
        <v>2633</v>
      </c>
      <c r="H4" s="3183"/>
      <c r="I4" s="3182" t="s">
        <v>2634</v>
      </c>
      <c r="J4" s="3183"/>
      <c r="K4" s="610" t="s">
        <v>2635</v>
      </c>
      <c r="L4" s="1130"/>
      <c r="M4" s="1131"/>
      <c r="N4" s="1131"/>
      <c r="O4" s="1131"/>
      <c r="P4" s="3186" t="s">
        <v>2636</v>
      </c>
      <c r="Q4" s="3187"/>
      <c r="R4" s="3169" t="s">
        <v>2632</v>
      </c>
      <c r="S4" s="3170"/>
      <c r="T4" s="3169" t="s">
        <v>2633</v>
      </c>
      <c r="U4" s="3170"/>
      <c r="V4" s="3194" t="s">
        <v>2634</v>
      </c>
      <c r="W4" s="3194"/>
      <c r="X4" s="1812"/>
      <c r="Y4" s="3169" t="s">
        <v>2636</v>
      </c>
      <c r="Z4" s="3170"/>
      <c r="AA4" s="3164" t="s">
        <v>2632</v>
      </c>
      <c r="AB4" s="3165" t="s">
        <v>2633</v>
      </c>
      <c r="AC4" s="3164" t="s">
        <v>2634</v>
      </c>
    </row>
    <row r="5" spans="1:29" ht="15">
      <c r="A5" s="404"/>
      <c r="B5" s="405"/>
      <c r="C5" s="3175" t="s">
        <v>2527</v>
      </c>
      <c r="D5" s="3176"/>
      <c r="E5" s="3173" t="s">
        <v>2528</v>
      </c>
      <c r="F5" s="3174"/>
      <c r="G5" s="3175" t="s">
        <v>2529</v>
      </c>
      <c r="H5" s="3176"/>
      <c r="I5" s="3175" t="s">
        <v>2530</v>
      </c>
      <c r="J5" s="3176"/>
      <c r="K5" s="610"/>
      <c r="L5" s="1130"/>
      <c r="M5" s="1131"/>
      <c r="N5" s="1131"/>
      <c r="O5" s="1131"/>
      <c r="P5" s="3188"/>
      <c r="Q5" s="3189"/>
      <c r="R5" s="3171"/>
      <c r="S5" s="3172"/>
      <c r="T5" s="3171"/>
      <c r="U5" s="3172"/>
      <c r="V5" s="3194"/>
      <c r="W5" s="3194"/>
      <c r="X5" s="1812"/>
      <c r="Y5" s="3171"/>
      <c r="Z5" s="3172"/>
      <c r="AA5" s="3165"/>
      <c r="AB5" s="3165"/>
      <c r="AC5" s="3165"/>
    </row>
    <row r="6" spans="1:29" ht="15.75" thickBot="1">
      <c r="A6" s="406"/>
      <c r="B6" s="407"/>
      <c r="C6" s="3262" t="s">
        <v>2782</v>
      </c>
      <c r="D6" s="3263"/>
      <c r="E6" s="3264" t="s">
        <v>2782</v>
      </c>
      <c r="F6" s="3265"/>
      <c r="G6" s="3262" t="s">
        <v>2782</v>
      </c>
      <c r="H6" s="3263"/>
      <c r="I6" s="3262" t="s">
        <v>2782</v>
      </c>
      <c r="J6" s="3263"/>
      <c r="K6" s="610" t="s">
        <v>2532</v>
      </c>
      <c r="L6" s="1130"/>
      <c r="M6" s="1131"/>
      <c r="N6" s="1131"/>
      <c r="O6" s="1131"/>
      <c r="P6" s="3190"/>
      <c r="Q6" s="3191"/>
      <c r="R6" s="3171"/>
      <c r="S6" s="3172"/>
      <c r="T6" s="3192"/>
      <c r="U6" s="3193"/>
      <c r="V6" s="3194"/>
      <c r="W6" s="3194"/>
      <c r="X6" s="1812"/>
      <c r="Y6" s="3192"/>
      <c r="Z6" s="3193"/>
      <c r="AA6" s="3166"/>
      <c r="AB6" s="3166"/>
      <c r="AC6" s="3166"/>
    </row>
    <row r="7" spans="1:29" s="117" customFormat="1" ht="15.75" thickBot="1">
      <c r="A7" s="408" t="s">
        <v>2533</v>
      </c>
      <c r="B7" s="409"/>
      <c r="C7" s="410">
        <f>'数据-取费表'!B2</f>
        <v>44018</v>
      </c>
      <c r="D7" s="411">
        <v>100</v>
      </c>
      <c r="E7" s="412"/>
      <c r="F7" s="413">
        <f>SUMIF(65:65,YEAR(E7)&amp;"-"&amp;INT((MONTH(E7)+2)/3),66:66)</f>
        <v>0</v>
      </c>
      <c r="G7" s="2690"/>
      <c r="H7" s="411">
        <f>SUMIF(65:65,YEAR(G7)&amp;"-"&amp;INT((MONTH(G7)+2)/3),66:66)</f>
        <v>0</v>
      </c>
      <c r="I7" s="2690"/>
      <c r="J7" s="411">
        <f>SUMIF(65:65,YEAR(I7)&amp;"-"&amp;INT((MONTH(I7)+2)/3),66:66)</f>
        <v>0</v>
      </c>
      <c r="K7" s="611"/>
      <c r="L7" s="1132"/>
      <c r="M7" s="1133"/>
      <c r="N7" s="1133"/>
      <c r="O7" s="1133"/>
      <c r="P7" s="3167" t="s">
        <v>2534</v>
      </c>
      <c r="Q7" s="3195"/>
      <c r="R7" s="770" t="s">
        <v>17</v>
      </c>
      <c r="S7" s="771">
        <f t="shared" ref="S7:S15" si="0">F7</f>
        <v>0</v>
      </c>
      <c r="T7" s="770" t="s">
        <v>17</v>
      </c>
      <c r="U7" s="771">
        <f t="shared" ref="U7:U15" si="1">H7</f>
        <v>0</v>
      </c>
      <c r="V7" s="770" t="s">
        <v>17</v>
      </c>
      <c r="W7" s="771">
        <f t="shared" ref="W7:W15" si="2">J7</f>
        <v>0</v>
      </c>
      <c r="X7" s="772"/>
      <c r="Y7" s="3167" t="s">
        <v>2534</v>
      </c>
      <c r="Z7" s="3168"/>
      <c r="AA7" s="773" t="e">
        <f>D7/F7</f>
        <v>#DIV/0!</v>
      </c>
      <c r="AB7" s="773" t="e">
        <f>D7/H7</f>
        <v>#DIV/0!</v>
      </c>
      <c r="AC7" s="773" t="e">
        <f>D7/J7</f>
        <v>#DIV/0!</v>
      </c>
    </row>
    <row r="8" spans="1:29" s="117" customFormat="1" ht="15.75" thickBot="1">
      <c r="A8" s="408" t="s">
        <v>2535</v>
      </c>
      <c r="B8" s="409"/>
      <c r="C8" s="414" t="s">
        <v>2536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67" t="s">
        <v>2537</v>
      </c>
      <c r="Q8" s="3168"/>
      <c r="R8" s="770" t="s">
        <v>17</v>
      </c>
      <c r="S8" s="771">
        <f t="shared" si="0"/>
        <v>0</v>
      </c>
      <c r="T8" s="770" t="s">
        <v>17</v>
      </c>
      <c r="U8" s="771">
        <f t="shared" si="1"/>
        <v>0</v>
      </c>
      <c r="V8" s="770" t="s">
        <v>17</v>
      </c>
      <c r="W8" s="771">
        <f t="shared" si="2"/>
        <v>0</v>
      </c>
      <c r="X8" s="772"/>
      <c r="Y8" s="3167" t="s">
        <v>2537</v>
      </c>
      <c r="Z8" s="3168"/>
      <c r="AA8" s="773" t="e">
        <f t="shared" ref="AA8:AA40" si="3">D8/F8</f>
        <v>#DIV/0!</v>
      </c>
      <c r="AB8" s="773" t="e">
        <f t="shared" ref="AB8:AB40" si="4">D8/H8</f>
        <v>#DIV/0!</v>
      </c>
      <c r="AC8" s="773" t="e">
        <f t="shared" ref="AC8:AC40" si="5">D8/J8</f>
        <v>#DIV/0!</v>
      </c>
    </row>
    <row r="9" spans="1:29" s="117" customFormat="1">
      <c r="A9" s="415" t="s">
        <v>2538</v>
      </c>
      <c r="B9" s="71" t="s">
        <v>2539</v>
      </c>
      <c r="C9" s="2693"/>
      <c r="D9" s="135">
        <v>100</v>
      </c>
      <c r="E9" s="2693"/>
      <c r="F9" s="135">
        <f>SUMIF(70:70,E9,71:71)-SUMIF(70:70,C9,71:71)+100</f>
        <v>100</v>
      </c>
      <c r="G9" s="2693"/>
      <c r="H9" s="135">
        <f>SUMIF(70:70,G9,71:71)-SUMIF(70:70,C9,71:71)+100</f>
        <v>100</v>
      </c>
      <c r="I9" s="2693"/>
      <c r="J9" s="135">
        <f>SUMIF(70:70,I9,71:71)-SUMIF(70:70,C9,71:71)+100</f>
        <v>100</v>
      </c>
      <c r="K9" s="611"/>
      <c r="L9" s="1132"/>
      <c r="M9" s="1133"/>
      <c r="N9" s="1133"/>
      <c r="O9" s="1134"/>
      <c r="P9" s="3181" t="s">
        <v>2540</v>
      </c>
      <c r="Q9" s="1794" t="str">
        <f t="shared" ref="Q9:Q15" si="6">B9</f>
        <v>用途</v>
      </c>
      <c r="R9" s="770" t="s">
        <v>17</v>
      </c>
      <c r="S9" s="771">
        <f t="shared" si="0"/>
        <v>100</v>
      </c>
      <c r="T9" s="770" t="s">
        <v>17</v>
      </c>
      <c r="U9" s="771">
        <f t="shared" si="1"/>
        <v>100</v>
      </c>
      <c r="V9" s="770" t="s">
        <v>17</v>
      </c>
      <c r="W9" s="771">
        <f t="shared" si="2"/>
        <v>100</v>
      </c>
      <c r="X9" s="772"/>
      <c r="Y9" s="3044" t="s">
        <v>2541</v>
      </c>
      <c r="Z9" s="55" t="str">
        <f t="shared" ref="Z9:Z15" si="7">Q9</f>
        <v>用途</v>
      </c>
      <c r="AA9" s="773">
        <f t="shared" si="3"/>
        <v>1</v>
      </c>
      <c r="AB9" s="773">
        <f t="shared" si="4"/>
        <v>1</v>
      </c>
      <c r="AC9" s="773">
        <f t="shared" si="5"/>
        <v>1</v>
      </c>
    </row>
    <row r="10" spans="1:29" s="427" customFormat="1" ht="27">
      <c r="A10" s="421"/>
      <c r="B10" s="422" t="s">
        <v>2542</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181"/>
      <c r="Q10" s="1794"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2543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1"/>
      <c r="Q11" s="1794"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1"/>
      <c r="Q12" s="1794">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1"/>
      <c r="Q13" s="1794">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1"/>
      <c r="Q14" s="1794">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57">
      <c r="A15" s="440" t="s">
        <v>2544</v>
      </c>
      <c r="B15" s="629" t="s">
        <v>2783</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6" t="s">
        <v>2545</v>
      </c>
      <c r="Q15" s="1809" t="str">
        <f t="shared" si="6"/>
        <v>产业集聚程度</v>
      </c>
      <c r="R15" s="774" t="s">
        <v>17</v>
      </c>
      <c r="S15" s="775">
        <f t="shared" si="0"/>
        <v>100</v>
      </c>
      <c r="T15" s="774" t="s">
        <v>17</v>
      </c>
      <c r="U15" s="775">
        <f t="shared" si="1"/>
        <v>100</v>
      </c>
      <c r="V15" s="774" t="s">
        <v>17</v>
      </c>
      <c r="W15" s="775">
        <f t="shared" si="2"/>
        <v>100</v>
      </c>
      <c r="X15" s="1812"/>
      <c r="Y15" s="3196" t="s">
        <v>2545</v>
      </c>
      <c r="Z15" s="1813" t="str">
        <f t="shared" si="7"/>
        <v>产业集聚程度</v>
      </c>
      <c r="AA15" s="1810">
        <f t="shared" si="3"/>
        <v>1</v>
      </c>
      <c r="AB15" s="1810">
        <f t="shared" si="4"/>
        <v>1</v>
      </c>
      <c r="AC15" s="1810">
        <f t="shared" si="5"/>
        <v>1</v>
      </c>
    </row>
    <row r="16" spans="1:29" ht="15">
      <c r="A16" s="428"/>
      <c r="B16" s="630"/>
      <c r="C16" s="447"/>
      <c r="D16" s="448"/>
      <c r="E16" s="2607"/>
      <c r="F16" s="448"/>
      <c r="G16" s="2607"/>
      <c r="H16" s="450"/>
      <c r="I16" s="2607"/>
      <c r="J16" s="448"/>
      <c r="K16" s="672"/>
      <c r="L16" s="1140"/>
      <c r="M16" s="1131"/>
      <c r="N16" s="1131"/>
      <c r="O16" s="1139"/>
      <c r="P16" s="3197"/>
      <c r="Q16" s="1809"/>
      <c r="R16" s="774"/>
      <c r="S16" s="775"/>
      <c r="T16" s="774"/>
      <c r="U16" s="775"/>
      <c r="V16" s="774"/>
      <c r="W16" s="775"/>
      <c r="X16" s="1812"/>
      <c r="Y16" s="3197"/>
      <c r="Z16" s="1813"/>
      <c r="AA16" s="1810">
        <v>1</v>
      </c>
      <c r="AB16" s="1810">
        <v>1</v>
      </c>
      <c r="AC16" s="1810">
        <v>1</v>
      </c>
    </row>
    <row r="17" spans="1:29" ht="85.5">
      <c r="A17" s="428"/>
      <c r="B17" s="631" t="s">
        <v>2694</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7"/>
      <c r="Q17" s="1809" t="str">
        <f>B17</f>
        <v>交通便捷度</v>
      </c>
      <c r="R17" s="774" t="s">
        <v>17</v>
      </c>
      <c r="S17" s="775">
        <f>F17</f>
        <v>100</v>
      </c>
      <c r="T17" s="774" t="s">
        <v>17</v>
      </c>
      <c r="U17" s="775">
        <f>H17</f>
        <v>100</v>
      </c>
      <c r="V17" s="774" t="s">
        <v>17</v>
      </c>
      <c r="W17" s="775">
        <f>J17</f>
        <v>100</v>
      </c>
      <c r="X17" s="1812"/>
      <c r="Y17" s="3197"/>
      <c r="Z17" s="1813" t="str">
        <f>Q17</f>
        <v>交通便捷度</v>
      </c>
      <c r="AA17" s="1810">
        <f t="shared" si="3"/>
        <v>1</v>
      </c>
      <c r="AB17" s="1810">
        <f t="shared" si="4"/>
        <v>1</v>
      </c>
      <c r="AC17" s="1810">
        <f t="shared" si="5"/>
        <v>1</v>
      </c>
    </row>
    <row r="18" spans="1:29" ht="15">
      <c r="A18" s="428"/>
      <c r="B18" s="632"/>
      <c r="C18" s="447"/>
      <c r="D18" s="448"/>
      <c r="E18" s="2601"/>
      <c r="F18" s="448"/>
      <c r="G18" s="2601"/>
      <c r="H18" s="448"/>
      <c r="I18" s="2600"/>
      <c r="J18" s="448"/>
      <c r="K18" s="672"/>
      <c r="L18" s="1140"/>
      <c r="M18" s="1131"/>
      <c r="N18" s="1131"/>
      <c r="O18" s="1139"/>
      <c r="P18" s="3197"/>
      <c r="Q18" s="1809"/>
      <c r="R18" s="774"/>
      <c r="S18" s="775"/>
      <c r="T18" s="774"/>
      <c r="U18" s="775"/>
      <c r="V18" s="774"/>
      <c r="W18" s="775"/>
      <c r="X18" s="1812"/>
      <c r="Y18" s="3197"/>
      <c r="Z18" s="1813"/>
      <c r="AA18" s="1810">
        <v>1</v>
      </c>
      <c r="AB18" s="1810">
        <v>1</v>
      </c>
      <c r="AC18" s="1810">
        <v>1</v>
      </c>
    </row>
    <row r="19" spans="1:29" ht="15">
      <c r="A19" s="428"/>
      <c r="B19" s="631" t="s">
        <v>2733</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7"/>
      <c r="Q19" s="1809" t="str">
        <f t="shared" ref="Q19:Q33" si="8">B19</f>
        <v>区域土地利用方向</v>
      </c>
      <c r="R19" s="774" t="s">
        <v>17</v>
      </c>
      <c r="S19" s="775">
        <f>F19</f>
        <v>100</v>
      </c>
      <c r="T19" s="774" t="s">
        <v>17</v>
      </c>
      <c r="U19" s="775">
        <f>H19</f>
        <v>100</v>
      </c>
      <c r="V19" s="774" t="s">
        <v>17</v>
      </c>
      <c r="W19" s="775">
        <f>J19</f>
        <v>100</v>
      </c>
      <c r="X19" s="1812"/>
      <c r="Y19" s="3197"/>
      <c r="Z19" s="1813" t="str">
        <f>Q19</f>
        <v>区域土地利用方向</v>
      </c>
      <c r="AA19" s="1810">
        <f t="shared" si="3"/>
        <v>1</v>
      </c>
      <c r="AB19" s="1810">
        <f t="shared" si="4"/>
        <v>1</v>
      </c>
      <c r="AC19" s="1810">
        <f t="shared" si="5"/>
        <v>1</v>
      </c>
    </row>
    <row r="20" spans="1:29" ht="15">
      <c r="A20" s="404"/>
      <c r="B20" s="632"/>
      <c r="C20" s="447"/>
      <c r="D20" s="448"/>
      <c r="E20" s="2601"/>
      <c r="F20" s="448"/>
      <c r="G20" s="2601"/>
      <c r="H20" s="448"/>
      <c r="I20" s="2601"/>
      <c r="J20" s="448"/>
      <c r="K20" s="812"/>
      <c r="L20" s="1140"/>
      <c r="M20" s="1131"/>
      <c r="N20" s="1131"/>
      <c r="O20" s="1139"/>
      <c r="P20" s="3197"/>
      <c r="Q20" s="1809"/>
      <c r="R20" s="774"/>
      <c r="S20" s="775"/>
      <c r="T20" s="774"/>
      <c r="U20" s="775"/>
      <c r="V20" s="774"/>
      <c r="W20" s="775"/>
      <c r="X20" s="1812"/>
      <c r="Y20" s="3197"/>
      <c r="Z20" s="1813"/>
      <c r="AA20" s="1810"/>
      <c r="AB20" s="1810"/>
      <c r="AC20" s="1810"/>
    </row>
    <row r="21" spans="1:29" ht="71.25">
      <c r="A21" s="404"/>
      <c r="B21" s="631" t="s">
        <v>2784</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7"/>
      <c r="Q21" s="1809" t="str">
        <f t="shared" si="8"/>
        <v>环境状况</v>
      </c>
      <c r="R21" s="774" t="s">
        <v>17</v>
      </c>
      <c r="S21" s="775">
        <f>F21</f>
        <v>100</v>
      </c>
      <c r="T21" s="774" t="s">
        <v>17</v>
      </c>
      <c r="U21" s="775">
        <f>H21</f>
        <v>100</v>
      </c>
      <c r="V21" s="774" t="s">
        <v>17</v>
      </c>
      <c r="W21" s="775">
        <f>J21</f>
        <v>100</v>
      </c>
      <c r="X21" s="1812"/>
      <c r="Y21" s="3197"/>
      <c r="Z21" s="1813" t="str">
        <f>Q21</f>
        <v>环境状况</v>
      </c>
      <c r="AA21" s="1810">
        <f t="shared" si="3"/>
        <v>1</v>
      </c>
      <c r="AB21" s="1810">
        <f t="shared" si="4"/>
        <v>1</v>
      </c>
      <c r="AC21" s="1810">
        <f t="shared" si="5"/>
        <v>1</v>
      </c>
    </row>
    <row r="22" spans="1:29" ht="15">
      <c r="A22" s="404"/>
      <c r="B22" s="632"/>
      <c r="C22" s="447"/>
      <c r="D22" s="448"/>
      <c r="E22" s="2607"/>
      <c r="F22" s="448"/>
      <c r="G22" s="2607"/>
      <c r="H22" s="448"/>
      <c r="I22" s="447"/>
      <c r="J22" s="448"/>
      <c r="K22" s="672"/>
      <c r="L22" s="1140"/>
      <c r="M22" s="1131"/>
      <c r="N22" s="1131"/>
      <c r="O22" s="1139"/>
      <c r="P22" s="3197"/>
      <c r="Q22" s="1809"/>
      <c r="R22" s="774"/>
      <c r="S22" s="775"/>
      <c r="T22" s="774"/>
      <c r="U22" s="775"/>
      <c r="V22" s="774"/>
      <c r="W22" s="775"/>
      <c r="X22" s="1812"/>
      <c r="Y22" s="3197"/>
      <c r="Z22" s="1813"/>
      <c r="AA22" s="1810">
        <v>1</v>
      </c>
      <c r="AB22" s="1810">
        <v>1</v>
      </c>
      <c r="AC22" s="1810">
        <v>1</v>
      </c>
    </row>
    <row r="23" spans="1:29" s="117" customFormat="1" ht="42.75">
      <c r="A23" s="649"/>
      <c r="B23" s="633" t="s">
        <v>2639</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7"/>
      <c r="Q23" s="1794" t="str">
        <f t="shared" si="8"/>
        <v>公共配套设施</v>
      </c>
      <c r="R23" s="770" t="s">
        <v>17</v>
      </c>
      <c r="S23" s="771">
        <f>F23</f>
        <v>100</v>
      </c>
      <c r="T23" s="770" t="s">
        <v>17</v>
      </c>
      <c r="U23" s="771">
        <f>H23</f>
        <v>100</v>
      </c>
      <c r="V23" s="770" t="s">
        <v>17</v>
      </c>
      <c r="W23" s="771">
        <f>J23</f>
        <v>100</v>
      </c>
      <c r="X23" s="772"/>
      <c r="Y23" s="3197"/>
      <c r="Z23" s="55" t="str">
        <f>Q23</f>
        <v>公共配套设施</v>
      </c>
      <c r="AA23" s="1810">
        <f>D23/F23</f>
        <v>1</v>
      </c>
      <c r="AB23" s="1810">
        <f>D23/H23</f>
        <v>1</v>
      </c>
      <c r="AC23" s="1810">
        <f>D23/J23</f>
        <v>1</v>
      </c>
    </row>
    <row r="24" spans="1:29" s="117" customFormat="1" ht="15">
      <c r="A24" s="649"/>
      <c r="B24" s="632"/>
      <c r="C24" s="2694"/>
      <c r="D24" s="448"/>
      <c r="E24" s="2607"/>
      <c r="F24" s="448"/>
      <c r="G24" s="2607"/>
      <c r="H24" s="448"/>
      <c r="I24" s="447"/>
      <c r="J24" s="448"/>
      <c r="K24" s="672"/>
      <c r="L24" s="1132"/>
      <c r="M24" s="1133"/>
      <c r="N24" s="1133"/>
      <c r="O24" s="1134"/>
      <c r="P24" s="3197"/>
      <c r="Q24" s="1794"/>
      <c r="R24" s="770"/>
      <c r="S24" s="771"/>
      <c r="T24" s="770"/>
      <c r="U24" s="771"/>
      <c r="V24" s="770"/>
      <c r="W24" s="771"/>
      <c r="X24" s="772"/>
      <c r="Y24" s="3197"/>
      <c r="Z24" s="55"/>
      <c r="AA24" s="773">
        <v>1</v>
      </c>
      <c r="AB24" s="773">
        <v>1</v>
      </c>
      <c r="AC24" s="773">
        <v>1</v>
      </c>
    </row>
    <row r="25" spans="1:29" s="117" customFormat="1" ht="28.5">
      <c r="A25" s="649"/>
      <c r="B25" s="633" t="s">
        <v>2640</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7"/>
      <c r="Q25" s="1794" t="str">
        <f t="shared" ref="Q25" si="9">B25</f>
        <v>基础设施水平</v>
      </c>
      <c r="R25" s="770" t="s">
        <v>17</v>
      </c>
      <c r="S25" s="771">
        <f>F25</f>
        <v>100</v>
      </c>
      <c r="T25" s="770" t="s">
        <v>17</v>
      </c>
      <c r="U25" s="771">
        <f>H25</f>
        <v>100</v>
      </c>
      <c r="V25" s="770" t="s">
        <v>17</v>
      </c>
      <c r="W25" s="771">
        <f>J25</f>
        <v>100</v>
      </c>
      <c r="X25" s="772"/>
      <c r="Y25" s="3197"/>
      <c r="Z25" s="55" t="str">
        <f>Q25</f>
        <v>基础设施水平</v>
      </c>
      <c r="AA25" s="1810">
        <f>D25/F25</f>
        <v>1</v>
      </c>
      <c r="AB25" s="1810">
        <f>D25/H25</f>
        <v>1</v>
      </c>
      <c r="AC25" s="1810">
        <f>D25/J25</f>
        <v>1</v>
      </c>
    </row>
    <row r="26" spans="1:29" s="117" customFormat="1" ht="15">
      <c r="A26" s="649"/>
      <c r="B26" s="632"/>
      <c r="C26" s="2694"/>
      <c r="D26" s="448"/>
      <c r="E26" s="2695"/>
      <c r="F26" s="448"/>
      <c r="G26" s="2695"/>
      <c r="H26" s="448"/>
      <c r="I26" s="2695"/>
      <c r="J26" s="448"/>
      <c r="K26" s="672"/>
      <c r="L26" s="1132"/>
      <c r="M26" s="1133"/>
      <c r="N26" s="1133"/>
      <c r="O26" s="1134"/>
      <c r="P26" s="3197"/>
      <c r="Q26" s="1794"/>
      <c r="R26" s="770"/>
      <c r="S26" s="771"/>
      <c r="T26" s="770"/>
      <c r="U26" s="771"/>
      <c r="V26" s="770"/>
      <c r="W26" s="771"/>
      <c r="X26" s="772"/>
      <c r="Y26" s="3197"/>
      <c r="Z26" s="55"/>
      <c r="AA26" s="773">
        <v>1</v>
      </c>
      <c r="AB26" s="773">
        <v>1</v>
      </c>
      <c r="AC26" s="773">
        <v>1</v>
      </c>
    </row>
    <row r="27" spans="1:29" ht="15">
      <c r="A27" s="428"/>
      <c r="B27" s="632" t="s">
        <v>2641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7"/>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97"/>
      <c r="Z27" s="1813" t="str">
        <f t="shared" ref="Z27:Z40" si="13">Q27</f>
        <v>临街状况</v>
      </c>
      <c r="AA27" s="1810">
        <f t="shared" si="3"/>
        <v>1</v>
      </c>
      <c r="AB27" s="1810">
        <f t="shared" si="4"/>
        <v>1</v>
      </c>
      <c r="AC27" s="1810">
        <f t="shared" si="5"/>
        <v>1</v>
      </c>
    </row>
    <row r="28" spans="1:29" ht="27">
      <c r="A28" s="428"/>
      <c r="B28" s="633" t="s">
        <v>2676</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7"/>
      <c r="Q28" s="1809" t="str">
        <f t="shared" si="8"/>
        <v>毗邻道路的类型与等级</v>
      </c>
      <c r="R28" s="774" t="s">
        <v>17</v>
      </c>
      <c r="S28" s="775">
        <f t="shared" si="10"/>
        <v>100</v>
      </c>
      <c r="T28" s="774" t="s">
        <v>17</v>
      </c>
      <c r="U28" s="775">
        <f t="shared" si="11"/>
        <v>100</v>
      </c>
      <c r="V28" s="774" t="s">
        <v>17</v>
      </c>
      <c r="W28" s="775">
        <f t="shared" si="12"/>
        <v>100</v>
      </c>
      <c r="X28" s="1812"/>
      <c r="Y28" s="3197"/>
      <c r="Z28" s="1813" t="str">
        <f t="shared" si="13"/>
        <v>毗邻道路的类型与等级</v>
      </c>
      <c r="AA28" s="1810">
        <f t="shared" si="3"/>
        <v>1</v>
      </c>
      <c r="AB28" s="1810">
        <f t="shared" si="4"/>
        <v>1</v>
      </c>
      <c r="AC28" s="1810">
        <f t="shared" si="5"/>
        <v>1</v>
      </c>
    </row>
    <row r="29" spans="1:29" ht="15">
      <c r="A29" s="428"/>
      <c r="B29" s="632"/>
      <c r="C29" s="447"/>
      <c r="D29" s="448"/>
      <c r="E29" s="2607"/>
      <c r="F29" s="448"/>
      <c r="G29" s="2607"/>
      <c r="H29" s="448"/>
      <c r="I29" s="2607"/>
      <c r="J29" s="448"/>
      <c r="K29" s="613"/>
      <c r="L29" s="1140"/>
      <c r="M29" s="1131"/>
      <c r="N29" s="1131"/>
      <c r="O29" s="1139"/>
      <c r="P29" s="3197"/>
      <c r="Q29" s="1809"/>
      <c r="R29" s="774"/>
      <c r="S29" s="775"/>
      <c r="T29" s="774"/>
      <c r="U29" s="775"/>
      <c r="V29" s="774"/>
      <c r="W29" s="775"/>
      <c r="X29" s="1812"/>
      <c r="Y29" s="3197"/>
      <c r="Z29" s="1813"/>
      <c r="AA29" s="1810">
        <v>1</v>
      </c>
      <c r="AB29" s="1810">
        <v>1</v>
      </c>
      <c r="AC29" s="1810">
        <v>1</v>
      </c>
    </row>
    <row r="30" spans="1:29" ht="15">
      <c r="A30" s="428"/>
      <c r="B30" s="654" t="s">
        <v>2735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7"/>
      <c r="Q30" s="1809" t="str">
        <f t="shared" si="8"/>
        <v>土地级别</v>
      </c>
      <c r="R30" s="774" t="s">
        <v>17</v>
      </c>
      <c r="S30" s="775">
        <f t="shared" si="10"/>
        <v>100</v>
      </c>
      <c r="T30" s="774" t="s">
        <v>17</v>
      </c>
      <c r="U30" s="775">
        <f t="shared" si="11"/>
        <v>100</v>
      </c>
      <c r="V30" s="774" t="s">
        <v>17</v>
      </c>
      <c r="W30" s="775">
        <f t="shared" si="12"/>
        <v>100</v>
      </c>
      <c r="X30" s="1812"/>
      <c r="Y30" s="3197"/>
      <c r="Z30" s="1813" t="str">
        <f t="shared" si="13"/>
        <v>土地级别</v>
      </c>
      <c r="AA30" s="1810">
        <f t="shared" si="3"/>
        <v>1</v>
      </c>
      <c r="AB30" s="1810">
        <f t="shared" si="4"/>
        <v>1</v>
      </c>
      <c r="AC30" s="1810">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7"/>
      <c r="Q31" s="1809">
        <f t="shared" si="8"/>
        <v>111</v>
      </c>
      <c r="R31" s="774" t="s">
        <v>17</v>
      </c>
      <c r="S31" s="775">
        <f t="shared" si="10"/>
        <v>100</v>
      </c>
      <c r="T31" s="774" t="s">
        <v>17</v>
      </c>
      <c r="U31" s="775">
        <f t="shared" si="11"/>
        <v>100</v>
      </c>
      <c r="V31" s="774" t="s">
        <v>17</v>
      </c>
      <c r="W31" s="775">
        <f t="shared" si="12"/>
        <v>100</v>
      </c>
      <c r="X31" s="1812"/>
      <c r="Y31" s="3197"/>
      <c r="Z31" s="1813">
        <f t="shared" si="13"/>
        <v>111</v>
      </c>
      <c r="AA31" s="1810">
        <f t="shared" si="3"/>
        <v>1</v>
      </c>
      <c r="AB31" s="1810">
        <f t="shared" si="4"/>
        <v>1</v>
      </c>
      <c r="AC31" s="1810">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8" t="s">
        <v>2550</v>
      </c>
      <c r="Q32" s="1809">
        <f t="shared" si="8"/>
        <v>111</v>
      </c>
      <c r="R32" s="774" t="s">
        <v>17</v>
      </c>
      <c r="S32" s="775">
        <f t="shared" si="10"/>
        <v>100</v>
      </c>
      <c r="T32" s="774" t="s">
        <v>17</v>
      </c>
      <c r="U32" s="775">
        <f t="shared" si="11"/>
        <v>100</v>
      </c>
      <c r="V32" s="774" t="s">
        <v>17</v>
      </c>
      <c r="W32" s="775">
        <f t="shared" si="12"/>
        <v>100</v>
      </c>
      <c r="X32" s="1812"/>
      <c r="Y32" s="3199" t="s">
        <v>2550</v>
      </c>
      <c r="Z32" s="1813">
        <f t="shared" si="13"/>
        <v>111</v>
      </c>
      <c r="AA32" s="1810">
        <f t="shared" si="3"/>
        <v>1</v>
      </c>
      <c r="AB32" s="1810">
        <f t="shared" si="4"/>
        <v>1</v>
      </c>
      <c r="AC32" s="1810">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9"/>
      <c r="Q33" s="1809">
        <f t="shared" si="8"/>
        <v>111</v>
      </c>
      <c r="R33" s="777" t="s">
        <v>17</v>
      </c>
      <c r="S33" s="778">
        <f t="shared" si="10"/>
        <v>100</v>
      </c>
      <c r="T33" s="777" t="s">
        <v>17</v>
      </c>
      <c r="U33" s="778">
        <f t="shared" si="11"/>
        <v>100</v>
      </c>
      <c r="V33" s="777" t="s">
        <v>17</v>
      </c>
      <c r="W33" s="778">
        <f t="shared" si="12"/>
        <v>100</v>
      </c>
      <c r="X33" s="779"/>
      <c r="Y33" s="3199"/>
      <c r="Z33" s="780">
        <f t="shared" si="13"/>
        <v>111</v>
      </c>
      <c r="AA33" s="1810">
        <f t="shared" si="3"/>
        <v>1</v>
      </c>
      <c r="AB33" s="1810">
        <f t="shared" si="4"/>
        <v>1</v>
      </c>
      <c r="AC33" s="1810">
        <f t="shared" si="5"/>
        <v>1</v>
      </c>
    </row>
    <row r="34" spans="1:29" ht="15">
      <c r="A34" s="440" t="s">
        <v>2548</v>
      </c>
      <c r="B34" s="456" t="s">
        <v>2736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9"/>
      <c r="Q34" s="1809" t="str">
        <f>B34</f>
        <v>宗地面积</v>
      </c>
      <c r="R34" s="774" t="s">
        <v>17</v>
      </c>
      <c r="S34" s="775" t="e">
        <f t="shared" si="10"/>
        <v>#N/A</v>
      </c>
      <c r="T34" s="774" t="s">
        <v>17</v>
      </c>
      <c r="U34" s="775" t="e">
        <f t="shared" si="11"/>
        <v>#N/A</v>
      </c>
      <c r="V34" s="774" t="s">
        <v>17</v>
      </c>
      <c r="W34" s="775" t="e">
        <f t="shared" si="12"/>
        <v>#N/A</v>
      </c>
      <c r="X34" s="1812"/>
      <c r="Y34" s="3199"/>
      <c r="Z34" s="1813" t="str">
        <f t="shared" si="13"/>
        <v>宗地面积</v>
      </c>
      <c r="AA34" s="1810" t="e">
        <f t="shared" si="3"/>
        <v>#N/A</v>
      </c>
      <c r="AB34" s="1810" t="e">
        <f t="shared" si="4"/>
        <v>#N/A</v>
      </c>
      <c r="AC34" s="1810" t="e">
        <f t="shared" si="5"/>
        <v>#N/A</v>
      </c>
    </row>
    <row r="35" spans="1:29" ht="15">
      <c r="A35" s="472"/>
      <c r="B35" s="422" t="s">
        <v>2737</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199"/>
      <c r="Q35" s="1809" t="str">
        <f t="shared" ref="Q35:Q40" si="14">B35</f>
        <v>宗地形状</v>
      </c>
      <c r="R35" s="774" t="s">
        <v>17</v>
      </c>
      <c r="S35" s="775">
        <f t="shared" si="10"/>
        <v>100</v>
      </c>
      <c r="T35" s="774" t="s">
        <v>17</v>
      </c>
      <c r="U35" s="775">
        <f t="shared" si="11"/>
        <v>100</v>
      </c>
      <c r="V35" s="774" t="s">
        <v>17</v>
      </c>
      <c r="W35" s="775">
        <f t="shared" si="12"/>
        <v>100</v>
      </c>
      <c r="X35" s="1812"/>
      <c r="Y35" s="3199"/>
      <c r="Z35" s="1813" t="str">
        <f t="shared" si="13"/>
        <v>宗地形状</v>
      </c>
      <c r="AA35" s="1810">
        <f t="shared" si="3"/>
        <v>1</v>
      </c>
      <c r="AB35" s="1810">
        <f t="shared" si="4"/>
        <v>1</v>
      </c>
      <c r="AC35" s="1810">
        <f t="shared" si="5"/>
        <v>1</v>
      </c>
    </row>
    <row r="36" spans="1:29" s="117" customFormat="1" ht="15">
      <c r="A36" s="473"/>
      <c r="B36" s="422" t="s">
        <v>2739</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2"/>
      <c r="M36" s="1133"/>
      <c r="N36" s="1133"/>
      <c r="O36" s="1134"/>
      <c r="P36" s="3199"/>
      <c r="Q36" s="1809" t="str">
        <f t="shared" si="14"/>
        <v>宗地开发程度</v>
      </c>
      <c r="R36" s="770" t="s">
        <v>17</v>
      </c>
      <c r="S36" s="771">
        <f t="shared" si="10"/>
        <v>100</v>
      </c>
      <c r="T36" s="770" t="s">
        <v>17</v>
      </c>
      <c r="U36" s="771">
        <f t="shared" si="11"/>
        <v>100</v>
      </c>
      <c r="V36" s="770" t="s">
        <v>17</v>
      </c>
      <c r="W36" s="771">
        <f t="shared" si="12"/>
        <v>100</v>
      </c>
      <c r="X36" s="772"/>
      <c r="Y36" s="3199"/>
      <c r="Z36" s="55" t="str">
        <f t="shared" si="13"/>
        <v>宗地开发程度</v>
      </c>
      <c r="AA36" s="773">
        <f t="shared" si="3"/>
        <v>1</v>
      </c>
      <c r="AB36" s="773">
        <f t="shared" si="4"/>
        <v>1</v>
      </c>
      <c r="AC36" s="773">
        <f t="shared" si="5"/>
        <v>1</v>
      </c>
    </row>
    <row r="37" spans="1:29" ht="15">
      <c r="A37" s="472"/>
      <c r="B37" s="422" t="s">
        <v>2740</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199" t="s">
        <v>2550</v>
      </c>
      <c r="Q37" s="1809" t="str">
        <f t="shared" si="14"/>
        <v>工程地质条件</v>
      </c>
      <c r="R37" s="774" t="s">
        <v>17</v>
      </c>
      <c r="S37" s="775">
        <f t="shared" si="10"/>
        <v>100</v>
      </c>
      <c r="T37" s="774" t="s">
        <v>17</v>
      </c>
      <c r="U37" s="775">
        <f t="shared" si="11"/>
        <v>100</v>
      </c>
      <c r="V37" s="774" t="s">
        <v>17</v>
      </c>
      <c r="W37" s="775">
        <f t="shared" si="12"/>
        <v>100</v>
      </c>
      <c r="X37" s="1812"/>
      <c r="Y37" s="3199" t="s">
        <v>2550</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9"/>
      <c r="Q38" s="1809">
        <f t="shared" si="14"/>
        <v>111</v>
      </c>
      <c r="R38" s="774" t="s">
        <v>17</v>
      </c>
      <c r="S38" s="775">
        <f t="shared" si="10"/>
        <v>100</v>
      </c>
      <c r="T38" s="774" t="s">
        <v>17</v>
      </c>
      <c r="U38" s="775">
        <f t="shared" si="11"/>
        <v>100</v>
      </c>
      <c r="V38" s="774" t="s">
        <v>17</v>
      </c>
      <c r="W38" s="775">
        <f t="shared" si="12"/>
        <v>100</v>
      </c>
      <c r="X38" s="1812"/>
      <c r="Y38" s="3199"/>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9"/>
      <c r="Q39" s="1809">
        <f t="shared" si="14"/>
        <v>111</v>
      </c>
      <c r="R39" s="774" t="s">
        <v>17</v>
      </c>
      <c r="S39" s="775">
        <f t="shared" si="10"/>
        <v>100</v>
      </c>
      <c r="T39" s="774" t="s">
        <v>17</v>
      </c>
      <c r="U39" s="775">
        <f t="shared" si="11"/>
        <v>100</v>
      </c>
      <c r="V39" s="774" t="s">
        <v>17</v>
      </c>
      <c r="W39" s="775">
        <f t="shared" si="12"/>
        <v>100</v>
      </c>
      <c r="X39" s="1812"/>
      <c r="Y39" s="3199"/>
      <c r="Z39" s="1813">
        <f t="shared" si="13"/>
        <v>111</v>
      </c>
      <c r="AA39" s="1810">
        <f t="shared" si="3"/>
        <v>1</v>
      </c>
      <c r="AB39" s="1810">
        <f t="shared" si="4"/>
        <v>1</v>
      </c>
      <c r="AC39" s="1810">
        <f t="shared" si="5"/>
        <v>1</v>
      </c>
    </row>
    <row r="40" spans="1:29" s="471" customFormat="1" ht="15.75" thickBot="1">
      <c r="A40" s="468"/>
      <c r="B40" s="1387">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9"/>
      <c r="Q40" s="1809">
        <f t="shared" si="14"/>
        <v>111</v>
      </c>
      <c r="R40" s="777" t="s">
        <v>17</v>
      </c>
      <c r="S40" s="778">
        <f t="shared" si="10"/>
        <v>100</v>
      </c>
      <c r="T40" s="777" t="s">
        <v>17</v>
      </c>
      <c r="U40" s="778">
        <f t="shared" si="11"/>
        <v>100</v>
      </c>
      <c r="V40" s="777" t="s">
        <v>17</v>
      </c>
      <c r="W40" s="778">
        <f t="shared" si="12"/>
        <v>100</v>
      </c>
      <c r="X40" s="779"/>
      <c r="Y40" s="3199"/>
      <c r="Z40" s="780">
        <f t="shared" si="13"/>
        <v>111</v>
      </c>
      <c r="AA40" s="1810">
        <f t="shared" si="3"/>
        <v>1</v>
      </c>
      <c r="AB40" s="1810">
        <f t="shared" si="4"/>
        <v>1</v>
      </c>
      <c r="AC40" s="1810">
        <f t="shared" si="5"/>
        <v>1</v>
      </c>
    </row>
    <row r="41" spans="1:29" ht="15">
      <c r="A41" s="479" t="s">
        <v>2705</v>
      </c>
      <c r="B41" s="2698" t="s">
        <v>2785</v>
      </c>
      <c r="C41" s="682" t="s">
        <v>1</v>
      </c>
      <c r="D41" s="481"/>
      <c r="E41" s="482"/>
      <c r="F41" s="483"/>
      <c r="G41" s="484"/>
      <c r="H41" s="485"/>
      <c r="I41" s="482"/>
      <c r="J41" s="485"/>
      <c r="K41" s="783"/>
      <c r="L41" s="1143"/>
      <c r="M41" s="1131"/>
      <c r="N41" s="1131"/>
      <c r="O41" s="1144"/>
      <c r="P41" s="3181" t="str">
        <f>A41</f>
        <v>成交单价</v>
      </c>
      <c r="Q41" s="3181"/>
      <c r="R41" s="3194">
        <f>E41</f>
        <v>0</v>
      </c>
      <c r="S41" s="3194"/>
      <c r="T41" s="3194">
        <f>G41</f>
        <v>0</v>
      </c>
      <c r="U41" s="3194"/>
      <c r="V41" s="3194">
        <f>I41</f>
        <v>0</v>
      </c>
      <c r="W41" s="3194"/>
      <c r="X41" s="759"/>
      <c r="Y41" s="781"/>
      <c r="Z41" s="759"/>
      <c r="AA41" s="759"/>
      <c r="AB41" s="759"/>
      <c r="AC41" s="759"/>
    </row>
    <row r="42" spans="1:29" ht="15.75" thickBot="1">
      <c r="A42" s="486" t="s">
        <v>2654</v>
      </c>
      <c r="B42" s="683"/>
      <c r="C42" s="490" t="e">
        <f>R43</f>
        <v>#DIV/0!</v>
      </c>
      <c r="D42" s="489"/>
      <c r="E42" s="490" t="e">
        <f>R42</f>
        <v>#DIV/0!</v>
      </c>
      <c r="F42" s="491"/>
      <c r="G42" s="488" t="e">
        <f>T42</f>
        <v>#DIV/0!</v>
      </c>
      <c r="H42" s="489"/>
      <c r="I42" s="490" t="e">
        <f>V42</f>
        <v>#DIV/0!</v>
      </c>
      <c r="J42" s="489"/>
      <c r="K42" s="784"/>
      <c r="L42" s="1143"/>
      <c r="M42" s="1131"/>
      <c r="N42" s="1131"/>
      <c r="O42" s="1144"/>
      <c r="P42" s="3181" t="str">
        <f>A42</f>
        <v>比较价值（元/平方米）</v>
      </c>
      <c r="Q42" s="3181"/>
      <c r="R42" s="3200" t="e">
        <f>ROUND(PRODUCT(R41,AA7:AA40),0)</f>
        <v>#DIV/0!</v>
      </c>
      <c r="S42" s="3200"/>
      <c r="T42" s="3200" t="e">
        <f>ROUND(PRODUCT(T41,AB7:AB40),0)</f>
        <v>#DIV/0!</v>
      </c>
      <c r="U42" s="3200"/>
      <c r="V42" s="3200" t="e">
        <f>ROUND(PRODUCT(V41,AC7:AC40),0)</f>
        <v>#DIV/0!</v>
      </c>
      <c r="W42" s="3200"/>
      <c r="X42" s="759"/>
      <c r="Y42" s="759"/>
      <c r="Z42" s="759"/>
      <c r="AA42" s="759"/>
      <c r="AB42" s="759"/>
      <c r="AC42" s="759"/>
    </row>
    <row r="43" spans="1:29" ht="15.75" thickBot="1">
      <c r="A43" s="492" t="s">
        <v>2655</v>
      </c>
      <c r="B43" s="493"/>
      <c r="C43" s="494" t="e">
        <f>R43</f>
        <v>#DIV/0!</v>
      </c>
      <c r="D43" s="494"/>
      <c r="E43" s="494"/>
      <c r="F43" s="494"/>
      <c r="G43" s="494"/>
      <c r="H43" s="494"/>
      <c r="I43" s="494"/>
      <c r="J43" s="494"/>
      <c r="K43" s="785"/>
      <c r="L43" s="1143"/>
      <c r="M43" s="1131"/>
      <c r="N43" s="1131"/>
      <c r="O43" s="1144"/>
      <c r="P43" s="3201" t="str">
        <f>A43</f>
        <v>估价对象XX用房的比较价值（楼面单价，元/平方米）</v>
      </c>
      <c r="Q43" s="3202"/>
      <c r="R43" s="3203" t="e">
        <f>ROUND(AVERAGE(R42:V42),0)</f>
        <v>#DIV/0!</v>
      </c>
      <c r="S43" s="3203"/>
      <c r="T43" s="3203"/>
      <c r="U43" s="3203"/>
      <c r="V43" s="3203"/>
      <c r="W43" s="320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2743</v>
      </c>
      <c r="B50" s="685" t="s">
        <v>2744</v>
      </c>
      <c r="C50" s="2699" t="s">
        <v>2745</v>
      </c>
      <c r="D50" s="2700" t="s">
        <v>2746</v>
      </c>
      <c r="E50" s="686" t="s">
        <v>2747</v>
      </c>
      <c r="F50" s="687" t="s">
        <v>2748</v>
      </c>
      <c r="G50" s="3182" t="s">
        <v>2749</v>
      </c>
      <c r="H50" s="3204"/>
      <c r="I50" s="1813" t="s">
        <v>2786</v>
      </c>
      <c r="J50" s="1813" t="str">
        <f>项目基本情况!F35</f>
        <v>贵州省</v>
      </c>
      <c r="K50" s="2702" t="s">
        <v>2751</v>
      </c>
      <c r="L50" s="1106"/>
      <c r="M50" s="1144"/>
      <c r="N50" s="1144"/>
      <c r="O50" s="1144"/>
    </row>
    <row r="51" spans="1:17" s="692" customFormat="1">
      <c r="A51" s="688" t="s">
        <v>2752</v>
      </c>
      <c r="B51" s="689" t="e">
        <f>C43</f>
        <v>#DIV/0!</v>
      </c>
      <c r="C51" s="690">
        <v>1</v>
      </c>
      <c r="D51" s="1163">
        <v>1</v>
      </c>
      <c r="E51" s="690">
        <f>'数据-汇总表'!E8+'数据-汇总表'!E9</f>
        <v>53306.400000000001</v>
      </c>
      <c r="F51" s="691" t="e">
        <f t="shared" ref="F51:F60" si="15">ROUND(B51*E51/10000,0)</f>
        <v>#DIV/0!</v>
      </c>
      <c r="G51" s="3205"/>
      <c r="H51" s="3181"/>
      <c r="I51" s="942">
        <v>1</v>
      </c>
      <c r="J51" s="942">
        <v>1</v>
      </c>
      <c r="K51" s="1145"/>
      <c r="L51" s="941"/>
      <c r="M51" s="941"/>
      <c r="N51" s="941"/>
      <c r="O51" s="941"/>
    </row>
    <row r="52" spans="1:17" s="692" customFormat="1">
      <c r="A52" s="693" t="s">
        <v>2753</v>
      </c>
      <c r="B52" s="262" t="e">
        <f>ROUND($C$43*C52*D52,0)</f>
        <v>#DIV/0!</v>
      </c>
      <c r="C52" s="200">
        <f t="shared" ref="C52:C60" si="16">IF($C$50="北京市系数",I52,J52)</f>
        <v>0</v>
      </c>
      <c r="D52" s="1164">
        <v>0.25</v>
      </c>
      <c r="E52" s="694"/>
      <c r="F52" s="691" t="e">
        <f t="shared" si="15"/>
        <v>#DIV/0!</v>
      </c>
      <c r="G52" s="3206" t="s">
        <v>2754</v>
      </c>
      <c r="H52" s="1104">
        <f>项目基本情况!B37</f>
        <v>0</v>
      </c>
      <c r="I52" s="942">
        <f>SUMIF(修正!A45:A56,H52,修正!B45:B56)</f>
        <v>0</v>
      </c>
      <c r="J52" s="943"/>
      <c r="K52" s="1144"/>
      <c r="L52" s="941"/>
      <c r="M52" s="941"/>
      <c r="N52" s="941"/>
      <c r="O52" s="941"/>
    </row>
    <row r="53" spans="1:17" s="692" customFormat="1">
      <c r="A53" s="693" t="s">
        <v>2755</v>
      </c>
      <c r="B53" s="262" t="e">
        <f t="shared" ref="B53:B60" si="17">ROUND($C$43*C53*D53,0)</f>
        <v>#DIV/0!</v>
      </c>
      <c r="C53" s="200">
        <f t="shared" si="16"/>
        <v>0</v>
      </c>
      <c r="D53" s="1164">
        <v>0.25</v>
      </c>
      <c r="E53" s="694"/>
      <c r="F53" s="691" t="e">
        <f t="shared" si="15"/>
        <v>#DIV/0!</v>
      </c>
      <c r="G53" s="3206"/>
      <c r="H53" s="1104">
        <f>项目基本情况!B37</f>
        <v>0</v>
      </c>
      <c r="I53" s="942">
        <f>SUMIF(修正!A45:A56,H53,修正!C45:C56)</f>
        <v>0</v>
      </c>
      <c r="J53" s="943"/>
      <c r="K53" s="1145"/>
      <c r="L53" s="941"/>
      <c r="M53" s="941"/>
      <c r="N53" s="941"/>
      <c r="O53" s="941"/>
    </row>
    <row r="54" spans="1:17" s="692" customFormat="1">
      <c r="A54" s="693" t="s">
        <v>2756</v>
      </c>
      <c r="B54" s="262" t="e">
        <f t="shared" si="17"/>
        <v>#DIV/0!</v>
      </c>
      <c r="C54" s="200">
        <f t="shared" si="16"/>
        <v>0</v>
      </c>
      <c r="D54" s="1164">
        <v>0.25</v>
      </c>
      <c r="E54" s="694"/>
      <c r="F54" s="691" t="e">
        <f t="shared" si="15"/>
        <v>#DIV/0!</v>
      </c>
      <c r="G54" s="3206"/>
      <c r="H54" s="1104">
        <f>项目基本情况!B37</f>
        <v>0</v>
      </c>
      <c r="I54" s="942">
        <f>SUMIF(修正!A45:A56,H54,修正!D45:D56)</f>
        <v>0</v>
      </c>
      <c r="J54" s="943"/>
      <c r="K54" s="1144"/>
      <c r="L54" s="941"/>
      <c r="M54" s="941"/>
      <c r="N54" s="941"/>
      <c r="O54" s="941"/>
    </row>
    <row r="55" spans="1:17" s="692" customFormat="1">
      <c r="A55" s="693" t="s">
        <v>2757</v>
      </c>
      <c r="B55" s="262" t="e">
        <f t="shared" si="17"/>
        <v>#DIV/0!</v>
      </c>
      <c r="C55" s="200">
        <f t="shared" si="16"/>
        <v>0</v>
      </c>
      <c r="D55" s="1164">
        <v>0.25</v>
      </c>
      <c r="E55" s="694"/>
      <c r="F55" s="691" t="e">
        <f t="shared" si="15"/>
        <v>#DIV/0!</v>
      </c>
      <c r="G55" s="3206"/>
      <c r="H55" s="1104">
        <f>项目基本情况!B37</f>
        <v>0</v>
      </c>
      <c r="I55" s="942">
        <f>SUMIF(修正!A45:A56,H55,修正!E45:E56)</f>
        <v>0</v>
      </c>
      <c r="J55" s="943"/>
      <c r="K55" s="1145"/>
      <c r="L55" s="941"/>
      <c r="M55" s="941"/>
      <c r="N55" s="941"/>
      <c r="O55" s="941"/>
    </row>
    <row r="56" spans="1:17" s="692" customFormat="1">
      <c r="A56" s="693" t="s">
        <v>2758</v>
      </c>
      <c r="B56" s="262" t="e">
        <f t="shared" si="17"/>
        <v>#DIV/0!</v>
      </c>
      <c r="C56" s="200">
        <f t="shared" si="16"/>
        <v>0</v>
      </c>
      <c r="D56" s="1164">
        <v>0.25</v>
      </c>
      <c r="E56" s="261">
        <f>'数据-汇总表'!E11</f>
        <v>0</v>
      </c>
      <c r="F56" s="691" t="e">
        <f t="shared" si="15"/>
        <v>#DIV/0!</v>
      </c>
      <c r="G56" s="2703" t="s">
        <v>2759</v>
      </c>
      <c r="H56" s="1104">
        <f>项目基本情况!C37</f>
        <v>0</v>
      </c>
      <c r="I56" s="942">
        <f>SUMIF(修正!A45:A56,H56,修正!F45:F56)</f>
        <v>0</v>
      </c>
      <c r="J56" s="943"/>
      <c r="K56" s="1144"/>
      <c r="L56" s="941"/>
      <c r="M56" s="941"/>
      <c r="N56" s="941"/>
      <c r="O56" s="941"/>
    </row>
    <row r="57" spans="1:17" s="692" customFormat="1">
      <c r="A57" s="693" t="s">
        <v>2760</v>
      </c>
      <c r="B57" s="262" t="e">
        <f t="shared" si="17"/>
        <v>#DIV/0!</v>
      </c>
      <c r="C57" s="200">
        <f t="shared" si="16"/>
        <v>0</v>
      </c>
      <c r="D57" s="1164">
        <v>0.25</v>
      </c>
      <c r="E57" s="261">
        <f>'数据-汇总表'!E12</f>
        <v>0</v>
      </c>
      <c r="F57" s="691" t="e">
        <f t="shared" si="15"/>
        <v>#DIV/0!</v>
      </c>
      <c r="G57" s="1109" t="s">
        <v>2761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2762</v>
      </c>
      <c r="B58" s="262" t="e">
        <f t="shared" si="17"/>
        <v>#DIV/0!</v>
      </c>
      <c r="C58" s="200">
        <f t="shared" si="16"/>
        <v>0</v>
      </c>
      <c r="D58" s="1164">
        <v>0.25</v>
      </c>
      <c r="E58" s="261">
        <f>'数据-汇总表'!E13</f>
        <v>0</v>
      </c>
      <c r="F58" s="691" t="e">
        <f t="shared" si="15"/>
        <v>#DIV/0!</v>
      </c>
      <c r="G58" s="1109" t="s">
        <v>2763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2764</v>
      </c>
      <c r="B59" s="262" t="e">
        <f t="shared" si="17"/>
        <v>#DIV/0!</v>
      </c>
      <c r="C59" s="200">
        <f t="shared" si="16"/>
        <v>0</v>
      </c>
      <c r="D59" s="1164">
        <v>0.25</v>
      </c>
      <c r="E59" s="261">
        <f>'数据-汇总表'!E14</f>
        <v>0</v>
      </c>
      <c r="F59" s="691" t="e">
        <f t="shared" si="15"/>
        <v>#DIV/0!</v>
      </c>
      <c r="G59" s="2703" t="s">
        <v>2754</v>
      </c>
      <c r="H59" s="1104">
        <f>项目基本情况!B37</f>
        <v>0</v>
      </c>
      <c r="I59" s="942">
        <f>SUMIF(修正!A45:A56,H59,修正!H45:H56)</f>
        <v>0</v>
      </c>
      <c r="J59" s="943"/>
      <c r="K59" s="1145"/>
      <c r="L59" s="941"/>
      <c r="M59" s="941"/>
      <c r="N59" s="941"/>
      <c r="O59" s="941"/>
    </row>
    <row r="60" spans="1:17" s="692" customFormat="1" ht="15" thickBot="1">
      <c r="A60" s="693" t="s">
        <v>2765</v>
      </c>
      <c r="B60" s="262" t="e">
        <f t="shared" si="17"/>
        <v>#DIV/0!</v>
      </c>
      <c r="C60" s="200">
        <f t="shared" si="16"/>
        <v>0</v>
      </c>
      <c r="D60" s="1164">
        <v>0.25</v>
      </c>
      <c r="E60" s="261">
        <f>'数据-汇总表'!E15</f>
        <v>0</v>
      </c>
      <c r="F60" s="691" t="e">
        <f t="shared" si="15"/>
        <v>#DIV/0!</v>
      </c>
      <c r="G60" s="2704" t="s">
        <v>2759</v>
      </c>
      <c r="H60" s="1114">
        <f>项目基本情况!C37</f>
        <v>0</v>
      </c>
      <c r="I60" s="942">
        <f>SUMIF(修正!A45:A56,H60,修正!H45:H56)</f>
        <v>0</v>
      </c>
      <c r="J60" s="943"/>
      <c r="K60" s="1144"/>
      <c r="L60" s="941"/>
      <c r="M60" s="941"/>
      <c r="N60" s="941"/>
      <c r="O60" s="941"/>
    </row>
    <row r="61" spans="1:17" s="692" customFormat="1" ht="15" thickBot="1">
      <c r="A61" s="695" t="s">
        <v>2766</v>
      </c>
      <c r="B61" s="696" t="s">
        <v>28</v>
      </c>
      <c r="C61" s="696" t="s">
        <v>29</v>
      </c>
      <c r="D61" s="696" t="s">
        <v>1026</v>
      </c>
      <c r="E61" s="696">
        <f>IF(B41="楼面地价",SUM(E51:E60),'数据-汇总表'!D3)</f>
        <v>21322.59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2020-7-1</v>
      </c>
      <c r="D63" s="761">
        <f>EDATE(C63,-3)</f>
        <v>43922</v>
      </c>
      <c r="E63" s="761">
        <f>EDATE(D63,-3)</f>
        <v>43831</v>
      </c>
      <c r="F63" s="761">
        <f t="shared" ref="F63:O63" si="18">EDATE(E63,-3)</f>
        <v>43739</v>
      </c>
      <c r="G63" s="761">
        <f t="shared" si="18"/>
        <v>43647</v>
      </c>
      <c r="H63" s="761">
        <f t="shared" si="18"/>
        <v>43556</v>
      </c>
      <c r="I63" s="761">
        <f t="shared" si="18"/>
        <v>43466</v>
      </c>
      <c r="J63" s="761">
        <f t="shared" si="18"/>
        <v>43374</v>
      </c>
      <c r="K63" s="761">
        <f t="shared" si="18"/>
        <v>43282</v>
      </c>
      <c r="L63" s="761">
        <f t="shared" si="18"/>
        <v>43191</v>
      </c>
      <c r="M63" s="761">
        <f t="shared" si="18"/>
        <v>43101</v>
      </c>
      <c r="N63" s="761">
        <f t="shared" si="18"/>
        <v>43009</v>
      </c>
      <c r="O63" s="761">
        <f t="shared" si="18"/>
        <v>42917</v>
      </c>
    </row>
    <row r="64" spans="1:17" ht="21.75" thickBot="1">
      <c r="A64" s="763" t="s">
        <v>2659</v>
      </c>
      <c r="B64" s="759"/>
      <c r="C64" s="764"/>
      <c r="D64" s="764"/>
      <c r="E64" s="764"/>
      <c r="F64" s="765"/>
      <c r="G64" s="765"/>
      <c r="H64" s="764"/>
      <c r="I64" s="764"/>
      <c r="J64" s="764"/>
      <c r="K64" s="766"/>
      <c r="L64" s="767"/>
      <c r="M64" s="764"/>
      <c r="N64" s="764"/>
      <c r="O64" s="1159"/>
      <c r="P64" s="503"/>
      <c r="Q64" s="504"/>
    </row>
    <row r="65" spans="1:17" s="508" customFormat="1" ht="15">
      <c r="A65" s="2705" t="s">
        <v>2767</v>
      </c>
      <c r="B65" s="1359"/>
      <c r="C65" s="1571" t="str">
        <f>YEAR(C63)&amp;"-"&amp;ROUNDUP(MONTH(C63)/3,0)</f>
        <v>2020-3</v>
      </c>
      <c r="D65" s="1571" t="str">
        <f t="shared" ref="D65:O65" si="19">YEAR(D63)&amp;"-"&amp;ROUNDUP(MONTH(D63)/3,0)</f>
        <v>2020-2</v>
      </c>
      <c r="E65" s="1571" t="str">
        <f t="shared" si="19"/>
        <v>2020-1</v>
      </c>
      <c r="F65" s="1571" t="str">
        <f t="shared" si="19"/>
        <v>2019-4</v>
      </c>
      <c r="G65" s="1571" t="str">
        <f t="shared" si="19"/>
        <v>2019-3</v>
      </c>
      <c r="H65" s="1571" t="str">
        <f t="shared" si="19"/>
        <v>2019-2</v>
      </c>
      <c r="I65" s="1571" t="str">
        <f t="shared" si="19"/>
        <v>2019-1</v>
      </c>
      <c r="J65" s="1571" t="str">
        <f t="shared" si="19"/>
        <v>2018-4</v>
      </c>
      <c r="K65" s="1571" t="str">
        <f t="shared" si="19"/>
        <v>2018-3</v>
      </c>
      <c r="L65" s="1571" t="str">
        <f t="shared" si="19"/>
        <v>2018-2</v>
      </c>
      <c r="M65" s="1571" t="str">
        <f t="shared" si="19"/>
        <v>2018-1</v>
      </c>
      <c r="N65" s="1571" t="str">
        <f t="shared" si="19"/>
        <v>2017-4</v>
      </c>
      <c r="O65" s="1571" t="str">
        <f t="shared" si="19"/>
        <v>2017-3</v>
      </c>
      <c r="P65" s="507"/>
    </row>
    <row r="66" spans="1:17" s="117" customFormat="1" ht="30.75" customHeight="1">
      <c r="A66" s="2710" t="s">
        <v>2787</v>
      </c>
      <c r="B66" s="332" t="str">
        <f>"北京市平均增长率"&amp;TEXT(基准地价修正!P24,"0.00%")</f>
        <v>北京市平均增长率0.00%</v>
      </c>
      <c r="C66" s="603">
        <v>100</v>
      </c>
      <c r="D66" s="595"/>
      <c r="E66" s="595"/>
      <c r="F66" s="595"/>
      <c r="G66" s="595"/>
      <c r="H66" s="595"/>
      <c r="I66" s="595"/>
      <c r="J66" s="595"/>
      <c r="K66" s="595"/>
      <c r="L66" s="595"/>
      <c r="M66" s="1567"/>
      <c r="N66" s="1567"/>
      <c r="O66" s="1568"/>
      <c r="P66" s="504"/>
    </row>
    <row r="67" spans="1:17" s="117" customFormat="1" ht="15.75" thickBot="1">
      <c r="A67" s="515" t="s">
        <v>2570</v>
      </c>
      <c r="B67" s="516"/>
      <c r="C67" s="517"/>
      <c r="D67" s="518"/>
      <c r="E67" s="518"/>
      <c r="F67" s="518"/>
      <c r="G67" s="518"/>
      <c r="H67" s="518"/>
      <c r="I67" s="518"/>
      <c r="J67" s="518"/>
      <c r="K67" s="518"/>
      <c r="L67" s="518"/>
      <c r="M67" s="519"/>
      <c r="N67" s="519"/>
      <c r="O67" s="520"/>
      <c r="P67" s="504"/>
      <c r="Q67" s="504"/>
    </row>
    <row r="68" spans="1:17" s="117" customFormat="1" ht="15">
      <c r="A68" s="521" t="s">
        <v>2535</v>
      </c>
      <c r="B68" s="510"/>
      <c r="C68" s="522" t="s">
        <v>2637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2573</v>
      </c>
      <c r="B70" s="528" t="s">
        <v>2539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2544</v>
      </c>
      <c r="B83" s="528" t="s">
        <v>2690</v>
      </c>
      <c r="C83" s="573" t="s">
        <v>2582</v>
      </c>
      <c r="D83" s="573" t="s">
        <v>2583</v>
      </c>
      <c r="E83" s="573" t="s">
        <v>2584</v>
      </c>
      <c r="F83" s="573" t="s">
        <v>2585</v>
      </c>
      <c r="G83" s="573" t="s">
        <v>2586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2587</v>
      </c>
      <c r="C85" s="578" t="s">
        <v>2582</v>
      </c>
      <c r="D85" s="578" t="s">
        <v>2583</v>
      </c>
      <c r="E85" s="578" t="s">
        <v>2584</v>
      </c>
      <c r="F85" s="578" t="s">
        <v>2585</v>
      </c>
      <c r="G85" s="578" t="s">
        <v>2586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2770</v>
      </c>
      <c r="C87" s="573" t="s">
        <v>2582</v>
      </c>
      <c r="D87" s="573" t="s">
        <v>2583</v>
      </c>
      <c r="E87" s="573" t="s">
        <v>2584</v>
      </c>
      <c r="F87" s="573" t="s">
        <v>2585</v>
      </c>
      <c r="G87" s="573" t="s">
        <v>2586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2771</v>
      </c>
      <c r="C89" s="573" t="s">
        <v>2582</v>
      </c>
      <c r="D89" s="573" t="s">
        <v>2583</v>
      </c>
      <c r="E89" s="573" t="s">
        <v>2584</v>
      </c>
      <c r="F89" s="573" t="s">
        <v>2585</v>
      </c>
      <c r="G89" s="573" t="s">
        <v>2586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2639</v>
      </c>
      <c r="C91" s="573" t="s">
        <v>2582</v>
      </c>
      <c r="D91" s="573" t="s">
        <v>2583</v>
      </c>
      <c r="E91" s="573" t="s">
        <v>2584</v>
      </c>
      <c r="F91" s="573" t="s">
        <v>2585</v>
      </c>
      <c r="G91" s="573" t="s">
        <v>2586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2788</v>
      </c>
      <c r="C93" s="660" t="s">
        <v>2660</v>
      </c>
      <c r="D93" s="660" t="s">
        <v>2661</v>
      </c>
      <c r="E93" s="660" t="s">
        <v>2662</v>
      </c>
      <c r="F93" s="660" t="s">
        <v>2663</v>
      </c>
      <c r="G93" s="660" t="s">
        <v>2664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2772</v>
      </c>
      <c r="D95" s="539" t="s">
        <v>2773</v>
      </c>
      <c r="E95" s="539" t="s">
        <v>2774</v>
      </c>
      <c r="F95" s="539" t="s">
        <v>2775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2548</v>
      </c>
      <c r="B107" s="528" t="s">
        <v>2776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2779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3" sqref="H13:L13"/>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72" customWidth="1"/>
    <col min="33" max="36" width="9.375" style="2782" customWidth="1"/>
    <col min="37" max="38" width="9.375" style="2714" customWidth="1"/>
    <col min="39" max="16384" width="12" style="2714"/>
  </cols>
  <sheetData>
    <row r="1" spans="1:36" ht="28.5">
      <c r="A1" s="240" t="s">
        <v>2789</v>
      </c>
      <c r="B1" s="241"/>
      <c r="C1" s="245" t="s">
        <v>2790</v>
      </c>
      <c r="D1" s="388">
        <f>SUM(D29:D30,D33:D39)</f>
        <v>0</v>
      </c>
      <c r="E1" s="2711"/>
      <c r="F1" s="2711"/>
      <c r="G1" s="2711"/>
      <c r="H1" s="2711"/>
      <c r="I1" s="2711"/>
      <c r="J1" s="2711"/>
      <c r="K1" s="1370"/>
      <c r="L1" s="2712" t="s">
        <v>2791</v>
      </c>
      <c r="M1" s="1080">
        <f>SUMPRODUCT((区片价!B5:B9=I2)*(区片价!C3:F3=E2)*(区片价!C5:F9))</f>
        <v>0</v>
      </c>
      <c r="N1" s="1083">
        <f>SUMPRODUCT((因素修正幅度!B5:B9=I2)*(因素修正幅度!C3:F3=E2)*(因素修正幅度!C5:F9))</f>
        <v>0</v>
      </c>
      <c r="O1" s="2713"/>
      <c r="P1" s="2713"/>
      <c r="Q1" s="1370"/>
      <c r="R1" s="1601" t="s">
        <v>2792</v>
      </c>
      <c r="S1" s="1601" t="s">
        <v>2793</v>
      </c>
      <c r="T1" s="1601" t="s">
        <v>2794</v>
      </c>
      <c r="U1" s="1601" t="s">
        <v>2795</v>
      </c>
      <c r="V1" s="1601" t="s">
        <v>2796</v>
      </c>
      <c r="W1" s="1605"/>
      <c r="X1" s="1605"/>
      <c r="Y1" s="1605"/>
      <c r="Z1" s="1605"/>
      <c r="AA1" s="1605"/>
      <c r="AB1" s="1605"/>
      <c r="AC1" s="1606"/>
      <c r="AD1" s="1607"/>
      <c r="AE1" s="1607"/>
      <c r="AF1" s="1607"/>
      <c r="AG1" s="1607"/>
      <c r="AH1" s="1607"/>
      <c r="AI1" s="1607"/>
      <c r="AJ1" s="1608"/>
    </row>
    <row r="2" spans="1:36" ht="15.75">
      <c r="A2" s="245" t="s">
        <v>2797</v>
      </c>
      <c r="B2" s="248" t="e">
        <f>C26</f>
        <v>#DIV/0!</v>
      </c>
      <c r="C2" s="2715" t="s">
        <v>2798</v>
      </c>
      <c r="D2" s="2716" t="s">
        <v>2799</v>
      </c>
      <c r="E2" s="2717"/>
      <c r="F2" s="2716" t="s">
        <v>2800</v>
      </c>
      <c r="G2" s="2718">
        <f>IF(E2="商业",项目基本情况!B37,IF(E2="办公",项目基本情况!C37,IF(E2="住宅",项目基本情况!D37,项目基本情况!E37)))</f>
        <v>0</v>
      </c>
      <c r="H2" s="2716" t="s">
        <v>2801</v>
      </c>
      <c r="I2" s="2718">
        <f>IF(E2="商业",项目基本情况!B38,IF(E2="办公",项目基本情况!C38,IF(E2="住宅",项目基本情况!D38,项目基本情况!E38)))</f>
        <v>0</v>
      </c>
      <c r="J2" s="2719"/>
      <c r="K2" s="1370"/>
      <c r="L2" s="2720" t="s">
        <v>2802</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2803</v>
      </c>
      <c r="B3" s="248" t="e">
        <f>ROUND(B2*10000/D1,0)</f>
        <v>#DIV/0!</v>
      </c>
      <c r="C3" s="2715" t="s">
        <v>2804</v>
      </c>
      <c r="D3" s="2716" t="s">
        <v>2805</v>
      </c>
      <c r="E3" s="2721"/>
      <c r="F3" s="2722" t="s">
        <v>2806</v>
      </c>
      <c r="G3" s="916">
        <f>IF(F3="宗地容积率",'数据-汇总表'!I4,IF(F3="估价对象容积率",'数据-汇总表'!I6,'数据-汇总表'!I7))</f>
        <v>2.5</v>
      </c>
      <c r="H3" s="198" t="s">
        <v>2807</v>
      </c>
      <c r="I3" s="944"/>
      <c r="J3" s="2719" t="s">
        <v>2808</v>
      </c>
      <c r="K3" s="1370"/>
      <c r="L3" s="2720" t="s">
        <v>2809</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82"/>
      <c r="B4" s="3283"/>
      <c r="C4" s="3283"/>
      <c r="D4" s="3284"/>
      <c r="E4" s="3284"/>
      <c r="F4" s="3284"/>
      <c r="G4" s="3284"/>
      <c r="H4" s="3284"/>
      <c r="I4" s="3284"/>
      <c r="J4" s="3285"/>
      <c r="K4" s="1370"/>
      <c r="L4" s="2720" t="s">
        <v>2810</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2" customFormat="1" ht="15.75" thickBot="1">
      <c r="A5" s="2723" t="s">
        <v>807</v>
      </c>
      <c r="B5" s="2724" t="s">
        <v>2811</v>
      </c>
      <c r="C5" s="917" t="e">
        <f>ROUND(IF(E2="商业",C6*C7+C16,(IF(E2="住宅",C6*C12+C16,C6+C16))),0)</f>
        <v>#DIV/0!</v>
      </c>
      <c r="D5" s="1786" t="e">
        <f>ROUND(C6+C16,0)</f>
        <v>#DIV/0!</v>
      </c>
      <c r="E5" s="1786"/>
      <c r="F5" s="2725"/>
      <c r="G5" s="2726"/>
      <c r="H5" s="2726"/>
      <c r="I5" s="2726"/>
      <c r="J5" s="2727"/>
      <c r="K5" s="2728"/>
      <c r="L5" s="2720" t="s">
        <v>2812</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29"/>
      <c r="AD5" s="2730"/>
      <c r="AE5" s="2730"/>
      <c r="AF5" s="2730"/>
      <c r="AG5" s="2730"/>
      <c r="AH5" s="2730"/>
      <c r="AI5" s="2730"/>
      <c r="AJ5" s="2731"/>
    </row>
    <row r="6" spans="1:36" ht="15.75" thickBot="1">
      <c r="A6" s="2733" t="s">
        <v>2813</v>
      </c>
      <c r="B6" s="2734" t="s">
        <v>2814</v>
      </c>
      <c r="C6" s="918">
        <f>SUMIF(L1:L12,G2,M1:M12)</f>
        <v>0</v>
      </c>
      <c r="D6" s="2735" t="s">
        <v>2815</v>
      </c>
      <c r="E6" s="2736"/>
      <c r="F6" s="2736"/>
      <c r="G6" s="2737"/>
      <c r="H6" s="2737"/>
      <c r="I6" s="2737"/>
      <c r="J6" s="2738"/>
      <c r="K6" s="1841"/>
      <c r="L6" s="2720" t="s">
        <v>2816</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29"/>
      <c r="AD6" s="2730"/>
      <c r="AE6" s="2730"/>
      <c r="AF6" s="2730"/>
      <c r="AG6" s="2730"/>
      <c r="AH6" s="2730"/>
      <c r="AI6" s="2730"/>
      <c r="AJ6" s="2731"/>
    </row>
    <row r="7" spans="1:36" ht="24">
      <c r="A7" s="3266" t="str">
        <f>IF(E2="商业",IF(C8="不临58条商业街","",2),"")</f>
        <v/>
      </c>
      <c r="B7" s="2739" t="s">
        <v>2817</v>
      </c>
      <c r="C7" s="919" t="e">
        <f>IF(C8="不临58条商业街",1,ROUND(1+(1.6*E8+1.2*E9+0.8*E10+0.4*E11)*C9,4))</f>
        <v>#DIV/0!</v>
      </c>
      <c r="D7" s="2740" t="s">
        <v>2818</v>
      </c>
      <c r="E7" s="945"/>
      <c r="F7" s="2741"/>
      <c r="G7" s="2742"/>
      <c r="H7" s="2742"/>
      <c r="I7" s="2742"/>
      <c r="J7" s="2743"/>
      <c r="K7" s="1841"/>
      <c r="L7" s="2720" t="s">
        <v>2819</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2820</v>
      </c>
      <c r="X7" s="1603">
        <f>G2</f>
        <v>0</v>
      </c>
      <c r="Y7" s="1603" t="s">
        <v>2821</v>
      </c>
      <c r="Z7" s="1604">
        <f>G3</f>
        <v>2.5</v>
      </c>
      <c r="AA7" s="1605"/>
      <c r="AB7" s="1605"/>
      <c r="AC7" s="1606"/>
      <c r="AD7" s="1607"/>
      <c r="AE7" s="1607"/>
      <c r="AF7" s="1607"/>
      <c r="AG7" s="1607"/>
      <c r="AH7" s="1607"/>
      <c r="AI7" s="1607"/>
      <c r="AJ7" s="1608"/>
    </row>
    <row r="8" spans="1:36" ht="15">
      <c r="A8" s="3286"/>
      <c r="B8" s="198" t="s">
        <v>2822</v>
      </c>
      <c r="C8" s="2744"/>
      <c r="D8" s="920" t="s">
        <v>139</v>
      </c>
      <c r="E8" s="921" t="e">
        <f>ROUND(C11/E7,4)</f>
        <v>#DIV/0!</v>
      </c>
      <c r="F8" s="2745" t="s">
        <v>2823</v>
      </c>
      <c r="G8" s="2746"/>
      <c r="H8" s="2746"/>
      <c r="I8" s="2746"/>
      <c r="J8" s="2747"/>
      <c r="K8" s="1370"/>
      <c r="L8" s="2720" t="s">
        <v>2824</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79" t="s">
        <v>2825</v>
      </c>
      <c r="X8" s="3280"/>
      <c r="Y8" s="1609" t="s">
        <v>2826</v>
      </c>
      <c r="Z8" s="1609" t="s">
        <v>2827</v>
      </c>
      <c r="AA8" s="1609" t="s">
        <v>2828</v>
      </c>
      <c r="AB8" s="1609" t="s">
        <v>2829</v>
      </c>
      <c r="AC8" s="1609" t="s">
        <v>2830</v>
      </c>
      <c r="AD8" s="1609" t="s">
        <v>2831</v>
      </c>
      <c r="AE8" s="1609" t="s">
        <v>2832</v>
      </c>
      <c r="AF8" s="1609" t="s">
        <v>2833</v>
      </c>
      <c r="AG8" s="1609" t="s">
        <v>2834</v>
      </c>
      <c r="AH8" s="1609" t="s">
        <v>2835</v>
      </c>
      <c r="AI8" s="1609" t="s">
        <v>2836</v>
      </c>
      <c r="AJ8" s="1609" t="s">
        <v>2837</v>
      </c>
    </row>
    <row r="9" spans="1:36" ht="15">
      <c r="A9" s="3286"/>
      <c r="B9" s="198" t="s">
        <v>2838</v>
      </c>
      <c r="C9" s="922">
        <f>SUMIF(修正!C59:C119,C8,修正!E59:E119)</f>
        <v>0</v>
      </c>
      <c r="D9" s="200" t="s">
        <v>140</v>
      </c>
      <c r="E9" s="200" t="e">
        <f>ROUND(C11/E7,4)</f>
        <v>#DIV/0!</v>
      </c>
      <c r="F9" s="2745" t="s">
        <v>2839</v>
      </c>
      <c r="G9" s="2746"/>
      <c r="H9" s="2746"/>
      <c r="I9" s="2746"/>
      <c r="J9" s="2747"/>
      <c r="K9" s="1370"/>
      <c r="L9" s="2720" t="s">
        <v>2840</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81" t="s">
        <v>2841</v>
      </c>
      <c r="X9" s="1610" t="s">
        <v>2842</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6"/>
      <c r="B10" s="198" t="s">
        <v>2843</v>
      </c>
      <c r="C10" s="200">
        <f>SUMIF(修正!C59:C119,C8,修正!F59:F119)</f>
        <v>0</v>
      </c>
      <c r="D10" s="200" t="s">
        <v>141</v>
      </c>
      <c r="E10" s="200" t="e">
        <f>ROUND(C11/E7,4)</f>
        <v>#DIV/0!</v>
      </c>
      <c r="F10" s="2745" t="s">
        <v>2844</v>
      </c>
      <c r="G10" s="2746"/>
      <c r="H10" s="2746"/>
      <c r="I10" s="2746"/>
      <c r="J10" s="2747"/>
      <c r="K10" s="1370"/>
      <c r="L10" s="2720" t="s">
        <v>2845</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8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6"/>
      <c r="B11" s="2748" t="s">
        <v>2846</v>
      </c>
      <c r="C11" s="923">
        <f>C10/4</f>
        <v>0</v>
      </c>
      <c r="D11" s="923" t="s">
        <v>142</v>
      </c>
      <c r="E11" s="923" t="e">
        <f>ROUND(C11/E7,4)</f>
        <v>#DIV/0!</v>
      </c>
      <c r="F11" s="2749" t="s">
        <v>2847</v>
      </c>
      <c r="G11" s="2750"/>
      <c r="H11" s="2750"/>
      <c r="I11" s="2750"/>
      <c r="J11" s="2751"/>
      <c r="K11" s="1370"/>
      <c r="L11" s="2720" t="s">
        <v>2848</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81" t="s">
        <v>2849</v>
      </c>
      <c r="X11" s="1613" t="s">
        <v>2850</v>
      </c>
      <c r="Y11" s="1614">
        <f>$G$3</f>
        <v>2.5</v>
      </c>
      <c r="Z11" s="1614">
        <f t="shared" ref="Z11:AJ11" si="3">$G$3</f>
        <v>2.5</v>
      </c>
      <c r="AA11" s="1614">
        <f t="shared" si="3"/>
        <v>2.5</v>
      </c>
      <c r="AB11" s="1614">
        <f t="shared" si="3"/>
        <v>2.5</v>
      </c>
      <c r="AC11" s="1614">
        <f t="shared" si="3"/>
        <v>2.5</v>
      </c>
      <c r="AD11" s="1614">
        <f t="shared" si="3"/>
        <v>2.5</v>
      </c>
      <c r="AE11" s="1614">
        <f t="shared" si="3"/>
        <v>2.5</v>
      </c>
      <c r="AF11" s="1614">
        <f t="shared" si="3"/>
        <v>2.5</v>
      </c>
      <c r="AG11" s="1614">
        <f t="shared" si="3"/>
        <v>2.5</v>
      </c>
      <c r="AH11" s="1614">
        <f t="shared" si="3"/>
        <v>2.5</v>
      </c>
      <c r="AI11" s="1614">
        <f t="shared" si="3"/>
        <v>2.5</v>
      </c>
      <c r="AJ11" s="1614">
        <f t="shared" si="3"/>
        <v>2.5</v>
      </c>
    </row>
    <row r="12" spans="1:36" ht="25.5" thickBot="1">
      <c r="A12" s="3266" t="s">
        <v>2851</v>
      </c>
      <c r="B12" s="2752" t="s">
        <v>2852</v>
      </c>
      <c r="C12" s="919">
        <f>ROUND(C15*D15*E15*F15*G15*H15*I15*J15,4)</f>
        <v>1</v>
      </c>
      <c r="D12" s="2753" t="s">
        <v>2853</v>
      </c>
      <c r="E12" s="2754"/>
      <c r="F12" s="2754"/>
      <c r="G12" s="2755"/>
      <c r="H12" s="2755"/>
      <c r="I12" s="2755"/>
      <c r="J12" s="2756"/>
      <c r="K12" s="1370"/>
      <c r="L12" s="2757" t="s">
        <v>2854</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81"/>
      <c r="X12" s="1615" t="s">
        <v>2855</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7"/>
      <c r="B13" s="2758" t="s">
        <v>2856</v>
      </c>
      <c r="C13" s="2759" t="s">
        <v>2857</v>
      </c>
      <c r="D13" s="1807" t="s">
        <v>2858</v>
      </c>
      <c r="E13" s="1807" t="s">
        <v>2859</v>
      </c>
      <c r="F13" s="30" t="s">
        <v>2860</v>
      </c>
      <c r="G13" s="2760" t="s">
        <v>2861</v>
      </c>
      <c r="H13" s="2760" t="s">
        <v>2861</v>
      </c>
      <c r="I13" s="2760" t="s">
        <v>2861</v>
      </c>
      <c r="J13" s="2761" t="s">
        <v>2861</v>
      </c>
      <c r="K13" s="1370"/>
      <c r="L13" s="1370"/>
      <c r="M13" s="1370"/>
      <c r="N13" s="1370"/>
      <c r="O13" s="1370"/>
      <c r="P13" s="1370"/>
      <c r="Q13" s="1370"/>
      <c r="R13" s="1601">
        <v>12</v>
      </c>
      <c r="S13" s="1602"/>
      <c r="T13" s="1601" t="e">
        <f t="shared" si="0"/>
        <v>#DIV/0!</v>
      </c>
      <c r="U13" s="1602"/>
      <c r="V13" s="1601" t="e">
        <f t="shared" si="1"/>
        <v>#DIV/0!</v>
      </c>
      <c r="W13" s="3281"/>
      <c r="X13" s="1615"/>
      <c r="Y13" s="1612">
        <f>(-0.163*(Y12^2)-0.59*Y12+7617)*(10^(-4))/Y11</f>
        <v>0.30468000000000001</v>
      </c>
      <c r="Z13" s="1612">
        <f t="shared" ref="Z13:AJ13" si="5">(-0.163*(Z12^2)-0.59*Z12+7617)*(10^(-4))/Z11</f>
        <v>0.30468000000000001</v>
      </c>
      <c r="AA13" s="1612">
        <f t="shared" si="5"/>
        <v>0.30468000000000001</v>
      </c>
      <c r="AB13" s="1612">
        <f t="shared" si="5"/>
        <v>0.30468000000000001</v>
      </c>
      <c r="AC13" s="1612">
        <f t="shared" si="5"/>
        <v>0.30468000000000001</v>
      </c>
      <c r="AD13" s="1612">
        <f t="shared" si="5"/>
        <v>0.30468000000000001</v>
      </c>
      <c r="AE13" s="1612">
        <f t="shared" si="5"/>
        <v>0.30468000000000001</v>
      </c>
      <c r="AF13" s="1612">
        <f t="shared" si="5"/>
        <v>0.30468000000000001</v>
      </c>
      <c r="AG13" s="1612">
        <f t="shared" si="5"/>
        <v>0.30468000000000001</v>
      </c>
      <c r="AH13" s="1612">
        <f t="shared" si="5"/>
        <v>0.30468000000000001</v>
      </c>
      <c r="AI13" s="1612">
        <f t="shared" si="5"/>
        <v>0.30468000000000001</v>
      </c>
      <c r="AJ13" s="1612">
        <f t="shared" si="5"/>
        <v>0.30468000000000001</v>
      </c>
    </row>
    <row r="14" spans="1:36" ht="15">
      <c r="A14" s="3287"/>
      <c r="B14" s="2762"/>
      <c r="C14" s="2763"/>
      <c r="D14" s="2764"/>
      <c r="E14" s="2764"/>
      <c r="F14" s="2765"/>
      <c r="G14" s="2766" t="s">
        <v>2862</v>
      </c>
      <c r="H14" s="2767"/>
      <c r="I14" s="2768"/>
      <c r="J14" s="2769"/>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88"/>
      <c r="B15" s="2770" t="s">
        <v>2863</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66" t="s">
        <v>2868</v>
      </c>
      <c r="B16" s="2739" t="s">
        <v>2869</v>
      </c>
      <c r="C16" s="2926" t="e">
        <f>ROUND(IF(F17="与级别开发程度一致",0,(G17-E17)/C17),0)</f>
        <v>#DIV/0!</v>
      </c>
      <c r="D16" s="3277" t="s">
        <v>2873</v>
      </c>
      <c r="E16" s="3278"/>
      <c r="F16" s="3277" t="s">
        <v>2870</v>
      </c>
      <c r="G16" s="3278"/>
      <c r="H16" s="2773"/>
      <c r="I16" s="2773"/>
      <c r="J16" s="2930"/>
      <c r="K16" s="2773"/>
      <c r="L16" s="2773"/>
      <c r="M16" s="2773"/>
      <c r="N16" s="2773"/>
      <c r="O16" s="2774"/>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67"/>
      <c r="B17" s="2937" t="s">
        <v>2872</v>
      </c>
      <c r="C17" s="2938">
        <f>SUMPRODUCT((修正!A2:A5=E2)*(修正!B1:M1=G2)*(修正!B2:M5))</f>
        <v>0</v>
      </c>
      <c r="D17" s="229" t="str">
        <f>IF(OR(G2="八级",G2="九级",G2="十级",G2="十一级",G2="十二级"),"五通一平","七通一平")</f>
        <v>七通一平</v>
      </c>
      <c r="E17" s="2927">
        <f>SUMPRODUCT((修正!B1:M1=G2)*(修正!B15:M15))</f>
        <v>0</v>
      </c>
      <c r="F17" s="2928"/>
      <c r="G17" s="2929">
        <f>SUM(H17:O17)</f>
        <v>0</v>
      </c>
      <c r="H17" s="2938">
        <f>SUMPRODUCT((七通一平=H16)*(修正!B1:M1=G2)*(修正!B6:M14))</f>
        <v>0</v>
      </c>
      <c r="I17" s="2938">
        <f>SUMPRODUCT((七通一平=I16)*(修正!B1:M1=G2)*(修正!B6:M14))</f>
        <v>0</v>
      </c>
      <c r="J17" s="2939">
        <f>SUMPRODUCT((七通一平=J16)*(修正!B1:M1=G2)*(修正!B6:M14))</f>
        <v>0</v>
      </c>
      <c r="K17" s="2938">
        <f>SUMPRODUCT((七通一平=K16)*(修正!B1:M1=G2)*(修正!B6:M14))</f>
        <v>0</v>
      </c>
      <c r="L17" s="2938">
        <f>SUMPRODUCT((七通一平=L16)*(修正!B1:M1=G2)*(修正!B6:M14))</f>
        <v>0</v>
      </c>
      <c r="M17" s="2938">
        <f>SUMPRODUCT((七通一平=M16)*(修正!B1:M1=G2)*(修正!B6:M14))</f>
        <v>0</v>
      </c>
      <c r="N17" s="2938">
        <f>SUMPRODUCT((七通一平=N16)*(修正!B1:M1=G2)*(修正!B6:M14))</f>
        <v>0</v>
      </c>
      <c r="O17" s="2940">
        <f>SUMPRODUCT((七通一平=O16)*(修正!B1:M1=G2)*(修正!B6:M14))</f>
        <v>0</v>
      </c>
      <c r="Q17" s="1370"/>
      <c r="R17" s="1370"/>
      <c r="S17" s="1370"/>
      <c r="T17" s="1370"/>
      <c r="U17" s="1370"/>
      <c r="V17" s="1370"/>
      <c r="W17" s="1370"/>
      <c r="X17" s="1370"/>
      <c r="Y17" s="1370"/>
      <c r="Z17" s="1371"/>
      <c r="AE17" s="2777"/>
      <c r="AF17" s="2777"/>
      <c r="AG17" s="2714"/>
      <c r="AH17" s="2714"/>
      <c r="AI17" s="2714"/>
      <c r="AJ17" s="2714"/>
    </row>
    <row r="18" spans="1:37" s="2732" customFormat="1" ht="15.75" thickBot="1">
      <c r="A18" s="2931" t="s">
        <v>808</v>
      </c>
      <c r="B18" s="2932" t="s">
        <v>2875</v>
      </c>
      <c r="C18" s="2933">
        <f>SUMIF(修正!C18:C39,E3,修正!E18:E39)</f>
        <v>0</v>
      </c>
      <c r="D18" s="2934"/>
      <c r="E18" s="2935"/>
      <c r="F18" s="2935"/>
      <c r="G18" s="2935"/>
      <c r="H18" s="2935"/>
      <c r="I18" s="2935"/>
      <c r="J18" s="2936"/>
      <c r="K18" s="1377"/>
      <c r="O18" s="1375"/>
      <c r="P18" s="1375"/>
      <c r="Q18" s="1376"/>
      <c r="R18" s="1376"/>
      <c r="S18" s="1376"/>
      <c r="T18" s="1371"/>
      <c r="U18" s="1371"/>
      <c r="V18" s="1371"/>
      <c r="W18" s="1370"/>
      <c r="X18" s="1370"/>
      <c r="Y18" s="1370"/>
      <c r="Z18" s="1377"/>
      <c r="AA18" s="1378"/>
      <c r="AB18" s="1378"/>
      <c r="AC18" s="1378"/>
      <c r="AD18" s="1378"/>
      <c r="AE18" s="1372"/>
      <c r="AF18" s="1372"/>
      <c r="AG18" s="2782"/>
      <c r="AH18" s="2782"/>
      <c r="AI18" s="2782"/>
    </row>
    <row r="19" spans="1:37" s="2732" customFormat="1" ht="27.75" thickBot="1">
      <c r="A19" s="2778" t="s">
        <v>809</v>
      </c>
      <c r="B19" s="2779" t="s">
        <v>2876</v>
      </c>
      <c r="C19" s="924" t="e">
        <f>ROUND(IF(H19="按公示增长率计算",SUMPRODUCT((地价!A3:A28=YEAR(G19)&amp;"-"&amp;ROUNDUP(MONTH(G19)/3,0))*(地价!X2:AB2=E2)*(地价!X3:AB28)),IF(H19="地价指数",M20/M19,(1+I19)^O19)),4)</f>
        <v>#VALUE!</v>
      </c>
      <c r="D19" s="2783" t="s">
        <v>2877</v>
      </c>
      <c r="E19" s="925">
        <v>41640</v>
      </c>
      <c r="F19" s="2783" t="s">
        <v>2878</v>
      </c>
      <c r="G19" s="926">
        <f>'数据-取费表'!B2</f>
        <v>44018</v>
      </c>
      <c r="H19" s="2784"/>
      <c r="I19" s="927" t="str">
        <f>IF(H19="季度增幅（自定义）",SUMIF(N21:N24,E2,O21:O24),"")</f>
        <v/>
      </c>
      <c r="J19" s="2781"/>
      <c r="K19" s="1377"/>
      <c r="L19" s="2785" t="s">
        <v>2879</v>
      </c>
      <c r="M19" s="1733">
        <f>ROUND(SUMIF(地价!B2:F2,E2,地价!B28:F28),0)</f>
        <v>0</v>
      </c>
      <c r="N19" s="2786" t="s">
        <v>2880</v>
      </c>
      <c r="O19" s="928">
        <f>ROUNDDOWN(DATEDIF(E19,G19,"M")/3,0)</f>
        <v>26</v>
      </c>
      <c r="P19" s="1374"/>
      <c r="Q19" s="1376"/>
      <c r="R19" s="1376"/>
      <c r="S19" s="1376"/>
      <c r="T19" s="1371"/>
      <c r="U19" s="1371"/>
      <c r="V19" s="1371"/>
      <c r="W19" s="1370"/>
      <c r="X19" s="1370"/>
      <c r="Y19" s="1370"/>
      <c r="Z19" s="1377"/>
      <c r="AA19" s="1378"/>
      <c r="AB19" s="1378"/>
      <c r="AC19" s="1378"/>
      <c r="AD19" s="1378"/>
      <c r="AE19" s="1378"/>
      <c r="AF19" s="2787"/>
      <c r="AG19" s="2788"/>
      <c r="AH19" s="2782"/>
      <c r="AI19" s="2789"/>
      <c r="AJ19" s="2789"/>
      <c r="AK19" s="2789"/>
    </row>
    <row r="20" spans="1:37" s="2732" customFormat="1" ht="27.75" thickBot="1">
      <c r="A20" s="2790" t="s">
        <v>810</v>
      </c>
      <c r="B20" s="2791" t="s">
        <v>2881</v>
      </c>
      <c r="C20" s="929" t="e">
        <f>ROUND(POWER(1+G20,J20-I20)*(POWER(1+G20,I20)-1)/(POWER(1+G20,J20)-1),4)</f>
        <v>#DIV/0!</v>
      </c>
      <c r="D20" s="2792" t="s">
        <v>2882</v>
      </c>
      <c r="E20" s="1767">
        <f ca="1">存贷款利率!D4/100</f>
        <v>4.3499999999999997E-2</v>
      </c>
      <c r="F20" s="2792" t="s">
        <v>2874</v>
      </c>
      <c r="G20" s="934">
        <f>SUMIF(M26:P26,E2,M28:P28)</f>
        <v>0</v>
      </c>
      <c r="H20" s="2792" t="s">
        <v>2883</v>
      </c>
      <c r="I20" s="935" t="e">
        <f>SUMIF('数据-取费表'!C6:C15,E2,'数据-取费表'!F6:F15)/COUNTIF('数据-取费表'!C6:C15,E2)</f>
        <v>#DIV/0!</v>
      </c>
      <c r="J20" s="936">
        <f>IF(E2="住宅",70,IF(E2="商业",40,50))</f>
        <v>50</v>
      </c>
      <c r="K20" s="1377"/>
      <c r="L20" s="2793" t="s">
        <v>2884</v>
      </c>
      <c r="M20" s="1734">
        <f>ROUND(SUMPRODUCT((地价!A4:A28=YEAR(G19)&amp;"-"&amp;ROUNDUP(MONTH(G19)/3,0))*(地价!B2:F2=E2)*(地价!B4:F28)),0)</f>
        <v>0</v>
      </c>
      <c r="N20" s="2794" t="s">
        <v>2885</v>
      </c>
      <c r="O20" s="2795" t="s">
        <v>2886</v>
      </c>
      <c r="P20" s="2796" t="s">
        <v>2887</v>
      </c>
      <c r="R20" s="1376"/>
      <c r="S20" s="1376"/>
      <c r="T20" s="1371"/>
      <c r="U20" s="1371"/>
      <c r="V20" s="1371"/>
      <c r="W20" s="1370"/>
      <c r="X20" s="1370"/>
      <c r="Y20" s="1370"/>
      <c r="Z20" s="1377"/>
      <c r="AA20" s="1378"/>
      <c r="AB20" s="1378"/>
      <c r="AC20" s="1378"/>
      <c r="AD20" s="1378"/>
      <c r="AE20" s="1378"/>
      <c r="AF20" s="1378"/>
    </row>
    <row r="21" spans="1:37" s="2732" customFormat="1" ht="15">
      <c r="A21" s="2797" t="s">
        <v>811</v>
      </c>
      <c r="B21" s="2798" t="s">
        <v>2888</v>
      </c>
      <c r="C21" s="937">
        <f>IF(B21="容积率修正",IF(G3&lt;=10,D22,J22),C23)</f>
        <v>0</v>
      </c>
      <c r="D21" s="2799"/>
      <c r="E21" s="2799"/>
      <c r="F21" s="2799"/>
      <c r="G21" s="2799"/>
      <c r="H21" s="2799"/>
      <c r="I21" s="2799"/>
      <c r="J21" s="2800"/>
      <c r="K21" s="1377"/>
      <c r="N21" s="2801" t="s">
        <v>2889</v>
      </c>
      <c r="O21" s="1561"/>
      <c r="P21" s="1562">
        <f>SUMPRODUCT((地价!A3:A28=YEAR(G19)&amp;"-"&amp;ROUNDUP(MONTH(G19)/3,0))*(地价!AD2:AH2=N21)*(地价!AD3:AH28))</f>
        <v>0</v>
      </c>
      <c r="R21" s="1376"/>
      <c r="S21" s="1376"/>
      <c r="T21" s="1371"/>
      <c r="U21" s="1371"/>
      <c r="V21" s="1371"/>
      <c r="W21" s="1370"/>
      <c r="X21" s="1370"/>
      <c r="Y21" s="1370"/>
      <c r="Z21" s="1377"/>
      <c r="AA21" s="1378"/>
      <c r="AB21" s="1378"/>
      <c r="AC21" s="1378"/>
      <c r="AD21" s="1378"/>
      <c r="AE21" s="1378"/>
      <c r="AF21" s="1378"/>
    </row>
    <row r="22" spans="1:37" s="2732" customFormat="1" ht="14.25">
      <c r="A22" s="2658" t="s">
        <v>2890</v>
      </c>
      <c r="B22" s="2802" t="s">
        <v>2891</v>
      </c>
      <c r="C22" s="1809" t="s">
        <v>2892</v>
      </c>
      <c r="D22" s="1809" t="b">
        <f>IF(E22=G22,F22,IF(G3&lt;=10,ROUND(F22+(H22-F22)*(G3-E22)/(G22-E22),4),"——"))</f>
        <v>0</v>
      </c>
      <c r="E22" s="916">
        <f>ROUNDDOWN(G3,1)</f>
        <v>2.5</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1" t="s">
        <v>2893</v>
      </c>
      <c r="O22" s="1561"/>
      <c r="P22" s="1562">
        <f>SUMPRODUCT((地价!A3:A28=YEAR(G19)&amp;"-"&amp;ROUNDUP(MONTH(G19)/3,0))*(地价!AD2:AH2=N22)*(地价!AD3:AH28))</f>
        <v>0</v>
      </c>
      <c r="R22" s="1376"/>
      <c r="S22" s="1376"/>
      <c r="T22" s="1371"/>
      <c r="U22" s="1371"/>
      <c r="V22" s="1371"/>
      <c r="W22" s="1370"/>
      <c r="X22" s="1370"/>
      <c r="Y22" s="1370"/>
      <c r="Z22" s="1377"/>
      <c r="AA22" s="1378"/>
      <c r="AB22" s="1378"/>
      <c r="AC22" s="1378"/>
      <c r="AD22" s="1378"/>
      <c r="AE22" s="1378"/>
      <c r="AF22" s="1378"/>
    </row>
    <row r="23" spans="1:37" ht="27.75" thickBot="1">
      <c r="A23" s="2658" t="s">
        <v>2894</v>
      </c>
      <c r="B23" s="2803" t="s">
        <v>2895</v>
      </c>
      <c r="C23" s="1013">
        <f>ROUND(IF(G3&gt;1,IF(I3&lt;7,SUMPRODUCT((B93:B98=I3)*(C92:N92=G2)*(C93:N98)),SUMIF(C92:N92,G2,C100:N100)),IF(I3&lt;7,SUMPRODUCT((B102:B107=I3)*(C92:N92=G2)*(C102:N107)),SUMIF(C92:N92,G2,C109:N109))),4)</f>
        <v>0</v>
      </c>
      <c r="D23" s="2767"/>
      <c r="E23" s="2767"/>
      <c r="F23" s="2804"/>
      <c r="G23" s="2805"/>
      <c r="H23" s="2806"/>
      <c r="I23" s="2807"/>
      <c r="J23" s="2808"/>
      <c r="K23" s="1370"/>
      <c r="N23" s="2801" t="s">
        <v>2896</v>
      </c>
      <c r="O23" s="1561"/>
      <c r="P23" s="1562">
        <f>SUMPRODUCT((地价!A3:A28=YEAR(G19)&amp;"-"&amp;ROUNDUP(MONTH(G19)/3,0))*(地价!AD2:AH2=N23)*(地价!AD3:AH28))</f>
        <v>0</v>
      </c>
      <c r="R23" s="1376"/>
      <c r="S23" s="1376"/>
      <c r="T23" s="1371"/>
      <c r="U23" s="1371"/>
      <c r="V23" s="1371"/>
      <c r="W23" s="1370"/>
      <c r="X23" s="1370"/>
      <c r="Y23" s="1370"/>
      <c r="Z23" s="1377"/>
      <c r="AA23" s="1378"/>
      <c r="AB23" s="1378"/>
      <c r="AC23" s="1378"/>
      <c r="AD23" s="1378"/>
      <c r="AK23" s="2782"/>
    </row>
    <row r="24" spans="1:37" s="2732" customFormat="1" ht="15.75" thickBot="1">
      <c r="A24" s="2790" t="s">
        <v>812</v>
      </c>
      <c r="B24" s="2779" t="s">
        <v>2897</v>
      </c>
      <c r="C24" s="924">
        <f>SUMIF(A45:A88,E2,B45:B88)</f>
        <v>0</v>
      </c>
      <c r="D24" s="2780"/>
      <c r="E24" s="2809"/>
      <c r="F24" s="2809"/>
      <c r="G24" s="2809"/>
      <c r="H24" s="2809"/>
      <c r="I24" s="2809"/>
      <c r="J24" s="2810"/>
      <c r="K24" s="1377"/>
      <c r="N24" s="2811" t="s">
        <v>2898</v>
      </c>
      <c r="O24" s="1563"/>
      <c r="P24" s="1564">
        <f>SUMPRODUCT((地价!A3:A28=YEAR(G19)&amp;"-"&amp;ROUNDUP(MONTH(G19)/3,0))*(地价!AD2:AH2=N24)*(地价!AD3:AH28))</f>
        <v>0</v>
      </c>
      <c r="R24" s="1376"/>
      <c r="S24" s="1376"/>
      <c r="T24" s="1371"/>
      <c r="U24" s="1371"/>
      <c r="V24" s="1371"/>
      <c r="W24" s="1370"/>
      <c r="X24" s="1370"/>
      <c r="Y24" s="1370"/>
      <c r="Z24" s="1377"/>
      <c r="AA24" s="1378"/>
      <c r="AB24" s="1378"/>
      <c r="AC24" s="1378"/>
      <c r="AD24" s="1378"/>
      <c r="AE24" s="1378"/>
      <c r="AF24" s="1378"/>
    </row>
    <row r="25" spans="1:37" ht="15.75" thickBot="1">
      <c r="A25" s="2790" t="s">
        <v>813</v>
      </c>
      <c r="B25" s="2812" t="s">
        <v>2899</v>
      </c>
      <c r="C25" s="930"/>
      <c r="D25" s="2742"/>
      <c r="E25" s="2742"/>
      <c r="F25" s="2813"/>
      <c r="G25" s="2742"/>
      <c r="H25" s="2742"/>
      <c r="I25" s="2742"/>
      <c r="J25" s="2743"/>
      <c r="K25" s="1370"/>
      <c r="N25" s="2814" t="s">
        <v>2900</v>
      </c>
      <c r="O25" s="1565"/>
      <c r="P25" s="1564">
        <f>SUMPRODUCT((地价!A3:A28=YEAR(G19)&amp;"-"&amp;ROUNDUP(MONTH(G19)/3,0))*(地价!AD2:AH2=N25)*(地价!AD3:AH28))</f>
        <v>0</v>
      </c>
      <c r="R25" s="1376"/>
      <c r="S25" s="1376"/>
      <c r="T25" s="1371"/>
      <c r="U25" s="1371"/>
      <c r="V25" s="1371"/>
      <c r="W25" s="1370"/>
      <c r="X25" s="1370"/>
      <c r="Y25" s="1370"/>
      <c r="Z25" s="1377"/>
      <c r="AA25" s="1378"/>
      <c r="AB25" s="1378"/>
      <c r="AC25" s="1378"/>
      <c r="AD25" s="1378"/>
    </row>
    <row r="26" spans="1:37" ht="15">
      <c r="A26" s="2815"/>
      <c r="B26" s="2802" t="s">
        <v>2901</v>
      </c>
      <c r="C26" s="206" t="e">
        <f>E29+SUM(E33:E39)</f>
        <v>#DIV/0!</v>
      </c>
      <c r="D26" s="2816"/>
      <c r="E26" s="2767"/>
      <c r="F26" s="2817"/>
      <c r="G26" s="2767"/>
      <c r="H26" s="2767"/>
      <c r="I26" s="2767"/>
      <c r="J26" s="2818"/>
      <c r="K26" s="1370"/>
      <c r="L26" s="2771" t="s">
        <v>2799</v>
      </c>
      <c r="M26" s="920" t="s">
        <v>2864</v>
      </c>
      <c r="N26" s="920" t="s">
        <v>2865</v>
      </c>
      <c r="O26" s="920" t="s">
        <v>2866</v>
      </c>
      <c r="P26" s="2772" t="s">
        <v>2867</v>
      </c>
      <c r="R26" s="1376"/>
      <c r="S26" s="1376"/>
      <c r="T26" s="1371"/>
      <c r="U26" s="1371"/>
      <c r="V26" s="1371"/>
      <c r="W26" s="1370"/>
      <c r="X26" s="1370"/>
      <c r="Y26" s="1370"/>
      <c r="Z26" s="1377"/>
      <c r="AA26" s="1378"/>
      <c r="AB26" s="1378"/>
      <c r="AC26" s="1378"/>
      <c r="AD26" s="1378"/>
    </row>
    <row r="27" spans="1:37" ht="15.75" thickBot="1">
      <c r="A27" s="2815"/>
      <c r="B27" s="2819" t="s">
        <v>2902</v>
      </c>
      <c r="C27" s="931" t="e">
        <f>E30+SUM(I33:I39)</f>
        <v>#DIV/0!</v>
      </c>
      <c r="D27" s="2820"/>
      <c r="E27" s="2821"/>
      <c r="F27" s="2822"/>
      <c r="G27" s="2821"/>
      <c r="H27" s="2821"/>
      <c r="I27" s="2821"/>
      <c r="J27" s="2823"/>
      <c r="K27" s="1370"/>
      <c r="L27" s="2775" t="s">
        <v>2871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4"/>
      <c r="B28" s="2825" t="s">
        <v>2903</v>
      </c>
      <c r="C28" s="2826" t="s">
        <v>2904</v>
      </c>
      <c r="D28" s="2826" t="s">
        <v>2905</v>
      </c>
      <c r="E28" s="2827" t="s">
        <v>2906</v>
      </c>
      <c r="F28" s="2828"/>
      <c r="G28" s="2755"/>
      <c r="H28" s="2755"/>
      <c r="I28" s="2755"/>
      <c r="J28" s="2756"/>
      <c r="K28" s="1370"/>
      <c r="L28" s="2776" t="s">
        <v>2874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9"/>
      <c r="B29" s="2830" t="s">
        <v>2907</v>
      </c>
      <c r="C29" s="206" t="e">
        <f>ROUND(C5*C18*C19*C20*C21*C24,0)</f>
        <v>#DIV/0!</v>
      </c>
      <c r="D29" s="2831"/>
      <c r="E29" s="942" t="e">
        <f>ROUND(C29*D29/10000,0)</f>
        <v>#DIV/0!</v>
      </c>
      <c r="F29" s="2832" t="s">
        <v>2908</v>
      </c>
      <c r="G29" s="2833"/>
      <c r="H29" s="2833"/>
      <c r="I29" s="2833"/>
      <c r="J29" s="2834"/>
      <c r="K29" s="1370"/>
      <c r="L29" s="1370"/>
      <c r="M29" s="1370"/>
      <c r="N29" s="1370"/>
      <c r="O29" s="1375"/>
      <c r="P29" s="1375"/>
      <c r="Q29" s="1376"/>
      <c r="R29" s="1376"/>
      <c r="S29" s="1376"/>
      <c r="T29" s="1371"/>
      <c r="U29" s="1371"/>
      <c r="V29" s="1371"/>
      <c r="W29" s="1370"/>
      <c r="X29" s="1370"/>
      <c r="Y29" s="1370"/>
      <c r="Z29" s="1377"/>
      <c r="AA29" s="1378"/>
      <c r="AB29" s="1378"/>
      <c r="AC29" s="1378"/>
      <c r="AD29" s="1378"/>
      <c r="AE29" s="2777"/>
      <c r="AF29" s="2777"/>
      <c r="AG29" s="2714"/>
      <c r="AH29" s="2714"/>
      <c r="AI29" s="2714"/>
      <c r="AJ29" s="2714"/>
    </row>
    <row r="30" spans="1:37" ht="25.5" thickBot="1">
      <c r="A30" s="2835"/>
      <c r="B30" s="2836" t="s">
        <v>2909</v>
      </c>
      <c r="C30" s="229" t="e">
        <f>ROUND(IF(E2="工业",C29*M39,C29*M38),0)</f>
        <v>#DIV/0!</v>
      </c>
      <c r="D30" s="2837"/>
      <c r="E30" s="942" t="e">
        <f>ROUND(C30*D30/10000,0)</f>
        <v>#DIV/0!</v>
      </c>
      <c r="F30" s="2838" t="s">
        <v>2910</v>
      </c>
      <c r="G30" s="2839"/>
      <c r="H30" s="2839"/>
      <c r="I30" s="2839"/>
      <c r="J30" s="2840"/>
      <c r="K30" s="1370"/>
      <c r="L30" s="1370"/>
      <c r="M30" s="1370"/>
      <c r="N30" s="1370"/>
      <c r="O30" s="1375"/>
      <c r="P30" s="1375"/>
      <c r="Q30" s="1376"/>
      <c r="R30" s="1376"/>
      <c r="S30" s="1376"/>
      <c r="T30" s="1371"/>
      <c r="U30" s="1371"/>
      <c r="V30" s="1371"/>
      <c r="W30" s="1370"/>
      <c r="X30" s="1370"/>
      <c r="Y30" s="1370"/>
      <c r="Z30" s="1377"/>
      <c r="AA30" s="1378"/>
      <c r="AB30" s="1378"/>
      <c r="AC30" s="1378"/>
      <c r="AD30" s="1378"/>
      <c r="AE30" s="2777"/>
      <c r="AF30" s="2777"/>
      <c r="AG30" s="2714"/>
      <c r="AH30" s="2714"/>
      <c r="AI30" s="2714"/>
      <c r="AJ30" s="2714"/>
    </row>
    <row r="31" spans="1:37" ht="14.25">
      <c r="A31" s="2841"/>
      <c r="B31" s="2842" t="s">
        <v>2911</v>
      </c>
      <c r="C31" s="2843" t="s">
        <v>2912</v>
      </c>
      <c r="D31" s="2755"/>
      <c r="E31" s="2843"/>
      <c r="F31" s="2843"/>
      <c r="G31" s="2753" t="s">
        <v>2913</v>
      </c>
      <c r="H31" s="2755"/>
      <c r="I31" s="2844"/>
      <c r="J31" s="2756"/>
      <c r="K31" s="1370"/>
      <c r="L31" s="1370"/>
      <c r="M31" s="1370"/>
      <c r="N31" s="1370"/>
      <c r="O31" s="1375"/>
      <c r="P31" s="1375"/>
      <c r="Q31" s="1376"/>
      <c r="R31" s="1376"/>
      <c r="S31" s="1376"/>
      <c r="T31" s="1371"/>
      <c r="U31" s="1371"/>
      <c r="V31" s="1371"/>
      <c r="W31" s="1370"/>
      <c r="X31" s="1370"/>
      <c r="Y31" s="1370"/>
      <c r="Z31" s="1377"/>
      <c r="AA31" s="1378"/>
      <c r="AB31" s="1378"/>
      <c r="AC31" s="1378"/>
      <c r="AD31" s="1378"/>
      <c r="AE31" s="2777"/>
      <c r="AF31" s="2777"/>
      <c r="AG31" s="2714"/>
      <c r="AH31" s="2714"/>
      <c r="AI31" s="2714"/>
      <c r="AJ31" s="2714"/>
    </row>
    <row r="32" spans="1:37" ht="24">
      <c r="A32" s="2829"/>
      <c r="B32" s="2845"/>
      <c r="C32" s="501" t="s">
        <v>2904</v>
      </c>
      <c r="D32" s="498" t="s">
        <v>2905</v>
      </c>
      <c r="E32" s="498" t="s">
        <v>2906</v>
      </c>
      <c r="F32" s="388" t="s">
        <v>2914</v>
      </c>
      <c r="G32" s="2846" t="s">
        <v>2904</v>
      </c>
      <c r="H32" s="2846" t="s">
        <v>2905</v>
      </c>
      <c r="I32" s="2846" t="s">
        <v>2906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7"/>
      <c r="AF32" s="2777"/>
      <c r="AG32" s="2714"/>
      <c r="AH32" s="2714"/>
      <c r="AI32" s="2714"/>
      <c r="AJ32" s="2714"/>
    </row>
    <row r="33" spans="1:37" ht="36" customHeight="1">
      <c r="A33" s="3274" t="s">
        <v>2915</v>
      </c>
      <c r="B33" s="2847" t="s">
        <v>2916</v>
      </c>
      <c r="C33" s="206" t="e">
        <f>ROUND(D5*C19*C20*C24*F33,0)</f>
        <v>#DIV/0!</v>
      </c>
      <c r="D33" s="2831"/>
      <c r="E33" s="200" t="e">
        <f>ROUND(C33*D33/10000,0)</f>
        <v>#DIV/0!</v>
      </c>
      <c r="F33" s="200">
        <f>SUMIF(修正!A45:A56,G2,修正!B45:B56)</f>
        <v>0</v>
      </c>
      <c r="G33" s="200" t="e">
        <f t="shared" ref="G33" si="6">ROUND(IF(E2="工业",C33*$M$39,C33*$M$38),0)</f>
        <v>#DIV/0!</v>
      </c>
      <c r="H33" s="200">
        <f>D33</f>
        <v>0</v>
      </c>
      <c r="I33" s="200" t="e">
        <f>ROUND(G33*H33/10000,0)</f>
        <v>#DIV/0!</v>
      </c>
      <c r="J33" s="284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5"/>
      <c r="B34" s="2759" t="s">
        <v>2917</v>
      </c>
      <c r="C34" s="206" t="e">
        <f>ROUND(D5*C19*C20*C24*F34,0)</f>
        <v>#DIV/0!</v>
      </c>
      <c r="D34" s="283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5"/>
      <c r="B35" s="2759" t="s">
        <v>2918</v>
      </c>
      <c r="C35" s="206" t="e">
        <f>ROUND(D5*C19*C20*C24*F35,0)</f>
        <v>#DIV/0!</v>
      </c>
      <c r="D35" s="2831"/>
      <c r="E35" s="200" t="e">
        <f t="shared" si="7"/>
        <v>#DIV/0!</v>
      </c>
      <c r="F35" s="200">
        <f>SUMIF(修正!A45:A56,G2,修正!D45:D56)</f>
        <v>0</v>
      </c>
      <c r="G35" s="200" t="e">
        <f>ROUND(IF(E2="工业",C35*$M$39,C35*$M$38),0)</f>
        <v>#DIV/0!</v>
      </c>
      <c r="H35" s="200">
        <f t="shared" si="8"/>
        <v>0</v>
      </c>
      <c r="I35" s="200" t="e">
        <f t="shared" si="9"/>
        <v>#DIV/0!</v>
      </c>
      <c r="J35" s="2848"/>
      <c r="K35" s="1370"/>
      <c r="L35" s="1370"/>
      <c r="M35" s="1370"/>
      <c r="N35" s="1370"/>
      <c r="O35" s="1370"/>
      <c r="P35" s="1370"/>
      <c r="Q35" s="1370"/>
      <c r="R35" s="1370"/>
      <c r="S35" s="1370"/>
      <c r="T35" s="1370"/>
      <c r="U35" s="1370"/>
      <c r="V35" s="1370"/>
      <c r="W35" s="1370"/>
      <c r="X35" s="1370"/>
      <c r="Y35" s="1370"/>
      <c r="Z35" s="1371"/>
    </row>
    <row r="36" spans="1:37" ht="13.5" thickBot="1">
      <c r="A36" s="3276"/>
      <c r="B36" s="2759" t="s">
        <v>2919</v>
      </c>
      <c r="C36" s="206" t="e">
        <f>ROUND(D5*C19*C20*C24*F36,0)</f>
        <v>#DIV/0!</v>
      </c>
      <c r="D36" s="2831"/>
      <c r="E36" s="200" t="e">
        <f t="shared" si="7"/>
        <v>#DIV/0!</v>
      </c>
      <c r="F36" s="200">
        <f>SUMIF(修正!A45:A56,G2,修正!E45:E56)</f>
        <v>0</v>
      </c>
      <c r="G36" s="200" t="e">
        <f>ROUND(IF(E2="工业",C36*$M$39,C36*$M$38),0)</f>
        <v>#DIV/0!</v>
      </c>
      <c r="H36" s="200">
        <f t="shared" si="8"/>
        <v>0</v>
      </c>
      <c r="I36" s="200" t="e">
        <f t="shared" si="9"/>
        <v>#DIV/0!</v>
      </c>
      <c r="J36" s="2848"/>
      <c r="K36" s="1370"/>
      <c r="L36" s="2713"/>
      <c r="M36" s="2713"/>
      <c r="N36" s="1370"/>
      <c r="O36" s="1370"/>
      <c r="P36" s="1370"/>
      <c r="Q36" s="1370"/>
      <c r="R36" s="1370"/>
      <c r="S36" s="1370"/>
      <c r="T36" s="1370"/>
      <c r="U36" s="1370"/>
      <c r="V36" s="1370"/>
      <c r="W36" s="1370"/>
      <c r="X36" s="1370"/>
      <c r="Y36" s="1370"/>
      <c r="Z36" s="1371"/>
    </row>
    <row r="37" spans="1:37">
      <c r="A37" s="2849"/>
      <c r="B37" s="2759" t="s">
        <v>2920</v>
      </c>
      <c r="C37" s="200" t="e">
        <f>ROUND(D5*C19*C20*C24*F37,0)</f>
        <v>#DIV/0!</v>
      </c>
      <c r="D37" s="2831"/>
      <c r="E37" s="200" t="e">
        <f t="shared" si="7"/>
        <v>#DIV/0!</v>
      </c>
      <c r="F37" s="206">
        <f>SUMIF(修正!A45:A56,G2,修正!F45:F56)</f>
        <v>0</v>
      </c>
      <c r="G37" s="200" t="e">
        <f>ROUND(IF(E2="工业",C37*$M$39,C37*$M$38),0)</f>
        <v>#DIV/0!</v>
      </c>
      <c r="H37" s="200">
        <f t="shared" si="8"/>
        <v>0</v>
      </c>
      <c r="I37" s="200" t="e">
        <f t="shared" si="9"/>
        <v>#DIV/0!</v>
      </c>
      <c r="J37" s="2848"/>
      <c r="K37" s="1370"/>
      <c r="L37" s="2850" t="s">
        <v>2921</v>
      </c>
      <c r="M37" s="2851"/>
      <c r="N37" s="1370"/>
      <c r="O37" s="1370"/>
      <c r="P37" s="1370"/>
      <c r="Q37" s="1370"/>
      <c r="R37" s="1370"/>
      <c r="S37" s="1370"/>
      <c r="T37" s="1370"/>
      <c r="U37" s="1370"/>
      <c r="V37" s="1370"/>
      <c r="W37" s="1370"/>
      <c r="X37" s="1370"/>
      <c r="Y37" s="1370"/>
      <c r="Z37" s="1371"/>
    </row>
    <row r="38" spans="1:37">
      <c r="A38" s="2849"/>
      <c r="B38" s="2759" t="s">
        <v>2922</v>
      </c>
      <c r="C38" s="200" t="e">
        <f>ROUND(D5*C19*C41*C24*F38,0)</f>
        <v>#DIV/0!</v>
      </c>
      <c r="D38" s="2831"/>
      <c r="E38" s="200" t="e">
        <f t="shared" si="7"/>
        <v>#DIV/0!</v>
      </c>
      <c r="F38" s="206">
        <f>SUMIF(修正!A45:A56,G2,修正!G45:G56)</f>
        <v>0</v>
      </c>
      <c r="G38" s="200" t="e">
        <f>ROUND(IF(E2="工业",C38*$M$39,C38*$M$38),0)</f>
        <v>#DIV/0!</v>
      </c>
      <c r="H38" s="200">
        <f t="shared" si="8"/>
        <v>0</v>
      </c>
      <c r="I38" s="200" t="e">
        <f t="shared" si="9"/>
        <v>#DIV/0!</v>
      </c>
      <c r="J38" s="2848"/>
      <c r="K38" s="1370"/>
      <c r="L38" s="1886" t="s">
        <v>2923</v>
      </c>
      <c r="M38" s="2852">
        <v>0.25</v>
      </c>
      <c r="N38" s="1370"/>
      <c r="O38" s="1370"/>
      <c r="P38" s="1370"/>
      <c r="Q38" s="1370"/>
      <c r="R38" s="1370"/>
      <c r="S38" s="1370"/>
      <c r="T38" s="1370"/>
      <c r="U38" s="1370"/>
      <c r="V38" s="1370"/>
      <c r="W38" s="1370"/>
      <c r="X38" s="1370"/>
      <c r="Y38" s="1370"/>
      <c r="Z38" s="1371"/>
    </row>
    <row r="39" spans="1:37" ht="13.5" thickBot="1">
      <c r="A39" s="2835"/>
      <c r="B39" s="2853" t="s">
        <v>2924</v>
      </c>
      <c r="C39" s="229" t="e">
        <f>ROUND(D5*C19*C41*C24*F39,0)</f>
        <v>#DIV/0!</v>
      </c>
      <c r="D39" s="2837"/>
      <c r="E39" s="229" t="e">
        <f t="shared" si="7"/>
        <v>#DIV/0!</v>
      </c>
      <c r="F39" s="932">
        <f>SUMIF(修正!A45:A56,G2,修正!H45:H56)</f>
        <v>0</v>
      </c>
      <c r="G39" s="229" t="e">
        <f>ROUND(IF(E2="工业",C39*$M$39,C39*$M$38),0)</f>
        <v>#DIV/0!</v>
      </c>
      <c r="H39" s="229">
        <f t="shared" si="8"/>
        <v>0</v>
      </c>
      <c r="I39" s="229" t="e">
        <f t="shared" si="9"/>
        <v>#DIV/0!</v>
      </c>
      <c r="J39" s="2854"/>
      <c r="K39" s="1370"/>
      <c r="L39" s="2855" t="s">
        <v>2867</v>
      </c>
      <c r="M39" s="285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4" t="s">
        <v>3035</v>
      </c>
      <c r="C41" s="388" t="e">
        <f>ROUND(POWER(1+E41,H41-G41)*(POWER(1+E41,G41)-1)/(POWER(1+E41,H41)-1),4)</f>
        <v>#DIV/0!</v>
      </c>
      <c r="D41" s="200" t="s">
        <v>2874</v>
      </c>
      <c r="E41" s="2923">
        <f>G20</f>
        <v>0</v>
      </c>
      <c r="F41" s="200" t="s">
        <v>2883</v>
      </c>
      <c r="G41" s="218"/>
      <c r="H41" s="200">
        <v>50</v>
      </c>
      <c r="Z41" s="1371"/>
      <c r="AA41" s="1371"/>
      <c r="AB41" s="1371"/>
      <c r="AC41" s="1371"/>
      <c r="AD41" s="1371"/>
      <c r="AE41" s="1371"/>
      <c r="AF41" s="1371"/>
      <c r="AG41" s="1371"/>
      <c r="AH41" s="1371"/>
      <c r="AI41" s="1371"/>
      <c r="AJ41" s="1371"/>
    </row>
    <row r="42" spans="1:37" s="1370" customFormat="1">
      <c r="A42" s="1371"/>
      <c r="B42" s="2857"/>
      <c r="Z42" s="1371"/>
      <c r="AA42" s="1371"/>
      <c r="AB42" s="1371"/>
      <c r="AC42" s="1371"/>
      <c r="AD42" s="1371"/>
      <c r="AE42" s="1371"/>
      <c r="AF42" s="1371"/>
      <c r="AG42" s="1371"/>
      <c r="AH42" s="1371"/>
      <c r="AI42" s="1371"/>
      <c r="AJ42" s="1371"/>
    </row>
    <row r="43" spans="1:37" s="1370" customFormat="1">
      <c r="A43" s="1371"/>
      <c r="B43" s="2857"/>
      <c r="Z43" s="1371"/>
      <c r="AA43" s="1371"/>
      <c r="AB43" s="1371"/>
      <c r="AC43" s="1371"/>
      <c r="AD43" s="1371"/>
      <c r="AE43" s="1371"/>
      <c r="AF43" s="1371"/>
      <c r="AG43" s="1371"/>
      <c r="AH43" s="1371"/>
      <c r="AI43" s="1371"/>
      <c r="AJ43" s="1371"/>
    </row>
    <row r="44" spans="1:37" s="1370" customFormat="1">
      <c r="A44" s="1371"/>
      <c r="B44" s="2857"/>
      <c r="Z44" s="1371"/>
      <c r="AA44" s="1371"/>
      <c r="AB44" s="1371"/>
      <c r="AC44" s="1371"/>
      <c r="AD44" s="1371"/>
      <c r="AE44" s="1371"/>
      <c r="AF44" s="1371"/>
      <c r="AG44" s="1371"/>
      <c r="AH44" s="1371"/>
      <c r="AI44" s="1371"/>
      <c r="AJ44" s="1371"/>
    </row>
    <row r="45" spans="1:37" s="1370" customFormat="1" ht="15.75" thickBot="1">
      <c r="A45" s="2858" t="s">
        <v>2925</v>
      </c>
      <c r="B45" s="2859"/>
      <c r="C45" s="7"/>
      <c r="D45" s="7"/>
      <c r="E45" s="7"/>
      <c r="F45" s="6"/>
      <c r="G45" s="6"/>
      <c r="H45" s="6"/>
      <c r="I45" s="7"/>
      <c r="J45" s="7"/>
      <c r="K45" s="7"/>
      <c r="L45" s="7"/>
      <c r="M45" s="7"/>
      <c r="N45" s="2777"/>
      <c r="Z45" s="1371"/>
      <c r="AA45" s="1371"/>
      <c r="AB45" s="1371"/>
      <c r="AC45" s="1371"/>
      <c r="AD45" s="1371"/>
      <c r="AE45" s="1371"/>
      <c r="AF45" s="1371"/>
      <c r="AG45" s="1371"/>
      <c r="AH45" s="1371"/>
      <c r="AI45" s="1371"/>
      <c r="AJ45" s="1371"/>
    </row>
    <row r="46" spans="1:37" s="1370" customFormat="1" ht="15">
      <c r="A46" s="2860" t="s">
        <v>2926</v>
      </c>
      <c r="B46" s="2861">
        <f>1+E48</f>
        <v>1</v>
      </c>
      <c r="C46" s="2862"/>
      <c r="D46" s="814"/>
      <c r="E46" s="815"/>
      <c r="F46" s="2863"/>
      <c r="G46" s="6"/>
      <c r="H46" s="7"/>
      <c r="I46" s="7"/>
      <c r="J46" s="7"/>
      <c r="K46" s="7"/>
      <c r="L46" s="7"/>
      <c r="M46" s="7"/>
      <c r="N46" s="2777"/>
      <c r="Z46" s="1371"/>
      <c r="AA46" s="1371"/>
      <c r="AB46" s="1371"/>
      <c r="AC46" s="1371"/>
      <c r="AD46" s="1371"/>
      <c r="AE46" s="1371"/>
      <c r="AF46" s="1371"/>
      <c r="AG46" s="1371"/>
      <c r="AH46" s="1371"/>
      <c r="AI46" s="1371"/>
      <c r="AJ46" s="1371"/>
    </row>
    <row r="47" spans="1:37" s="1370" customFormat="1" ht="24.75">
      <c r="A47" s="2864" t="s">
        <v>2927</v>
      </c>
      <c r="B47" s="1808" t="s">
        <v>2928</v>
      </c>
      <c r="C47" s="1808" t="s">
        <v>2929</v>
      </c>
      <c r="D47" s="1808" t="s">
        <v>2930</v>
      </c>
      <c r="E47" s="819" t="s">
        <v>2931</v>
      </c>
      <c r="F47" s="2865" t="s">
        <v>2932</v>
      </c>
      <c r="G47" s="1808" t="s">
        <v>754</v>
      </c>
      <c r="H47" s="2866" t="s">
        <v>2933</v>
      </c>
      <c r="I47" s="1808" t="s">
        <v>2934</v>
      </c>
      <c r="J47" s="603" t="s">
        <v>2582</v>
      </c>
      <c r="K47" s="603" t="s">
        <v>2583</v>
      </c>
      <c r="L47" s="603" t="s">
        <v>2584</v>
      </c>
      <c r="M47" s="603" t="s">
        <v>2585</v>
      </c>
      <c r="N47" s="603" t="s">
        <v>2586</v>
      </c>
      <c r="AA47" s="1371"/>
      <c r="AB47" s="1371"/>
      <c r="AC47" s="1371"/>
      <c r="AD47" s="1371"/>
      <c r="AE47" s="1371"/>
      <c r="AF47" s="1371"/>
      <c r="AG47" s="1371"/>
      <c r="AH47" s="1371"/>
      <c r="AI47" s="1371"/>
      <c r="AJ47" s="1371"/>
      <c r="AK47" s="1371"/>
    </row>
    <row r="48" spans="1:37" s="1370" customFormat="1" ht="24.75">
      <c r="A48" s="2864" t="s">
        <v>2935</v>
      </c>
      <c r="B48" s="2867" t="str">
        <f>估价对象房地状况!C4</f>
        <v>较好</v>
      </c>
      <c r="C48" s="2764"/>
      <c r="D48" s="1286">
        <f t="shared" ref="D48:D56" si="10">SUMIF($J$47:$N$47,C48,J48:N48)</f>
        <v>0</v>
      </c>
      <c r="E48" s="821">
        <f>ROUND(SUM(D48:D56),4)</f>
        <v>0</v>
      </c>
      <c r="F48" s="2497"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4" t="s">
        <v>2936</v>
      </c>
      <c r="B49" s="2868" t="str">
        <f>估价对象房地状况!C18</f>
        <v>一般</v>
      </c>
      <c r="C49" s="2764"/>
      <c r="D49" s="1286">
        <f t="shared" si="10"/>
        <v>0</v>
      </c>
      <c r="E49" s="822"/>
      <c r="F49" s="2497"/>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4" t="s">
        <v>2937</v>
      </c>
      <c r="B50" s="2868" t="str">
        <f>估价对象房地状况!C19</f>
        <v>较好</v>
      </c>
      <c r="C50" s="2764"/>
      <c r="D50" s="1286">
        <f t="shared" si="10"/>
        <v>0</v>
      </c>
      <c r="E50" s="822"/>
      <c r="F50" s="2497"/>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4" t="s">
        <v>2938</v>
      </c>
      <c r="B51" s="2869" t="s">
        <v>2939</v>
      </c>
      <c r="C51" s="2764"/>
      <c r="D51" s="1286">
        <f t="shared" si="10"/>
        <v>0</v>
      </c>
      <c r="E51" s="822"/>
      <c r="F51" s="2497"/>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4" t="s">
        <v>2940</v>
      </c>
      <c r="B52" s="2868">
        <f>估价对象房地状况!C24</f>
        <v>0</v>
      </c>
      <c r="C52" s="2764"/>
      <c r="D52" s="1286">
        <f t="shared" si="10"/>
        <v>0</v>
      </c>
      <c r="E52" s="822"/>
      <c r="F52" s="2497"/>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4" t="s">
        <v>2941</v>
      </c>
      <c r="B53" s="2870" t="s">
        <v>2942</v>
      </c>
      <c r="C53" s="2764"/>
      <c r="D53" s="1286">
        <f t="shared" si="10"/>
        <v>0</v>
      </c>
      <c r="E53" s="822"/>
      <c r="F53" s="2497"/>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1" t="s">
        <v>2943</v>
      </c>
      <c r="B54" s="1724" t="str">
        <f>估价对象房地状况!C21</f>
        <v>较好</v>
      </c>
      <c r="C54" s="2764"/>
      <c r="D54" s="1286">
        <f t="shared" si="10"/>
        <v>0</v>
      </c>
      <c r="E54" s="822"/>
      <c r="F54" s="2497"/>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1" t="s">
        <v>2944</v>
      </c>
      <c r="B55" s="2868" t="str">
        <f>估价对象房地状况!C22</f>
        <v>六通</v>
      </c>
      <c r="C55" s="2764"/>
      <c r="D55" s="1286">
        <f t="shared" si="10"/>
        <v>0</v>
      </c>
      <c r="E55" s="822"/>
      <c r="F55" s="2497"/>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2" t="s">
        <v>2945</v>
      </c>
      <c r="B56" s="2873" t="str">
        <f>估价对象房地状况!C20</f>
        <v>较好</v>
      </c>
      <c r="C56" s="2764"/>
      <c r="D56" s="1286">
        <f t="shared" si="10"/>
        <v>0</v>
      </c>
      <c r="E56" s="825"/>
      <c r="F56" s="2497"/>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0" t="s">
        <v>2946</v>
      </c>
      <c r="B57" s="2861">
        <f>1+E59</f>
        <v>1</v>
      </c>
      <c r="C57" s="814"/>
      <c r="D57" s="814"/>
      <c r="E57" s="815"/>
      <c r="F57" s="286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4" t="s">
        <v>2927</v>
      </c>
      <c r="B58" s="1808"/>
      <c r="C58" s="1808" t="s">
        <v>2929</v>
      </c>
      <c r="D58" s="1808" t="s">
        <v>2930</v>
      </c>
      <c r="E58" s="819" t="s">
        <v>2931</v>
      </c>
      <c r="F58" s="2865" t="s">
        <v>2947</v>
      </c>
      <c r="G58" s="1808" t="s">
        <v>754</v>
      </c>
      <c r="H58" s="2866" t="s">
        <v>2933</v>
      </c>
      <c r="I58" s="1808" t="s">
        <v>2934</v>
      </c>
      <c r="J58" s="603" t="s">
        <v>2582</v>
      </c>
      <c r="K58" s="603" t="s">
        <v>2583</v>
      </c>
      <c r="L58" s="603" t="s">
        <v>2584</v>
      </c>
      <c r="M58" s="603" t="s">
        <v>2585</v>
      </c>
      <c r="N58" s="603" t="s">
        <v>2586</v>
      </c>
      <c r="AA58" s="1371"/>
      <c r="AB58" s="1371"/>
      <c r="AC58" s="1371"/>
      <c r="AD58" s="1371"/>
      <c r="AE58" s="1371"/>
      <c r="AF58" s="1371"/>
      <c r="AG58" s="1371"/>
      <c r="AH58" s="1371"/>
      <c r="AI58" s="1371"/>
      <c r="AJ58" s="1371"/>
      <c r="AK58" s="1371"/>
    </row>
    <row r="59" spans="1:37" s="1370" customFormat="1" ht="24">
      <c r="A59" s="2864" t="s">
        <v>2948</v>
      </c>
      <c r="B59" s="2867" t="str">
        <f>估价对象房地状况!C17</f>
        <v>一般</v>
      </c>
      <c r="C59" s="2764"/>
      <c r="D59" s="1286">
        <f t="shared" ref="D59:D67" si="15">SUMIF($J$58:$N$58,C59,J59:N59)</f>
        <v>0</v>
      </c>
      <c r="E59" s="821">
        <f>ROUND(SUM(D59:D67),4)</f>
        <v>0</v>
      </c>
      <c r="F59" s="2497"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4" t="s">
        <v>2936</v>
      </c>
      <c r="B60" s="2868" t="str">
        <f>估价对象房地状况!C18</f>
        <v>一般</v>
      </c>
      <c r="C60" s="2764"/>
      <c r="D60" s="1286">
        <f t="shared" si="15"/>
        <v>0</v>
      </c>
      <c r="E60" s="822"/>
      <c r="F60" s="2497"/>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4" t="s">
        <v>2937</v>
      </c>
      <c r="B61" s="2868" t="str">
        <f>估价对象房地状况!C19</f>
        <v>较好</v>
      </c>
      <c r="C61" s="2764"/>
      <c r="D61" s="1286">
        <f t="shared" si="15"/>
        <v>0</v>
      </c>
      <c r="E61" s="822"/>
      <c r="F61" s="2497"/>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4" t="s">
        <v>2938</v>
      </c>
      <c r="B62" s="2869" t="s">
        <v>2939</v>
      </c>
      <c r="C62" s="2764"/>
      <c r="D62" s="1286">
        <f t="shared" si="15"/>
        <v>0</v>
      </c>
      <c r="E62" s="822"/>
      <c r="F62" s="2497"/>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4" t="s">
        <v>2940</v>
      </c>
      <c r="B63" s="2868">
        <f>估价对象房地状况!C24</f>
        <v>0</v>
      </c>
      <c r="C63" s="2764"/>
      <c r="D63" s="1286">
        <f t="shared" si="15"/>
        <v>0</v>
      </c>
      <c r="E63" s="822"/>
      <c r="F63" s="2497"/>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4" t="s">
        <v>2941</v>
      </c>
      <c r="B64" s="2870" t="s">
        <v>2942</v>
      </c>
      <c r="C64" s="2764"/>
      <c r="D64" s="1286">
        <f t="shared" si="15"/>
        <v>0</v>
      </c>
      <c r="E64" s="822"/>
      <c r="F64" s="2497"/>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4" t="s">
        <v>2943</v>
      </c>
      <c r="B65" s="1724" t="str">
        <f>估价对象房地状况!C21</f>
        <v>较好</v>
      </c>
      <c r="C65" s="2764"/>
      <c r="D65" s="1286">
        <f t="shared" si="15"/>
        <v>0</v>
      </c>
      <c r="E65" s="822"/>
      <c r="F65" s="2497"/>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4" t="s">
        <v>2944</v>
      </c>
      <c r="B66" s="1724" t="str">
        <f>估价对象房地状况!C22</f>
        <v>六通</v>
      </c>
      <c r="C66" s="2764"/>
      <c r="D66" s="1286">
        <f t="shared" si="15"/>
        <v>0</v>
      </c>
      <c r="E66" s="822"/>
      <c r="F66" s="2497"/>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2" t="s">
        <v>2945</v>
      </c>
      <c r="B67" s="2874" t="str">
        <f>估价对象房地状况!C20</f>
        <v>较好</v>
      </c>
      <c r="C67" s="2764"/>
      <c r="D67" s="1286">
        <f t="shared" si="15"/>
        <v>0</v>
      </c>
      <c r="E67" s="825"/>
      <c r="F67" s="2497"/>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0" t="s">
        <v>2949</v>
      </c>
      <c r="B68" s="2861">
        <f>1+E70</f>
        <v>1</v>
      </c>
      <c r="C68" s="814"/>
      <c r="D68" s="814"/>
      <c r="E68" s="815"/>
      <c r="F68" s="286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4" t="s">
        <v>2927</v>
      </c>
      <c r="B69" s="1808"/>
      <c r="C69" s="1808" t="s">
        <v>2929</v>
      </c>
      <c r="D69" s="1808" t="s">
        <v>2930</v>
      </c>
      <c r="E69" s="819" t="s">
        <v>2931</v>
      </c>
      <c r="F69" s="2865" t="s">
        <v>2947</v>
      </c>
      <c r="G69" s="1808" t="s">
        <v>754</v>
      </c>
      <c r="H69" s="2866" t="s">
        <v>2933</v>
      </c>
      <c r="I69" s="1808" t="s">
        <v>2934</v>
      </c>
      <c r="J69" s="603" t="s">
        <v>2582</v>
      </c>
      <c r="K69" s="603" t="s">
        <v>2583</v>
      </c>
      <c r="L69" s="603" t="s">
        <v>2584</v>
      </c>
      <c r="M69" s="603" t="s">
        <v>2585</v>
      </c>
      <c r="N69" s="603" t="s">
        <v>2586</v>
      </c>
      <c r="AA69" s="1371"/>
      <c r="AB69" s="1371"/>
      <c r="AC69" s="1371"/>
      <c r="AD69" s="1371"/>
      <c r="AE69" s="1371"/>
      <c r="AF69" s="1371"/>
      <c r="AG69" s="1371"/>
      <c r="AH69" s="1371"/>
      <c r="AI69" s="1371"/>
      <c r="AJ69" s="1371"/>
      <c r="AK69" s="1371"/>
    </row>
    <row r="70" spans="1:37" s="1370" customFormat="1" ht="24">
      <c r="A70" s="2864" t="s">
        <v>2950</v>
      </c>
      <c r="B70" s="2867" t="str">
        <f>估价对象房地状况!C15</f>
        <v>一般</v>
      </c>
      <c r="C70" s="2764"/>
      <c r="D70" s="1286">
        <f t="shared" ref="D70:D78" si="20">SUMIF($J$69:$N$69,C70,J70:N70)</f>
        <v>0</v>
      </c>
      <c r="E70" s="821">
        <f>ROUND(SUM(D70:D78),4)</f>
        <v>0</v>
      </c>
      <c r="F70" s="2497"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4" t="s">
        <v>2936</v>
      </c>
      <c r="B71" s="2868" t="str">
        <f>估价对象房地状况!C18</f>
        <v>一般</v>
      </c>
      <c r="C71" s="2764"/>
      <c r="D71" s="1286">
        <f t="shared" si="20"/>
        <v>0</v>
      </c>
      <c r="E71" s="826"/>
      <c r="F71" s="2497"/>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4" t="s">
        <v>2937</v>
      </c>
      <c r="B72" s="2868" t="str">
        <f>估价对象房地状况!C19</f>
        <v>较好</v>
      </c>
      <c r="C72" s="2764"/>
      <c r="D72" s="1286">
        <f t="shared" si="20"/>
        <v>0</v>
      </c>
      <c r="E72" s="826"/>
      <c r="F72" s="2497"/>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4" t="s">
        <v>2951</v>
      </c>
      <c r="B73" s="2868">
        <f>估价对象房地状况!C24</f>
        <v>0</v>
      </c>
      <c r="C73" s="2764"/>
      <c r="D73" s="1286">
        <f t="shared" si="20"/>
        <v>0</v>
      </c>
      <c r="E73" s="826"/>
      <c r="F73" s="2497"/>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4" t="s">
        <v>2943</v>
      </c>
      <c r="B74" s="1724" t="str">
        <f>估价对象房地状况!C21</f>
        <v>较好</v>
      </c>
      <c r="C74" s="2764"/>
      <c r="D74" s="1286">
        <f t="shared" si="20"/>
        <v>0</v>
      </c>
      <c r="E74" s="826"/>
      <c r="F74" s="2497"/>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4" t="s">
        <v>2944</v>
      </c>
      <c r="B75" s="1724" t="str">
        <f>估价对象房地状况!C22</f>
        <v>六通</v>
      </c>
      <c r="C75" s="2764"/>
      <c r="D75" s="1286">
        <f t="shared" si="20"/>
        <v>0</v>
      </c>
      <c r="E75" s="826"/>
      <c r="F75" s="2497"/>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3" customFormat="1" ht="24">
      <c r="A76" s="2864" t="s">
        <v>2941</v>
      </c>
      <c r="B76" s="2870" t="s">
        <v>2942</v>
      </c>
      <c r="C76" s="2764"/>
      <c r="D76" s="1286">
        <f t="shared" si="20"/>
        <v>0</v>
      </c>
      <c r="E76" s="826"/>
      <c r="F76" s="2497"/>
      <c r="G76" s="1284"/>
      <c r="H76" s="1288" t="str">
        <f t="shared" si="21"/>
        <v>——</v>
      </c>
      <c r="I76" s="820">
        <v>0.05</v>
      </c>
      <c r="J76" s="1285">
        <f t="shared" si="22"/>
        <v>0</v>
      </c>
      <c r="K76" s="1285">
        <f t="shared" si="23"/>
        <v>0</v>
      </c>
      <c r="L76" s="1285">
        <v>0</v>
      </c>
      <c r="M76" s="1285">
        <f t="shared" si="24"/>
        <v>0</v>
      </c>
      <c r="N76" s="1285">
        <f t="shared" si="24"/>
        <v>0</v>
      </c>
      <c r="AA76" s="2875"/>
      <c r="AB76" s="1371"/>
      <c r="AC76" s="1371"/>
      <c r="AD76" s="1371"/>
      <c r="AE76" s="1371"/>
      <c r="AF76" s="1371"/>
      <c r="AG76" s="1371"/>
      <c r="AH76" s="2875"/>
      <c r="AI76" s="2875"/>
      <c r="AJ76" s="2875"/>
      <c r="AK76" s="2875"/>
    </row>
    <row r="77" spans="1:37" ht="24">
      <c r="A77" s="2864" t="s">
        <v>2945</v>
      </c>
      <c r="B77" s="2867" t="str">
        <f>估价对象房地状况!C20</f>
        <v>较好</v>
      </c>
      <c r="C77" s="2764"/>
      <c r="D77" s="1286">
        <f t="shared" si="20"/>
        <v>0</v>
      </c>
      <c r="E77" s="826"/>
      <c r="F77" s="2497"/>
      <c r="G77" s="1284"/>
      <c r="H77" s="1288" t="str">
        <f t="shared" si="21"/>
        <v>——</v>
      </c>
      <c r="I77" s="820">
        <v>0.15</v>
      </c>
      <c r="J77" s="1285">
        <f t="shared" si="22"/>
        <v>0</v>
      </c>
      <c r="K77" s="1285">
        <f t="shared" si="23"/>
        <v>0</v>
      </c>
      <c r="L77" s="1285">
        <v>0</v>
      </c>
      <c r="M77" s="1285">
        <f t="shared" si="24"/>
        <v>0</v>
      </c>
      <c r="N77" s="1285">
        <f t="shared" si="24"/>
        <v>0</v>
      </c>
      <c r="Z77" s="2714"/>
      <c r="AA77" s="2782"/>
      <c r="AG77" s="1372"/>
      <c r="AK77" s="2782"/>
    </row>
    <row r="78" spans="1:37" ht="24.75" thickBot="1">
      <c r="A78" s="2872" t="s">
        <v>2952</v>
      </c>
      <c r="B78" s="2876"/>
      <c r="C78" s="2764"/>
      <c r="D78" s="1286">
        <f t="shared" si="20"/>
        <v>0</v>
      </c>
      <c r="E78" s="827"/>
      <c r="F78" s="2497"/>
      <c r="G78" s="1284"/>
      <c r="H78" s="1288" t="str">
        <f t="shared" si="21"/>
        <v>——</v>
      </c>
      <c r="I78" s="824">
        <v>0.04</v>
      </c>
      <c r="J78" s="1285">
        <f t="shared" si="22"/>
        <v>0</v>
      </c>
      <c r="K78" s="1285">
        <f t="shared" si="23"/>
        <v>0</v>
      </c>
      <c r="L78" s="1285">
        <v>0</v>
      </c>
      <c r="M78" s="1285">
        <f t="shared" si="24"/>
        <v>0</v>
      </c>
      <c r="N78" s="1285">
        <f t="shared" si="24"/>
        <v>0</v>
      </c>
      <c r="Z78" s="2714"/>
      <c r="AA78" s="2782"/>
      <c r="AG78" s="1372"/>
      <c r="AK78" s="2782"/>
    </row>
    <row r="79" spans="1:37" ht="15">
      <c r="A79" s="2860" t="s">
        <v>2953</v>
      </c>
      <c r="B79" s="2861">
        <f>1+E81</f>
        <v>1</v>
      </c>
      <c r="C79" s="814"/>
      <c r="D79" s="814"/>
      <c r="E79" s="815"/>
      <c r="F79" s="2863"/>
      <c r="G79" s="6"/>
      <c r="H79" s="6"/>
      <c r="I79" s="6"/>
      <c r="J79" s="7"/>
      <c r="K79" s="7"/>
      <c r="L79" s="7"/>
      <c r="M79" s="7"/>
      <c r="N79" s="7"/>
      <c r="Z79" s="2714"/>
      <c r="AA79" s="2782"/>
      <c r="AG79" s="1372"/>
      <c r="AK79" s="2782"/>
    </row>
    <row r="80" spans="1:37" ht="24.75">
      <c r="A80" s="2864" t="s">
        <v>2927</v>
      </c>
      <c r="B80" s="1808"/>
      <c r="C80" s="1808" t="s">
        <v>2929</v>
      </c>
      <c r="D80" s="1808" t="s">
        <v>2930</v>
      </c>
      <c r="E80" s="819" t="s">
        <v>2931</v>
      </c>
      <c r="F80" s="2865" t="s">
        <v>2947</v>
      </c>
      <c r="G80" s="1808" t="s">
        <v>754</v>
      </c>
      <c r="H80" s="2866" t="s">
        <v>2933</v>
      </c>
      <c r="I80" s="1808" t="s">
        <v>2934</v>
      </c>
      <c r="J80" s="603" t="s">
        <v>2582</v>
      </c>
      <c r="K80" s="603" t="s">
        <v>2583</v>
      </c>
      <c r="L80" s="603" t="s">
        <v>2584</v>
      </c>
      <c r="M80" s="603" t="s">
        <v>2585</v>
      </c>
      <c r="N80" s="603" t="s">
        <v>2586</v>
      </c>
      <c r="Z80" s="2714"/>
      <c r="AA80" s="2782"/>
      <c r="AG80" s="1372"/>
      <c r="AK80" s="2782"/>
    </row>
    <row r="81" spans="1:37" ht="38.25">
      <c r="A81" s="2864" t="s">
        <v>2954</v>
      </c>
      <c r="B81" s="2868" t="str">
        <f>估价对象房地状况!G15</f>
        <v>估价对象位于XX开发区，园区建设成熟度XX，产业集聚程度XX</v>
      </c>
      <c r="C81" s="2764"/>
      <c r="D81" s="1286">
        <f t="shared" ref="D81:D88" si="25">SUMIF($J$80:$N$80,C81,J81:N81)</f>
        <v>0</v>
      </c>
      <c r="E81" s="821">
        <f>ROUND(SUM(D81:D88),4)</f>
        <v>0</v>
      </c>
      <c r="F81" s="2497"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4"/>
      <c r="AA81" s="2782"/>
      <c r="AG81" s="1372"/>
      <c r="AK81" s="2782"/>
    </row>
    <row r="82" spans="1:37" ht="51">
      <c r="A82" s="2864" t="s">
        <v>2936</v>
      </c>
      <c r="B82" s="2868" t="str">
        <f>估价对象房地状况!G16</f>
        <v>估价对象周边道路状况、公共交通通达情况、停车便捷程度，综合评价交通便捷度较好</v>
      </c>
      <c r="C82" s="2764"/>
      <c r="D82" s="1286">
        <f t="shared" si="25"/>
        <v>0</v>
      </c>
      <c r="E82" s="826"/>
      <c r="F82" s="2497"/>
      <c r="G82" s="1284"/>
      <c r="H82" s="1288" t="str">
        <f t="shared" si="26"/>
        <v>——</v>
      </c>
      <c r="I82" s="820">
        <v>0.33</v>
      </c>
      <c r="J82" s="1285">
        <f t="shared" si="27"/>
        <v>0</v>
      </c>
      <c r="K82" s="1285">
        <f t="shared" si="28"/>
        <v>0</v>
      </c>
      <c r="L82" s="1285">
        <v>0</v>
      </c>
      <c r="M82" s="1285">
        <f t="shared" si="29"/>
        <v>0</v>
      </c>
      <c r="N82" s="1285">
        <f t="shared" si="29"/>
        <v>0</v>
      </c>
      <c r="Z82" s="2714"/>
      <c r="AA82" s="2782"/>
      <c r="AG82" s="1372"/>
      <c r="AK82" s="2782"/>
    </row>
    <row r="83" spans="1:37" ht="24">
      <c r="A83" s="2864" t="s">
        <v>2937</v>
      </c>
      <c r="B83" s="2868">
        <f>估价对象房地状况!G17</f>
        <v>0</v>
      </c>
      <c r="C83" s="2764"/>
      <c r="D83" s="1286">
        <f t="shared" si="25"/>
        <v>0</v>
      </c>
      <c r="E83" s="826"/>
      <c r="F83" s="2497"/>
      <c r="G83" s="1284"/>
      <c r="H83" s="1288" t="str">
        <f t="shared" si="26"/>
        <v>——</v>
      </c>
      <c r="I83" s="820">
        <v>0.05</v>
      </c>
      <c r="J83" s="1285">
        <f t="shared" si="27"/>
        <v>0</v>
      </c>
      <c r="K83" s="1285">
        <f t="shared" si="28"/>
        <v>0</v>
      </c>
      <c r="L83" s="1285">
        <v>0</v>
      </c>
      <c r="M83" s="1285">
        <f t="shared" si="29"/>
        <v>0</v>
      </c>
      <c r="N83" s="1285">
        <f t="shared" si="29"/>
        <v>0</v>
      </c>
      <c r="Z83" s="2714"/>
      <c r="AA83" s="2782"/>
      <c r="AG83" s="1372"/>
      <c r="AK83" s="2782"/>
    </row>
    <row r="84" spans="1:37" ht="14.25">
      <c r="A84" s="2864" t="s">
        <v>2951</v>
      </c>
      <c r="B84" s="2868">
        <f>估价对象房地状况!G22</f>
        <v>0</v>
      </c>
      <c r="C84" s="2764"/>
      <c r="D84" s="1286">
        <f t="shared" si="25"/>
        <v>0</v>
      </c>
      <c r="E84" s="826"/>
      <c r="F84" s="2497"/>
      <c r="G84" s="1284"/>
      <c r="H84" s="1288" t="str">
        <f t="shared" si="26"/>
        <v>——</v>
      </c>
      <c r="I84" s="820">
        <v>0.04</v>
      </c>
      <c r="J84" s="1285">
        <f t="shared" si="27"/>
        <v>0</v>
      </c>
      <c r="K84" s="1285">
        <f t="shared" si="28"/>
        <v>0</v>
      </c>
      <c r="L84" s="1285">
        <v>0</v>
      </c>
      <c r="M84" s="1285">
        <f t="shared" si="29"/>
        <v>0</v>
      </c>
      <c r="N84" s="1285">
        <f t="shared" si="29"/>
        <v>0</v>
      </c>
      <c r="Z84" s="2714"/>
      <c r="AA84" s="2782"/>
      <c r="AG84" s="1372"/>
      <c r="AK84" s="2782"/>
    </row>
    <row r="85" spans="1:37" ht="25.5">
      <c r="A85" s="2864" t="s">
        <v>2943</v>
      </c>
      <c r="B85" s="1724" t="str">
        <f>估价对象房地状况!G19</f>
        <v>估价对象所在区域公共配套设施齐备情况</v>
      </c>
      <c r="C85" s="2764"/>
      <c r="D85" s="1286">
        <f t="shared" si="25"/>
        <v>0</v>
      </c>
      <c r="E85" s="826"/>
      <c r="F85" s="2497"/>
      <c r="G85" s="1284"/>
      <c r="H85" s="1288" t="str">
        <f t="shared" si="26"/>
        <v>——</v>
      </c>
      <c r="I85" s="820">
        <v>0.06</v>
      </c>
      <c r="J85" s="1285">
        <f t="shared" si="27"/>
        <v>0</v>
      </c>
      <c r="K85" s="1285">
        <f t="shared" si="28"/>
        <v>0</v>
      </c>
      <c r="L85" s="1285">
        <v>0</v>
      </c>
      <c r="M85" s="1285">
        <f t="shared" si="29"/>
        <v>0</v>
      </c>
      <c r="N85" s="1285">
        <f t="shared" si="29"/>
        <v>0</v>
      </c>
      <c r="Z85" s="2714"/>
      <c r="AA85" s="2782"/>
      <c r="AG85" s="1372"/>
      <c r="AK85" s="2782"/>
    </row>
    <row r="86" spans="1:37" ht="25.5">
      <c r="A86" s="2864" t="s">
        <v>2944</v>
      </c>
      <c r="B86" s="1724" t="str">
        <f>估价对象房地状况!G20</f>
        <v>估价对象所在区域基础设施水平</v>
      </c>
      <c r="C86" s="2764"/>
      <c r="D86" s="1286">
        <f t="shared" si="25"/>
        <v>0</v>
      </c>
      <c r="E86" s="826"/>
      <c r="F86" s="2497"/>
      <c r="G86" s="1284"/>
      <c r="H86" s="1288" t="str">
        <f t="shared" si="26"/>
        <v>——</v>
      </c>
      <c r="I86" s="820">
        <v>0.15</v>
      </c>
      <c r="J86" s="1285">
        <f t="shared" si="27"/>
        <v>0</v>
      </c>
      <c r="K86" s="1285">
        <f t="shared" si="28"/>
        <v>0</v>
      </c>
      <c r="L86" s="1285">
        <v>0</v>
      </c>
      <c r="M86" s="1285">
        <f t="shared" si="29"/>
        <v>0</v>
      </c>
      <c r="N86" s="1285">
        <f t="shared" si="29"/>
        <v>0</v>
      </c>
      <c r="Z86" s="2714"/>
      <c r="AA86" s="2782"/>
      <c r="AG86" s="1372"/>
      <c r="AK86" s="2782"/>
    </row>
    <row r="87" spans="1:37" ht="24">
      <c r="A87" s="2864" t="s">
        <v>2941</v>
      </c>
      <c r="B87" s="2870" t="s">
        <v>2955</v>
      </c>
      <c r="C87" s="2764"/>
      <c r="D87" s="1286">
        <f t="shared" si="25"/>
        <v>0</v>
      </c>
      <c r="E87" s="826"/>
      <c r="F87" s="2497"/>
      <c r="G87" s="1284"/>
      <c r="H87" s="1288" t="str">
        <f t="shared" si="26"/>
        <v>——</v>
      </c>
      <c r="I87" s="820">
        <v>0.05</v>
      </c>
      <c r="J87" s="1285">
        <f t="shared" si="27"/>
        <v>0</v>
      </c>
      <c r="K87" s="1285">
        <f t="shared" si="28"/>
        <v>0</v>
      </c>
      <c r="L87" s="1285">
        <v>0</v>
      </c>
      <c r="M87" s="1285">
        <f t="shared" si="29"/>
        <v>0</v>
      </c>
      <c r="N87" s="1285">
        <f t="shared" si="29"/>
        <v>0</v>
      </c>
      <c r="Z87" s="2714"/>
      <c r="AA87" s="2782"/>
      <c r="AG87" s="1372"/>
      <c r="AK87" s="2782"/>
    </row>
    <row r="88" spans="1:37" ht="39" thickBot="1">
      <c r="A88" s="2872" t="s">
        <v>2956</v>
      </c>
      <c r="B88" s="2877" t="str">
        <f>估价对象房地状况!G18</f>
        <v>该园区内是否有污染型企业，绿化情况，卫生条件，整体环境状况判断</v>
      </c>
      <c r="C88" s="2764"/>
      <c r="D88" s="1286">
        <f t="shared" si="25"/>
        <v>0</v>
      </c>
      <c r="E88" s="827"/>
      <c r="F88" s="2497"/>
      <c r="G88" s="1284"/>
      <c r="H88" s="1288" t="str">
        <f t="shared" si="26"/>
        <v>——</v>
      </c>
      <c r="I88" s="824">
        <v>0.06</v>
      </c>
      <c r="J88" s="1285">
        <f t="shared" si="27"/>
        <v>0</v>
      </c>
      <c r="K88" s="1285">
        <f t="shared" si="28"/>
        <v>0</v>
      </c>
      <c r="L88" s="1285">
        <v>0</v>
      </c>
      <c r="M88" s="1285">
        <f t="shared" si="29"/>
        <v>0</v>
      </c>
      <c r="N88" s="1285">
        <f t="shared" si="29"/>
        <v>0</v>
      </c>
      <c r="Z88" s="2714"/>
      <c r="AA88" s="2782"/>
      <c r="AG88" s="1372"/>
      <c r="AK88" s="2782"/>
    </row>
    <row r="90" spans="1:37">
      <c r="A90" s="3268" t="s">
        <v>2957</v>
      </c>
      <c r="B90" s="3268"/>
      <c r="C90" s="3268"/>
      <c r="D90" s="3268"/>
      <c r="E90" s="3268"/>
      <c r="F90" s="3268"/>
      <c r="G90" s="3268"/>
      <c r="H90" s="3268"/>
      <c r="I90" s="3268"/>
      <c r="J90" s="3268"/>
      <c r="K90" s="2878"/>
      <c r="L90" s="2878"/>
      <c r="M90" s="2878"/>
      <c r="N90" s="2878"/>
    </row>
    <row r="91" spans="1:37">
      <c r="A91" s="3270" t="s">
        <v>2958</v>
      </c>
      <c r="B91" s="3270" t="s">
        <v>2959</v>
      </c>
      <c r="C91" s="2832" t="s">
        <v>2960</v>
      </c>
      <c r="D91" s="2833"/>
      <c r="E91" s="2833"/>
      <c r="F91" s="2833"/>
      <c r="G91" s="2833"/>
      <c r="H91" s="2833"/>
      <c r="I91" s="2833"/>
      <c r="J91" s="2879"/>
      <c r="K91" s="2880"/>
      <c r="L91" s="2880"/>
      <c r="M91" s="2880"/>
      <c r="N91" s="2880"/>
    </row>
    <row r="92" spans="1:37">
      <c r="A92" s="3270"/>
      <c r="B92" s="3270"/>
      <c r="C92" s="942" t="s">
        <v>2826</v>
      </c>
      <c r="D92" s="942" t="s">
        <v>2827</v>
      </c>
      <c r="E92" s="942" t="s">
        <v>2828</v>
      </c>
      <c r="F92" s="942" t="s">
        <v>2829</v>
      </c>
      <c r="G92" s="942" t="s">
        <v>2830</v>
      </c>
      <c r="H92" s="942" t="s">
        <v>2831</v>
      </c>
      <c r="I92" s="942" t="s">
        <v>2832</v>
      </c>
      <c r="J92" s="942" t="s">
        <v>2833</v>
      </c>
      <c r="K92" s="942" t="s">
        <v>2834</v>
      </c>
      <c r="L92" s="942" t="s">
        <v>2835</v>
      </c>
      <c r="M92" s="942" t="s">
        <v>2836</v>
      </c>
      <c r="N92" s="942" t="s">
        <v>2837</v>
      </c>
    </row>
    <row r="93" spans="1:37">
      <c r="A93" s="3271" t="s">
        <v>2961</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272"/>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272"/>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272"/>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272"/>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272"/>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272"/>
      <c r="B99" s="2881" t="s">
        <v>2842</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273"/>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271" t="s">
        <v>2962</v>
      </c>
      <c r="B101" s="2885" t="s">
        <v>2963</v>
      </c>
      <c r="C101" s="2886">
        <f>$G$3</f>
        <v>2.5</v>
      </c>
      <c r="D101" s="2886">
        <f t="shared" ref="D101:N101" si="31">$G$3</f>
        <v>2.5</v>
      </c>
      <c r="E101" s="2886">
        <f t="shared" si="31"/>
        <v>2.5</v>
      </c>
      <c r="F101" s="2886">
        <f t="shared" si="31"/>
        <v>2.5</v>
      </c>
      <c r="G101" s="2886">
        <f t="shared" si="31"/>
        <v>2.5</v>
      </c>
      <c r="H101" s="2886">
        <f t="shared" si="31"/>
        <v>2.5</v>
      </c>
      <c r="I101" s="2886">
        <f t="shared" si="31"/>
        <v>2.5</v>
      </c>
      <c r="J101" s="2886">
        <f t="shared" si="31"/>
        <v>2.5</v>
      </c>
      <c r="K101" s="2886">
        <f t="shared" si="31"/>
        <v>2.5</v>
      </c>
      <c r="L101" s="2886">
        <f t="shared" si="31"/>
        <v>2.5</v>
      </c>
      <c r="M101" s="2886">
        <f t="shared" si="31"/>
        <v>2.5</v>
      </c>
      <c r="N101" s="2886">
        <f t="shared" si="31"/>
        <v>2.5</v>
      </c>
    </row>
    <row r="102" spans="1:14">
      <c r="A102" s="3272"/>
      <c r="B102" s="2881">
        <v>1</v>
      </c>
      <c r="C102" s="2882">
        <f>1.9362/C101</f>
        <v>0.77447999999999995</v>
      </c>
      <c r="D102" s="2882">
        <f>1.9362/D101</f>
        <v>0.77447999999999995</v>
      </c>
      <c r="E102" s="2882">
        <f>1.8629/E101</f>
        <v>0.74516000000000004</v>
      </c>
      <c r="F102" s="2882">
        <f>1.8629/F101</f>
        <v>0.74516000000000004</v>
      </c>
      <c r="G102" s="2882">
        <f>1.8629/G101</f>
        <v>0.74516000000000004</v>
      </c>
      <c r="H102" s="2882">
        <f>1.8629/H101</f>
        <v>0.74516000000000004</v>
      </c>
      <c r="I102" s="2882">
        <f>1.8629/I101</f>
        <v>0.74516000000000004</v>
      </c>
      <c r="J102" s="2882">
        <f>1.942/J101</f>
        <v>0.77679999999999993</v>
      </c>
      <c r="K102" s="2882">
        <f>1.942/K101</f>
        <v>0.77679999999999993</v>
      </c>
      <c r="L102" s="2882">
        <f>1.942/L101</f>
        <v>0.77679999999999993</v>
      </c>
      <c r="M102" s="2882">
        <f>1.942/M101</f>
        <v>0.77679999999999993</v>
      </c>
      <c r="N102" s="2882">
        <f>1.942/N101</f>
        <v>0.77679999999999993</v>
      </c>
    </row>
    <row r="103" spans="1:14">
      <c r="A103" s="3272"/>
      <c r="B103" s="2881">
        <v>2</v>
      </c>
      <c r="C103" s="2882">
        <f>1.4198/C101</f>
        <v>0.56791999999999998</v>
      </c>
      <c r="D103" s="2882">
        <f>1.4198/D101</f>
        <v>0.56791999999999998</v>
      </c>
      <c r="E103" s="2882">
        <f>1.3372/E101</f>
        <v>0.53488000000000002</v>
      </c>
      <c r="F103" s="2882">
        <f>1.3372/F101</f>
        <v>0.53488000000000002</v>
      </c>
      <c r="G103" s="2882">
        <f>1.3372/G101</f>
        <v>0.53488000000000002</v>
      </c>
      <c r="H103" s="2882">
        <f>1.3372/H101</f>
        <v>0.53488000000000002</v>
      </c>
      <c r="I103" s="2882">
        <f>1.3372/I101</f>
        <v>0.53488000000000002</v>
      </c>
      <c r="J103" s="2882">
        <f>1.2799/J101</f>
        <v>0.51195999999999997</v>
      </c>
      <c r="K103" s="2882">
        <f>1.2799/K101</f>
        <v>0.51195999999999997</v>
      </c>
      <c r="L103" s="2882">
        <f>1.2799/L101</f>
        <v>0.51195999999999997</v>
      </c>
      <c r="M103" s="2882">
        <f>1.2799/M101</f>
        <v>0.51195999999999997</v>
      </c>
      <c r="N103" s="2882">
        <f>1.2799/N101</f>
        <v>0.51195999999999997</v>
      </c>
    </row>
    <row r="104" spans="1:14">
      <c r="A104" s="3272"/>
      <c r="B104" s="2881">
        <v>3</v>
      </c>
      <c r="C104" s="2882">
        <f>1.1594/C101</f>
        <v>0.46376000000000001</v>
      </c>
      <c r="D104" s="2882">
        <f>1.1594/D101</f>
        <v>0.46376000000000001</v>
      </c>
      <c r="E104" s="2882">
        <f>1.0788/E101</f>
        <v>0.43152000000000001</v>
      </c>
      <c r="F104" s="2882">
        <f>1.0788/F101</f>
        <v>0.43152000000000001</v>
      </c>
      <c r="G104" s="2882">
        <f>1.0788/G101</f>
        <v>0.43152000000000001</v>
      </c>
      <c r="H104" s="2882">
        <f>1.0788/H101</f>
        <v>0.43152000000000001</v>
      </c>
      <c r="I104" s="2882">
        <f>1.0788/I101</f>
        <v>0.43152000000000001</v>
      </c>
      <c r="J104" s="2882">
        <f>1.0072/J101</f>
        <v>0.40288000000000002</v>
      </c>
      <c r="K104" s="2882">
        <f>1.0072/K101</f>
        <v>0.40288000000000002</v>
      </c>
      <c r="L104" s="2882">
        <f>1.0072/L101</f>
        <v>0.40288000000000002</v>
      </c>
      <c r="M104" s="2882">
        <f>1.0072/M101</f>
        <v>0.40288000000000002</v>
      </c>
      <c r="N104" s="2882">
        <f>1.0072/N101</f>
        <v>0.40288000000000002</v>
      </c>
    </row>
    <row r="105" spans="1:14">
      <c r="A105" s="3272"/>
      <c r="B105" s="2881">
        <v>4</v>
      </c>
      <c r="C105" s="2882">
        <f>0.9622/C101</f>
        <v>0.38488</v>
      </c>
      <c r="D105" s="2882">
        <f>0.9622/D101</f>
        <v>0.38488</v>
      </c>
      <c r="E105" s="2882">
        <f>0.8656/E101</f>
        <v>0.34623999999999999</v>
      </c>
      <c r="F105" s="2882">
        <f>0.8656/F101</f>
        <v>0.34623999999999999</v>
      </c>
      <c r="G105" s="2882">
        <f>0.8656/G101</f>
        <v>0.34623999999999999</v>
      </c>
      <c r="H105" s="2882">
        <f>0.8656/H101</f>
        <v>0.34623999999999999</v>
      </c>
      <c r="I105" s="2882">
        <f>0.8656/I101</f>
        <v>0.34623999999999999</v>
      </c>
      <c r="J105" s="2882">
        <f>0.7525/J101</f>
        <v>0.30099999999999999</v>
      </c>
      <c r="K105" s="2882">
        <f>0.7525/K101</f>
        <v>0.30099999999999999</v>
      </c>
      <c r="L105" s="2882">
        <f>0.7525/L101</f>
        <v>0.30099999999999999</v>
      </c>
      <c r="M105" s="2882">
        <f>0.7525/M101</f>
        <v>0.30099999999999999</v>
      </c>
      <c r="N105" s="2882">
        <f>0.7525/N101</f>
        <v>0.30099999999999999</v>
      </c>
    </row>
    <row r="106" spans="1:14">
      <c r="A106" s="3272"/>
      <c r="B106" s="2881">
        <v>5</v>
      </c>
      <c r="C106" s="2882">
        <f>0.8417/C101</f>
        <v>0.33667999999999998</v>
      </c>
      <c r="D106" s="2882">
        <f>0.8417/D101</f>
        <v>0.33667999999999998</v>
      </c>
      <c r="E106" s="2882">
        <f>0.7371/E101</f>
        <v>0.29483999999999999</v>
      </c>
      <c r="F106" s="2882">
        <f>0.7371/F101</f>
        <v>0.29483999999999999</v>
      </c>
      <c r="G106" s="2882">
        <f>0.7371/G101</f>
        <v>0.29483999999999999</v>
      </c>
      <c r="H106" s="2882">
        <f>0.7371/H101</f>
        <v>0.29483999999999999</v>
      </c>
      <c r="I106" s="2882">
        <f>0.7371/I101</f>
        <v>0.29483999999999999</v>
      </c>
      <c r="J106" s="2882">
        <f>0.5659/J101</f>
        <v>0.22635999999999998</v>
      </c>
      <c r="K106" s="2882">
        <f>0.5659/K101</f>
        <v>0.22635999999999998</v>
      </c>
      <c r="L106" s="2882">
        <f>0.5659/L101</f>
        <v>0.22635999999999998</v>
      </c>
      <c r="M106" s="2882">
        <f>0.5659/M101</f>
        <v>0.22635999999999998</v>
      </c>
      <c r="N106" s="2882">
        <f>0.5659/N101</f>
        <v>0.22635999999999998</v>
      </c>
    </row>
    <row r="107" spans="1:14">
      <c r="A107" s="3272"/>
      <c r="B107" s="2881">
        <v>6</v>
      </c>
      <c r="C107" s="2882">
        <f>0.7608/C101</f>
        <v>0.30432000000000003</v>
      </c>
      <c r="D107" s="2882">
        <f>0.7608/D101</f>
        <v>0.30432000000000003</v>
      </c>
      <c r="E107" s="2882">
        <f>0.6482/E101</f>
        <v>0.25928000000000001</v>
      </c>
      <c r="F107" s="2882">
        <f>0.6482/F101</f>
        <v>0.25928000000000001</v>
      </c>
      <c r="G107" s="2882">
        <f>0.6482/G101</f>
        <v>0.25928000000000001</v>
      </c>
      <c r="H107" s="2882">
        <f>0.6482/H101</f>
        <v>0.25928000000000001</v>
      </c>
      <c r="I107" s="2882">
        <f>0.6482/I101</f>
        <v>0.25928000000000001</v>
      </c>
      <c r="J107" s="2882">
        <f>0.4525/J101</f>
        <v>0.18099999999999999</v>
      </c>
      <c r="K107" s="2882">
        <f>0.4525/K101</f>
        <v>0.18099999999999999</v>
      </c>
      <c r="L107" s="2882">
        <f>0.4525/L101</f>
        <v>0.18099999999999999</v>
      </c>
      <c r="M107" s="2882">
        <f>0.4525/M101</f>
        <v>0.18099999999999999</v>
      </c>
      <c r="N107" s="2882">
        <f>0.4525/N101</f>
        <v>0.18099999999999999</v>
      </c>
    </row>
    <row r="108" spans="1:14">
      <c r="A108" s="3272"/>
      <c r="B108" s="3098" t="s">
        <v>2964</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273"/>
      <c r="B109" s="3099"/>
      <c r="C109" s="2884">
        <f>(-0.163*(C108^2)-0.59*C108+7617)*(10^(-4))/C101</f>
        <v>0.30468000000000001</v>
      </c>
      <c r="D109" s="2884">
        <f>(-0.163*(D108^2)-0.59*D108+7617)*(10^(-4))/D101</f>
        <v>0.30468000000000001</v>
      </c>
      <c r="E109" s="2884">
        <f>(-0.161*(E108^2)-7.509*E108+6533)*(10^(-4))/E101</f>
        <v>0.26132</v>
      </c>
      <c r="F109" s="2884">
        <f>(-0.161*(F108^2)-7.509*F108+6533)*(10^(-4))/F101</f>
        <v>0.26132</v>
      </c>
      <c r="G109" s="2884">
        <f>(-0.161*(G108^2)-7.509*G108+6533)*(10^(-4))/G101</f>
        <v>0.26132</v>
      </c>
      <c r="H109" s="2884">
        <f>(-0.161*(H108^2)-7.509*H108+6533)*(10^(-4))/H101</f>
        <v>0.26132</v>
      </c>
      <c r="I109" s="2884">
        <f>(-0.161*(I108^2)-7.509*I108+6533)*(10^(-4))/I101</f>
        <v>0.26132</v>
      </c>
      <c r="J109" s="2884">
        <f>(-0.214*(J108^2)-21.991*J108+4665)*(10^(-4))/J101</f>
        <v>0.18660000000000002</v>
      </c>
      <c r="K109" s="2884">
        <f>(-0.214*(K108^2)-21.991*K108+4665)*(10^(-4))/K101</f>
        <v>0.18660000000000002</v>
      </c>
      <c r="L109" s="2884">
        <f>(-0.214*(L108^2)-21.991*L108+4665)*(10^(-4))/L101</f>
        <v>0.18660000000000002</v>
      </c>
      <c r="M109" s="2884">
        <f>(-0.214*(M108^2)-21.991*M108+4665)*(10^(-4))/M101</f>
        <v>0.18660000000000002</v>
      </c>
      <c r="N109" s="2884">
        <f>(-0.214*(N108^2)-21.991*N108+4665)*(10^(-4))/N101</f>
        <v>0.18660000000000002</v>
      </c>
    </row>
    <row r="110" spans="1:14">
      <c r="A110" s="3269" t="s">
        <v>2965</v>
      </c>
      <c r="B110" s="3269"/>
      <c r="C110" s="3269"/>
      <c r="D110" s="3269"/>
      <c r="E110" s="3269"/>
      <c r="F110" s="3269"/>
      <c r="G110" s="3269"/>
      <c r="H110" s="3269"/>
      <c r="I110" s="3269"/>
      <c r="J110" s="3269"/>
      <c r="K110" s="2887"/>
      <c r="L110" s="2887"/>
      <c r="M110" s="2887"/>
      <c r="N110" s="2887"/>
    </row>
    <row r="112" spans="1:14" ht="13.5" thickBot="1"/>
    <row r="113" spans="1:13" ht="25.5" thickBot="1">
      <c r="A113" s="903" t="s">
        <v>2966</v>
      </c>
      <c r="B113" s="1287">
        <f>G3</f>
        <v>2.5</v>
      </c>
      <c r="C113" s="904" t="s">
        <v>2967</v>
      </c>
      <c r="D113" s="905">
        <f>SUMPRODUCT((A115:A118=F113)*(B114:M114=H113)*B115:M118)</f>
        <v>0</v>
      </c>
      <c r="E113" s="2718" t="s">
        <v>2799</v>
      </c>
      <c r="F113" s="2889">
        <f>E2</f>
        <v>0</v>
      </c>
      <c r="G113" s="2718" t="s">
        <v>2800</v>
      </c>
      <c r="H113" s="2889">
        <f>G2</f>
        <v>0</v>
      </c>
      <c r="I113" s="2718"/>
      <c r="J113" s="2890"/>
      <c r="K113" s="2890"/>
      <c r="L113" s="2890"/>
      <c r="M113" s="2890"/>
    </row>
    <row r="114" spans="1:13">
      <c r="A114" s="908"/>
      <c r="B114" s="2891" t="s">
        <v>2968</v>
      </c>
      <c r="C114" s="2891" t="s">
        <v>2969</v>
      </c>
      <c r="D114" s="2891" t="s">
        <v>2970</v>
      </c>
      <c r="E114" s="2892" t="s">
        <v>2971</v>
      </c>
      <c r="F114" s="2892" t="s">
        <v>2972</v>
      </c>
      <c r="G114" s="2892" t="s">
        <v>2973</v>
      </c>
      <c r="H114" s="2893" t="s">
        <v>2974</v>
      </c>
      <c r="I114" s="2893" t="s">
        <v>2975</v>
      </c>
      <c r="J114" s="2894" t="s">
        <v>2976</v>
      </c>
      <c r="K114" s="2894" t="s">
        <v>2977</v>
      </c>
      <c r="L114" s="2894" t="s">
        <v>2978</v>
      </c>
      <c r="M114" s="2895" t="s">
        <v>2979</v>
      </c>
    </row>
    <row r="115" spans="1:13">
      <c r="A115" s="909" t="s">
        <v>2864</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3">I115</f>
        <v>0.65029999999999999</v>
      </c>
      <c r="K115" s="910">
        <f t="shared" si="33"/>
        <v>0.65029999999999999</v>
      </c>
      <c r="L115" s="910">
        <f t="shared" si="33"/>
        <v>0.65029999999999999</v>
      </c>
      <c r="M115" s="911">
        <f t="shared" si="33"/>
        <v>0.65029999999999999</v>
      </c>
    </row>
    <row r="116" spans="1:13">
      <c r="A116" s="909" t="s">
        <v>2865</v>
      </c>
      <c r="B116" s="910">
        <f>ROUND(0.949-0.012*B113,4)</f>
        <v>0.91900000000000004</v>
      </c>
      <c r="C116" s="910">
        <f>B116</f>
        <v>0.91900000000000004</v>
      </c>
      <c r="D116" s="910">
        <f>ROUND(0.8567-0.013*B113,4)</f>
        <v>0.82420000000000004</v>
      </c>
      <c r="E116" s="910">
        <f t="shared" ref="E116:H117" si="34">D116</f>
        <v>0.82420000000000004</v>
      </c>
      <c r="F116" s="910">
        <f t="shared" si="34"/>
        <v>0.82420000000000004</v>
      </c>
      <c r="G116" s="910">
        <f t="shared" si="34"/>
        <v>0.82420000000000004</v>
      </c>
      <c r="H116" s="910">
        <f t="shared" si="34"/>
        <v>0.82420000000000004</v>
      </c>
      <c r="I116" s="910">
        <f>ROUND(0.7694-0.014*B113,4)</f>
        <v>0.73440000000000005</v>
      </c>
      <c r="J116" s="910">
        <f t="shared" si="33"/>
        <v>0.73440000000000005</v>
      </c>
      <c r="K116" s="910">
        <f t="shared" si="33"/>
        <v>0.73440000000000005</v>
      </c>
      <c r="L116" s="910">
        <f t="shared" si="33"/>
        <v>0.73440000000000005</v>
      </c>
      <c r="M116" s="911">
        <f t="shared" si="33"/>
        <v>0.73440000000000005</v>
      </c>
    </row>
    <row r="117" spans="1:13">
      <c r="A117" s="909" t="s">
        <v>2866</v>
      </c>
      <c r="B117" s="910">
        <f>ROUND(0.8808-0.006*B113,4)</f>
        <v>0.86580000000000001</v>
      </c>
      <c r="C117" s="910">
        <f>B117</f>
        <v>0.86580000000000001</v>
      </c>
      <c r="D117" s="910">
        <f>ROUND(0.8748-0.008*B113,4)</f>
        <v>0.8548</v>
      </c>
      <c r="E117" s="910">
        <f t="shared" si="34"/>
        <v>0.8548</v>
      </c>
      <c r="F117" s="910">
        <f t="shared" si="34"/>
        <v>0.8548</v>
      </c>
      <c r="G117" s="910">
        <f t="shared" si="34"/>
        <v>0.8548</v>
      </c>
      <c r="H117" s="910">
        <f t="shared" si="34"/>
        <v>0.8548</v>
      </c>
      <c r="I117" s="910">
        <f>ROUND(0.7412-0.0095*B113,4)</f>
        <v>0.71750000000000003</v>
      </c>
      <c r="J117" s="910">
        <f t="shared" si="33"/>
        <v>0.71750000000000003</v>
      </c>
      <c r="K117" s="910">
        <f t="shared" si="33"/>
        <v>0.71750000000000003</v>
      </c>
      <c r="L117" s="910">
        <f t="shared" si="33"/>
        <v>0.71750000000000003</v>
      </c>
      <c r="M117" s="911">
        <f t="shared" si="33"/>
        <v>0.71750000000000003</v>
      </c>
    </row>
    <row r="118" spans="1:13" ht="13.5" thickBot="1">
      <c r="A118" s="714" t="s">
        <v>2867</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3"/>
        <v>0.53269999999999995</v>
      </c>
      <c r="K118" s="912">
        <f t="shared" si="33"/>
        <v>0.53269999999999995</v>
      </c>
      <c r="L118" s="912">
        <f t="shared" si="33"/>
        <v>0.53269999999999995</v>
      </c>
      <c r="M118" s="913">
        <f t="shared" si="33"/>
        <v>0.53269999999999995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9" t="s">
        <v>183</v>
      </c>
      <c r="B18" s="882" t="s">
        <v>560</v>
      </c>
      <c r="C18" s="883" t="s">
        <v>561</v>
      </c>
      <c r="D18" s="884"/>
      <c r="E18" s="882">
        <v>1</v>
      </c>
      <c r="F18" s="885" t="s">
        <v>562</v>
      </c>
      <c r="G18" s="886"/>
      <c r="H18" s="878"/>
      <c r="I18" s="878"/>
    </row>
    <row r="19" spans="1:9" s="887" customFormat="1" ht="19.5" customHeight="1">
      <c r="A19" s="3289"/>
      <c r="B19" s="3289" t="s">
        <v>563</v>
      </c>
      <c r="C19" s="883" t="s">
        <v>564</v>
      </c>
      <c r="D19" s="884"/>
      <c r="E19" s="882">
        <v>0.9</v>
      </c>
      <c r="F19" s="885" t="s">
        <v>565</v>
      </c>
      <c r="G19" s="886"/>
      <c r="H19" s="878"/>
      <c r="I19" s="878"/>
    </row>
    <row r="20" spans="1:9" s="887" customFormat="1" ht="19.5" customHeight="1">
      <c r="A20" s="3289"/>
      <c r="B20" s="3289"/>
      <c r="C20" s="883" t="s">
        <v>566</v>
      </c>
      <c r="D20" s="884"/>
      <c r="E20" s="882">
        <v>1.1000000000000001</v>
      </c>
      <c r="F20" s="885" t="s">
        <v>567</v>
      </c>
      <c r="G20" s="886"/>
      <c r="H20" s="878"/>
      <c r="I20" s="878"/>
    </row>
    <row r="21" spans="1:9" s="887" customFormat="1" ht="19.5" customHeight="1">
      <c r="A21" s="3289"/>
      <c r="B21" s="3289"/>
      <c r="C21" s="883" t="s">
        <v>568</v>
      </c>
      <c r="D21" s="884"/>
      <c r="E21" s="882">
        <v>0.8</v>
      </c>
      <c r="F21" s="885" t="s">
        <v>569</v>
      </c>
      <c r="G21" s="886"/>
      <c r="H21" s="878"/>
      <c r="I21" s="878"/>
    </row>
    <row r="22" spans="1:9" s="887" customFormat="1" ht="19.5" customHeight="1">
      <c r="A22" s="3289"/>
      <c r="B22" s="3289"/>
      <c r="C22" s="883" t="s">
        <v>570</v>
      </c>
      <c r="D22" s="884"/>
      <c r="E22" s="882">
        <v>0.5</v>
      </c>
      <c r="F22" s="885"/>
      <c r="G22" s="886"/>
      <c r="H22" s="878"/>
      <c r="I22" s="878"/>
    </row>
    <row r="23" spans="1:9" s="887" customFormat="1" ht="19.5" customHeight="1">
      <c r="A23" s="3289" t="s">
        <v>184</v>
      </c>
      <c r="B23" s="882" t="s">
        <v>560</v>
      </c>
      <c r="C23" s="883" t="s">
        <v>571</v>
      </c>
      <c r="D23" s="884"/>
      <c r="E23" s="882">
        <v>1</v>
      </c>
      <c r="F23" s="885" t="s">
        <v>572</v>
      </c>
      <c r="G23" s="886"/>
      <c r="H23" s="878"/>
      <c r="I23" s="878"/>
    </row>
    <row r="24" spans="1:9" s="887" customFormat="1" ht="19.5" customHeight="1">
      <c r="A24" s="3289"/>
      <c r="B24" s="3289" t="s">
        <v>563</v>
      </c>
      <c r="C24" s="883" t="s">
        <v>573</v>
      </c>
      <c r="D24" s="884"/>
      <c r="E24" s="882">
        <v>0.5</v>
      </c>
      <c r="F24" s="885"/>
      <c r="G24" s="886"/>
      <c r="H24" s="878"/>
      <c r="I24" s="878"/>
    </row>
    <row r="25" spans="1:9" s="887" customFormat="1" ht="19.5" customHeight="1">
      <c r="A25" s="3289"/>
      <c r="B25" s="3289"/>
      <c r="C25" s="883" t="s">
        <v>574</v>
      </c>
      <c r="D25" s="884"/>
      <c r="E25" s="882">
        <v>1.1000000000000001</v>
      </c>
      <c r="F25" s="885"/>
      <c r="G25" s="886"/>
      <c r="H25" s="878"/>
      <c r="I25" s="878"/>
    </row>
    <row r="26" spans="1:9" s="887" customFormat="1" ht="19.5" customHeight="1">
      <c r="A26" s="3289"/>
      <c r="B26" s="3289"/>
      <c r="C26" s="883" t="s">
        <v>575</v>
      </c>
      <c r="D26" s="884"/>
      <c r="E26" s="882">
        <v>1.1000000000000001</v>
      </c>
      <c r="F26" s="885"/>
      <c r="G26" s="886"/>
      <c r="H26" s="878"/>
      <c r="I26" s="878"/>
    </row>
    <row r="27" spans="1:9" s="887" customFormat="1" ht="19.5" customHeight="1">
      <c r="A27" s="3289"/>
      <c r="B27" s="3289"/>
      <c r="C27" s="883" t="s">
        <v>576</v>
      </c>
      <c r="D27" s="884"/>
      <c r="E27" s="882">
        <v>0.9</v>
      </c>
      <c r="F27" s="885" t="s">
        <v>577</v>
      </c>
      <c r="G27" s="886"/>
      <c r="H27" s="878"/>
      <c r="I27" s="878"/>
    </row>
    <row r="28" spans="1:9" s="887" customFormat="1" ht="19.5" customHeight="1">
      <c r="A28" s="3289"/>
      <c r="B28" s="3289"/>
      <c r="C28" s="883" t="s">
        <v>578</v>
      </c>
      <c r="D28" s="884"/>
      <c r="E28" s="882">
        <v>0.9</v>
      </c>
      <c r="F28" s="885" t="s">
        <v>579</v>
      </c>
      <c r="G28" s="886"/>
      <c r="H28" s="878"/>
      <c r="I28" s="878"/>
    </row>
    <row r="29" spans="1:9" s="887" customFormat="1" ht="19.5" customHeight="1">
      <c r="A29" s="3289"/>
      <c r="B29" s="3289"/>
      <c r="C29" s="883" t="s">
        <v>580</v>
      </c>
      <c r="D29" s="884"/>
      <c r="E29" s="882">
        <v>0.9</v>
      </c>
      <c r="F29" s="885" t="s">
        <v>581</v>
      </c>
      <c r="G29" s="886"/>
      <c r="H29" s="878"/>
      <c r="I29" s="878"/>
    </row>
    <row r="30" spans="1:9" s="887" customFormat="1" ht="19.5" customHeight="1">
      <c r="A30" s="3289"/>
      <c r="B30" s="3289"/>
      <c r="C30" s="883" t="s">
        <v>582</v>
      </c>
      <c r="D30" s="884"/>
      <c r="E30" s="882">
        <v>0.9</v>
      </c>
      <c r="F30" s="885" t="s">
        <v>583</v>
      </c>
      <c r="G30" s="886"/>
      <c r="H30" s="878"/>
      <c r="I30" s="878"/>
    </row>
    <row r="31" spans="1:9" s="887" customFormat="1" ht="19.5" customHeight="1">
      <c r="A31" s="3289"/>
      <c r="B31" s="3289"/>
      <c r="C31" s="883" t="s">
        <v>584</v>
      </c>
      <c r="D31" s="884"/>
      <c r="E31" s="882">
        <v>0.8</v>
      </c>
      <c r="F31" s="885" t="s">
        <v>585</v>
      </c>
      <c r="G31" s="886"/>
      <c r="H31" s="878"/>
      <c r="I31" s="878"/>
    </row>
    <row r="32" spans="1:9" s="887" customFormat="1" ht="19.5" customHeight="1">
      <c r="A32" s="3289"/>
      <c r="B32" s="3289"/>
      <c r="C32" s="883" t="s">
        <v>586</v>
      </c>
      <c r="D32" s="884"/>
      <c r="E32" s="882">
        <v>0.8</v>
      </c>
      <c r="F32" s="885" t="s">
        <v>587</v>
      </c>
      <c r="G32" s="886"/>
      <c r="H32" s="878"/>
      <c r="I32" s="878"/>
    </row>
    <row r="33" spans="1:9" s="887" customFormat="1" ht="19.5" customHeight="1">
      <c r="A33" s="3289" t="s">
        <v>185</v>
      </c>
      <c r="B33" s="882" t="s">
        <v>560</v>
      </c>
      <c r="C33" s="883" t="s">
        <v>588</v>
      </c>
      <c r="D33" s="884"/>
      <c r="E33" s="882">
        <v>1</v>
      </c>
      <c r="F33" s="885" t="s">
        <v>589</v>
      </c>
      <c r="G33" s="886"/>
      <c r="H33" s="878"/>
      <c r="I33" s="878"/>
    </row>
    <row r="34" spans="1:9" s="887" customFormat="1" ht="19.5" customHeight="1">
      <c r="A34" s="3289"/>
      <c r="B34" s="882" t="s">
        <v>563</v>
      </c>
      <c r="C34" s="883" t="s">
        <v>590</v>
      </c>
      <c r="D34" s="884"/>
      <c r="E34" s="882">
        <v>1.5</v>
      </c>
      <c r="F34" s="885" t="s">
        <v>591</v>
      </c>
      <c r="G34" s="886"/>
      <c r="H34" s="878"/>
      <c r="I34" s="878"/>
    </row>
    <row r="35" spans="1:9" s="887" customFormat="1" ht="19.5" customHeight="1">
      <c r="A35" s="3289" t="s">
        <v>186</v>
      </c>
      <c r="B35" s="882" t="s">
        <v>560</v>
      </c>
      <c r="C35" s="883" t="s">
        <v>592</v>
      </c>
      <c r="D35" s="884"/>
      <c r="E35" s="882">
        <v>1</v>
      </c>
      <c r="F35" s="885" t="s">
        <v>593</v>
      </c>
      <c r="G35" s="886"/>
      <c r="H35" s="878"/>
      <c r="I35" s="878"/>
    </row>
    <row r="36" spans="1:9" s="887" customFormat="1" ht="19.5" customHeight="1">
      <c r="A36" s="3289"/>
      <c r="B36" s="3289" t="s">
        <v>563</v>
      </c>
      <c r="C36" s="883" t="s">
        <v>594</v>
      </c>
      <c r="D36" s="884"/>
      <c r="E36" s="882">
        <v>1</v>
      </c>
      <c r="F36" s="885" t="s">
        <v>595</v>
      </c>
      <c r="G36" s="886"/>
      <c r="H36" s="878"/>
      <c r="I36" s="878"/>
    </row>
    <row r="37" spans="1:9" s="887" customFormat="1" ht="19.5" customHeight="1">
      <c r="A37" s="3289"/>
      <c r="B37" s="3289"/>
      <c r="C37" s="883" t="s">
        <v>596</v>
      </c>
      <c r="D37" s="884"/>
      <c r="E37" s="882">
        <v>1.5</v>
      </c>
      <c r="F37" s="885" t="s">
        <v>597</v>
      </c>
      <c r="G37" s="886"/>
      <c r="H37" s="878"/>
      <c r="I37" s="878"/>
    </row>
    <row r="38" spans="1:9" s="887" customFormat="1" ht="19.5" customHeight="1">
      <c r="A38" s="3289"/>
      <c r="B38" s="3289"/>
      <c r="C38" s="883" t="s">
        <v>598</v>
      </c>
      <c r="D38" s="884"/>
      <c r="E38" s="882">
        <v>1</v>
      </c>
      <c r="F38" s="885" t="s">
        <v>599</v>
      </c>
      <c r="G38" s="886"/>
      <c r="H38" s="878"/>
      <c r="I38" s="878"/>
    </row>
    <row r="39" spans="1:9" s="887" customFormat="1" ht="19.5" customHeight="1">
      <c r="A39" s="3289"/>
      <c r="B39" s="328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9" t="s">
        <v>614</v>
      </c>
      <c r="C61" s="818" t="s">
        <v>615</v>
      </c>
      <c r="D61" s="818" t="s">
        <v>616</v>
      </c>
      <c r="E61" s="895">
        <v>0.5</v>
      </c>
      <c r="F61" s="882">
        <v>80</v>
      </c>
    </row>
    <row r="62" spans="1:8" s="878" customFormat="1" ht="24">
      <c r="A62" s="882">
        <v>2</v>
      </c>
      <c r="B62" s="3289"/>
      <c r="C62" s="818" t="s">
        <v>617</v>
      </c>
      <c r="D62" s="818" t="s">
        <v>618</v>
      </c>
      <c r="E62" s="895">
        <v>0.5</v>
      </c>
      <c r="F62" s="882">
        <v>80</v>
      </c>
    </row>
    <row r="63" spans="1:8" s="878" customFormat="1" ht="36">
      <c r="A63" s="882">
        <v>3</v>
      </c>
      <c r="B63" s="3289"/>
      <c r="C63" s="818" t="s">
        <v>619</v>
      </c>
      <c r="D63" s="818" t="s">
        <v>620</v>
      </c>
      <c r="E63" s="895">
        <v>0.5</v>
      </c>
      <c r="F63" s="882">
        <v>80</v>
      </c>
    </row>
    <row r="64" spans="1:8" s="878" customFormat="1" ht="36">
      <c r="A64" s="882">
        <v>4</v>
      </c>
      <c r="B64" s="3289"/>
      <c r="C64" s="818" t="s">
        <v>621</v>
      </c>
      <c r="D64" s="818" t="s">
        <v>622</v>
      </c>
      <c r="E64" s="895">
        <v>0.4</v>
      </c>
      <c r="F64" s="882">
        <v>60</v>
      </c>
    </row>
    <row r="65" spans="1:6" s="878" customFormat="1" ht="36">
      <c r="A65" s="882">
        <v>5</v>
      </c>
      <c r="B65" s="3289"/>
      <c r="C65" s="818" t="s">
        <v>623</v>
      </c>
      <c r="D65" s="818" t="s">
        <v>624</v>
      </c>
      <c r="E65" s="895">
        <v>0.2</v>
      </c>
      <c r="F65" s="882">
        <v>30</v>
      </c>
    </row>
    <row r="66" spans="1:6" s="878" customFormat="1" ht="36">
      <c r="A66" s="882">
        <v>6</v>
      </c>
      <c r="B66" s="3289"/>
      <c r="C66" s="818" t="s">
        <v>625</v>
      </c>
      <c r="D66" s="818" t="s">
        <v>626</v>
      </c>
      <c r="E66" s="895">
        <v>0.3</v>
      </c>
      <c r="F66" s="882">
        <v>50</v>
      </c>
    </row>
    <row r="67" spans="1:6" s="878" customFormat="1" ht="36">
      <c r="A67" s="882">
        <v>7</v>
      </c>
      <c r="B67" s="3289"/>
      <c r="C67" s="818" t="s">
        <v>627</v>
      </c>
      <c r="D67" s="818" t="s">
        <v>628</v>
      </c>
      <c r="E67" s="895">
        <v>0.2</v>
      </c>
      <c r="F67" s="882">
        <v>30</v>
      </c>
    </row>
    <row r="68" spans="1:6" s="878" customFormat="1" ht="36">
      <c r="A68" s="882">
        <v>8</v>
      </c>
      <c r="B68" s="3289"/>
      <c r="C68" s="818" t="s">
        <v>629</v>
      </c>
      <c r="D68" s="818" t="s">
        <v>630</v>
      </c>
      <c r="E68" s="895">
        <v>0.2</v>
      </c>
      <c r="F68" s="882">
        <v>30</v>
      </c>
    </row>
    <row r="69" spans="1:6" s="878" customFormat="1" ht="36">
      <c r="A69" s="882">
        <v>9</v>
      </c>
      <c r="B69" s="3289"/>
      <c r="C69" s="818" t="s">
        <v>631</v>
      </c>
      <c r="D69" s="818" t="s">
        <v>632</v>
      </c>
      <c r="E69" s="895">
        <v>0.2</v>
      </c>
      <c r="F69" s="882">
        <v>30</v>
      </c>
    </row>
    <row r="70" spans="1:6" s="878" customFormat="1" ht="48">
      <c r="A70" s="882">
        <v>10</v>
      </c>
      <c r="B70" s="3289"/>
      <c r="C70" s="818" t="s">
        <v>633</v>
      </c>
      <c r="D70" s="818" t="s">
        <v>634</v>
      </c>
      <c r="E70" s="895">
        <v>0.2</v>
      </c>
      <c r="F70" s="882">
        <v>30</v>
      </c>
    </row>
    <row r="71" spans="1:6" s="878" customFormat="1" ht="48">
      <c r="A71" s="882">
        <v>11</v>
      </c>
      <c r="B71" s="3289"/>
      <c r="C71" s="818" t="s">
        <v>635</v>
      </c>
      <c r="D71" s="818" t="s">
        <v>636</v>
      </c>
      <c r="E71" s="895">
        <v>0.2</v>
      </c>
      <c r="F71" s="882">
        <v>30</v>
      </c>
    </row>
    <row r="72" spans="1:6" s="878" customFormat="1" ht="36">
      <c r="A72" s="882">
        <v>12</v>
      </c>
      <c r="B72" s="3289"/>
      <c r="C72" s="818" t="s">
        <v>637</v>
      </c>
      <c r="D72" s="818" t="s">
        <v>638</v>
      </c>
      <c r="E72" s="895">
        <v>0.5</v>
      </c>
      <c r="F72" s="882">
        <v>80</v>
      </c>
    </row>
    <row r="73" spans="1:6" s="878" customFormat="1" ht="24">
      <c r="A73" s="882">
        <v>13</v>
      </c>
      <c r="B73" s="3289"/>
      <c r="C73" s="818" t="s">
        <v>639</v>
      </c>
      <c r="D73" s="818" t="s">
        <v>640</v>
      </c>
      <c r="E73" s="895">
        <v>0.4</v>
      </c>
      <c r="F73" s="882">
        <v>60</v>
      </c>
    </row>
    <row r="74" spans="1:6" s="878" customFormat="1" ht="24">
      <c r="A74" s="882">
        <v>14</v>
      </c>
      <c r="B74" s="3289"/>
      <c r="C74" s="818" t="s">
        <v>641</v>
      </c>
      <c r="D74" s="818" t="s">
        <v>642</v>
      </c>
      <c r="E74" s="895">
        <v>0.2</v>
      </c>
      <c r="F74" s="882">
        <v>30</v>
      </c>
    </row>
    <row r="75" spans="1:6" s="878" customFormat="1" ht="24">
      <c r="A75" s="882">
        <v>15</v>
      </c>
      <c r="B75" s="3289"/>
      <c r="C75" s="818" t="s">
        <v>643</v>
      </c>
      <c r="D75" s="818" t="s">
        <v>644</v>
      </c>
      <c r="E75" s="895">
        <v>0.2</v>
      </c>
      <c r="F75" s="882">
        <v>30</v>
      </c>
    </row>
    <row r="76" spans="1:6" s="878" customFormat="1" ht="24">
      <c r="A76" s="882">
        <v>16</v>
      </c>
      <c r="B76" s="3289" t="s">
        <v>645</v>
      </c>
      <c r="C76" s="818" t="s">
        <v>646</v>
      </c>
      <c r="D76" s="818" t="s">
        <v>647</v>
      </c>
      <c r="E76" s="895">
        <v>0.5</v>
      </c>
      <c r="F76" s="882">
        <v>80</v>
      </c>
    </row>
    <row r="77" spans="1:6" s="878" customFormat="1" ht="24">
      <c r="A77" s="882">
        <v>17</v>
      </c>
      <c r="B77" s="3289"/>
      <c r="C77" s="818" t="s">
        <v>648</v>
      </c>
      <c r="D77" s="818" t="s">
        <v>649</v>
      </c>
      <c r="E77" s="895">
        <v>0.5</v>
      </c>
      <c r="F77" s="882">
        <v>80</v>
      </c>
    </row>
    <row r="78" spans="1:6" s="878" customFormat="1" ht="24">
      <c r="A78" s="882">
        <v>18</v>
      </c>
      <c r="B78" s="3289"/>
      <c r="C78" s="818" t="s">
        <v>650</v>
      </c>
      <c r="D78" s="818" t="s">
        <v>651</v>
      </c>
      <c r="E78" s="895">
        <v>0.2</v>
      </c>
      <c r="F78" s="882">
        <v>30</v>
      </c>
    </row>
    <row r="79" spans="1:6" s="878" customFormat="1" ht="24">
      <c r="A79" s="882">
        <v>19</v>
      </c>
      <c r="B79" s="3289"/>
      <c r="C79" s="818" t="s">
        <v>652</v>
      </c>
      <c r="D79" s="818" t="s">
        <v>653</v>
      </c>
      <c r="E79" s="895">
        <v>0.5</v>
      </c>
      <c r="F79" s="882">
        <v>80</v>
      </c>
    </row>
    <row r="80" spans="1:6" s="878" customFormat="1" ht="36">
      <c r="A80" s="882">
        <v>20</v>
      </c>
      <c r="B80" s="3289"/>
      <c r="C80" s="818" t="s">
        <v>654</v>
      </c>
      <c r="D80" s="818" t="s">
        <v>655</v>
      </c>
      <c r="E80" s="895">
        <v>0.2</v>
      </c>
      <c r="F80" s="882">
        <v>30</v>
      </c>
    </row>
    <row r="81" spans="1:6" s="878" customFormat="1" ht="36">
      <c r="A81" s="882">
        <v>21</v>
      </c>
      <c r="B81" s="3289"/>
      <c r="C81" s="818" t="s">
        <v>656</v>
      </c>
      <c r="D81" s="818" t="s">
        <v>657</v>
      </c>
      <c r="E81" s="895">
        <v>0.2</v>
      </c>
      <c r="F81" s="882">
        <v>30</v>
      </c>
    </row>
    <row r="82" spans="1:6" s="878" customFormat="1" ht="48">
      <c r="A82" s="882">
        <v>22</v>
      </c>
      <c r="B82" s="3289"/>
      <c r="C82" s="818" t="s">
        <v>658</v>
      </c>
      <c r="D82" s="818" t="s">
        <v>659</v>
      </c>
      <c r="E82" s="895">
        <v>0.2</v>
      </c>
      <c r="F82" s="882">
        <v>30</v>
      </c>
    </row>
    <row r="83" spans="1:6" s="878" customFormat="1" ht="48">
      <c r="A83" s="882">
        <v>23</v>
      </c>
      <c r="B83" s="3289"/>
      <c r="C83" s="818" t="s">
        <v>660</v>
      </c>
      <c r="D83" s="818" t="s">
        <v>661</v>
      </c>
      <c r="E83" s="895">
        <v>0.2</v>
      </c>
      <c r="F83" s="882">
        <v>30</v>
      </c>
    </row>
    <row r="84" spans="1:6" s="878" customFormat="1" ht="36">
      <c r="A84" s="882">
        <v>24</v>
      </c>
      <c r="B84" s="3289"/>
      <c r="C84" s="818" t="s">
        <v>662</v>
      </c>
      <c r="D84" s="818" t="s">
        <v>663</v>
      </c>
      <c r="E84" s="895">
        <v>0.2</v>
      </c>
      <c r="F84" s="882">
        <v>30</v>
      </c>
    </row>
    <row r="85" spans="1:6" s="878" customFormat="1" ht="36">
      <c r="A85" s="882">
        <v>25</v>
      </c>
      <c r="B85" s="3289"/>
      <c r="C85" s="818" t="s">
        <v>664</v>
      </c>
      <c r="D85" s="818" t="s">
        <v>665</v>
      </c>
      <c r="E85" s="895">
        <v>0.5</v>
      </c>
      <c r="F85" s="882">
        <v>80</v>
      </c>
    </row>
    <row r="86" spans="1:6" s="878" customFormat="1" ht="36">
      <c r="A86" s="882">
        <v>26</v>
      </c>
      <c r="B86" s="3289"/>
      <c r="C86" s="818" t="s">
        <v>666</v>
      </c>
      <c r="D86" s="818" t="s">
        <v>667</v>
      </c>
      <c r="E86" s="895">
        <v>0.2</v>
      </c>
      <c r="F86" s="882">
        <v>30</v>
      </c>
    </row>
    <row r="87" spans="1:6" s="878" customFormat="1" ht="36">
      <c r="A87" s="882">
        <v>27</v>
      </c>
      <c r="B87" s="3289"/>
      <c r="C87" s="818" t="s">
        <v>668</v>
      </c>
      <c r="D87" s="818" t="s">
        <v>669</v>
      </c>
      <c r="E87" s="895">
        <v>0.2</v>
      </c>
      <c r="F87" s="882">
        <v>30</v>
      </c>
    </row>
    <row r="88" spans="1:6" s="878" customFormat="1" ht="36">
      <c r="A88" s="882">
        <v>28</v>
      </c>
      <c r="B88" s="3289"/>
      <c r="C88" s="818" t="s">
        <v>670</v>
      </c>
      <c r="D88" s="818" t="s">
        <v>671</v>
      </c>
      <c r="E88" s="895">
        <v>0.2</v>
      </c>
      <c r="F88" s="882">
        <v>30</v>
      </c>
    </row>
    <row r="89" spans="1:6" s="878" customFormat="1" ht="24">
      <c r="A89" s="882">
        <v>29</v>
      </c>
      <c r="B89" s="3289"/>
      <c r="C89" s="818" t="s">
        <v>672</v>
      </c>
      <c r="D89" s="818" t="s">
        <v>673</v>
      </c>
      <c r="E89" s="895">
        <v>0.2</v>
      </c>
      <c r="F89" s="882">
        <v>30</v>
      </c>
    </row>
    <row r="90" spans="1:6" s="878" customFormat="1" ht="24">
      <c r="A90" s="882">
        <v>30</v>
      </c>
      <c r="B90" s="3289"/>
      <c r="C90" s="818" t="s">
        <v>674</v>
      </c>
      <c r="D90" s="818" t="s">
        <v>675</v>
      </c>
      <c r="E90" s="895">
        <v>0.2</v>
      </c>
      <c r="F90" s="882">
        <v>30</v>
      </c>
    </row>
    <row r="91" spans="1:6" s="878" customFormat="1" ht="36">
      <c r="A91" s="882">
        <v>31</v>
      </c>
      <c r="B91" s="3289"/>
      <c r="C91" s="818" t="s">
        <v>676</v>
      </c>
      <c r="D91" s="818" t="s">
        <v>677</v>
      </c>
      <c r="E91" s="895">
        <v>0.2</v>
      </c>
      <c r="F91" s="882">
        <v>30</v>
      </c>
    </row>
    <row r="92" spans="1:6" s="878" customFormat="1" ht="24">
      <c r="A92" s="882">
        <v>32</v>
      </c>
      <c r="B92" s="3289" t="s">
        <v>678</v>
      </c>
      <c r="C92" s="882" t="s">
        <v>679</v>
      </c>
      <c r="D92" s="818" t="s">
        <v>680</v>
      </c>
      <c r="E92" s="895">
        <v>0.2</v>
      </c>
      <c r="F92" s="882">
        <v>30</v>
      </c>
    </row>
    <row r="93" spans="1:6" s="878" customFormat="1" ht="36">
      <c r="A93" s="882">
        <v>33</v>
      </c>
      <c r="B93" s="3289"/>
      <c r="C93" s="882" t="s">
        <v>681</v>
      </c>
      <c r="D93" s="818" t="s">
        <v>682</v>
      </c>
      <c r="E93" s="895">
        <v>0.2</v>
      </c>
      <c r="F93" s="882">
        <v>30</v>
      </c>
    </row>
    <row r="94" spans="1:6" s="878" customFormat="1" ht="48">
      <c r="A94" s="882">
        <v>34</v>
      </c>
      <c r="B94" s="3289"/>
      <c r="C94" s="882" t="s">
        <v>683</v>
      </c>
      <c r="D94" s="818" t="s">
        <v>684</v>
      </c>
      <c r="E94" s="895">
        <v>0.2</v>
      </c>
      <c r="F94" s="882">
        <v>30</v>
      </c>
    </row>
    <row r="95" spans="1:6" s="878" customFormat="1" ht="36">
      <c r="A95" s="882">
        <v>35</v>
      </c>
      <c r="B95" s="3289"/>
      <c r="C95" s="882" t="s">
        <v>685</v>
      </c>
      <c r="D95" s="818" t="s">
        <v>686</v>
      </c>
      <c r="E95" s="895">
        <v>0.2</v>
      </c>
      <c r="F95" s="882">
        <v>30</v>
      </c>
    </row>
    <row r="96" spans="1:6" s="878" customFormat="1" ht="48">
      <c r="A96" s="882">
        <v>36</v>
      </c>
      <c r="B96" s="3289"/>
      <c r="C96" s="818" t="s">
        <v>687</v>
      </c>
      <c r="D96" s="818" t="s">
        <v>688</v>
      </c>
      <c r="E96" s="895">
        <v>0.2</v>
      </c>
      <c r="F96" s="882">
        <v>30</v>
      </c>
    </row>
    <row r="97" spans="1:6" s="878" customFormat="1" ht="36">
      <c r="A97" s="882">
        <v>37</v>
      </c>
      <c r="B97" s="3289"/>
      <c r="C97" s="882" t="s">
        <v>689</v>
      </c>
      <c r="D97" s="818" t="s">
        <v>690</v>
      </c>
      <c r="E97" s="895">
        <v>0.2</v>
      </c>
      <c r="F97" s="882">
        <v>30</v>
      </c>
    </row>
    <row r="98" spans="1:6" s="878" customFormat="1" ht="36">
      <c r="A98" s="882">
        <v>38</v>
      </c>
      <c r="B98" s="3289"/>
      <c r="C98" s="882" t="s">
        <v>691</v>
      </c>
      <c r="D98" s="818" t="s">
        <v>692</v>
      </c>
      <c r="E98" s="895">
        <v>0.2</v>
      </c>
      <c r="F98" s="882">
        <v>30</v>
      </c>
    </row>
    <row r="99" spans="1:6" s="878" customFormat="1" ht="36">
      <c r="A99" s="882">
        <v>39</v>
      </c>
      <c r="B99" s="3289" t="s">
        <v>693</v>
      </c>
      <c r="C99" s="882" t="s">
        <v>694</v>
      </c>
      <c r="D99" s="818" t="s">
        <v>695</v>
      </c>
      <c r="E99" s="895">
        <v>0.3</v>
      </c>
      <c r="F99" s="882">
        <v>50</v>
      </c>
    </row>
    <row r="100" spans="1:6" s="878" customFormat="1" ht="24">
      <c r="A100" s="882">
        <v>40</v>
      </c>
      <c r="B100" s="3289"/>
      <c r="C100" s="882" t="s">
        <v>696</v>
      </c>
      <c r="D100" s="818" t="s">
        <v>697</v>
      </c>
      <c r="E100" s="895">
        <v>0.2</v>
      </c>
      <c r="F100" s="882">
        <v>30</v>
      </c>
    </row>
    <row r="101" spans="1:6" s="878" customFormat="1" ht="36">
      <c r="A101" s="882">
        <v>41</v>
      </c>
      <c r="B101" s="328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9" t="s">
        <v>708</v>
      </c>
      <c r="C105" s="882" t="s">
        <v>709</v>
      </c>
      <c r="D105" s="818" t="s">
        <v>710</v>
      </c>
      <c r="E105" s="895">
        <v>0.2</v>
      </c>
      <c r="F105" s="882">
        <v>30</v>
      </c>
    </row>
    <row r="106" spans="1:6" s="878" customFormat="1" ht="36">
      <c r="A106" s="882">
        <v>46</v>
      </c>
      <c r="B106" s="3289"/>
      <c r="C106" s="882" t="s">
        <v>711</v>
      </c>
      <c r="D106" s="818" t="s">
        <v>712</v>
      </c>
      <c r="E106" s="895">
        <v>0.2</v>
      </c>
      <c r="F106" s="882">
        <v>30</v>
      </c>
    </row>
    <row r="107" spans="1:6" s="878" customFormat="1" ht="36">
      <c r="A107" s="882">
        <v>47</v>
      </c>
      <c r="B107" s="3289" t="s">
        <v>713</v>
      </c>
      <c r="C107" s="882" t="s">
        <v>714</v>
      </c>
      <c r="D107" s="818" t="s">
        <v>715</v>
      </c>
      <c r="E107" s="895">
        <v>0.3</v>
      </c>
      <c r="F107" s="882">
        <v>50</v>
      </c>
    </row>
    <row r="108" spans="1:6" s="878" customFormat="1" ht="36">
      <c r="A108" s="882">
        <v>48</v>
      </c>
      <c r="B108" s="328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9" t="s">
        <v>724</v>
      </c>
      <c r="C111" s="882" t="s">
        <v>725</v>
      </c>
      <c r="D111" s="818" t="s">
        <v>726</v>
      </c>
      <c r="E111" s="895">
        <v>0.2</v>
      </c>
      <c r="F111" s="882">
        <v>30</v>
      </c>
    </row>
    <row r="112" spans="1:6" s="878" customFormat="1" ht="24">
      <c r="A112" s="882">
        <v>52</v>
      </c>
      <c r="B112" s="3289"/>
      <c r="C112" s="882" t="s">
        <v>727</v>
      </c>
      <c r="D112" s="818" t="s">
        <v>728</v>
      </c>
      <c r="E112" s="895">
        <v>0.2</v>
      </c>
      <c r="F112" s="882">
        <v>30</v>
      </c>
    </row>
    <row r="113" spans="1:6" s="878" customFormat="1" ht="24">
      <c r="A113" s="882">
        <v>53</v>
      </c>
      <c r="B113" s="328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9" t="s">
        <v>737</v>
      </c>
      <c r="C116" s="882" t="s">
        <v>738</v>
      </c>
      <c r="D116" s="818" t="s">
        <v>739</v>
      </c>
      <c r="E116" s="895">
        <v>0.2</v>
      </c>
      <c r="F116" s="882">
        <v>30</v>
      </c>
    </row>
    <row r="117" spans="1:6" ht="36">
      <c r="A117" s="882">
        <v>57</v>
      </c>
      <c r="B117" s="328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13" sqref="H13:L1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7" t="s">
        <v>2988</v>
      </c>
    </row>
    <row r="2" spans="1:5" ht="15.75">
      <c r="A2" s="2896" t="s">
        <v>2980</v>
      </c>
      <c r="B2" s="2897" t="e">
        <f ca="1">SUMIF(B6:B13,"&lt;&gt;#ref!",B6:B13)</f>
        <v>#DIV/0!</v>
      </c>
      <c r="C2" s="2896" t="s">
        <v>2981</v>
      </c>
      <c r="D2" s="2896" t="s">
        <v>2982</v>
      </c>
      <c r="E2" s="2897">
        <f ca="1">SUMIF(E6:E13,"&lt;&gt;#ref!",E6:E13)</f>
        <v>0</v>
      </c>
    </row>
    <row r="3" spans="1:5" ht="15.75">
      <c r="A3" s="2896" t="s">
        <v>2983</v>
      </c>
      <c r="B3" s="2897" t="e">
        <f ca="1">ROUND(B2*10000/E2,0)</f>
        <v>#DIV/0!</v>
      </c>
      <c r="C3" s="2896" t="s">
        <v>2989</v>
      </c>
      <c r="D3" s="2898"/>
      <c r="E3" s="2898"/>
    </row>
    <row r="4" spans="1:5" ht="15.75">
      <c r="A4" s="2899"/>
      <c r="B4" s="2898"/>
      <c r="C4" s="2898"/>
      <c r="D4" s="2898"/>
      <c r="E4" s="2898"/>
    </row>
    <row r="5" spans="1:5" ht="28.5">
      <c r="A5" s="2900" t="s">
        <v>2984</v>
      </c>
      <c r="B5" s="2896" t="s">
        <v>2985</v>
      </c>
      <c r="C5" s="2897"/>
      <c r="D5" s="2898"/>
      <c r="E5" s="2896" t="s">
        <v>2986</v>
      </c>
    </row>
    <row r="6" spans="1:5" ht="15.75">
      <c r="A6" s="2901" t="s">
        <v>2987</v>
      </c>
      <c r="B6" s="2897" t="e">
        <f ca="1">SUMIF(INDIRECT("'"&amp;A6&amp;"'"&amp;"!A:A"),"总价",INDIRECT("'"&amp;A6&amp;"'"&amp;"!B:B"))</f>
        <v>#DIV/0!</v>
      </c>
      <c r="C6" s="2896" t="s">
        <v>2981</v>
      </c>
      <c r="D6" s="2898"/>
      <c r="E6" s="2571">
        <f ca="1">SUMIF(INDIRECT("'"&amp;A6&amp;"'"&amp;"!C:C"),"建筑面积",INDIRECT("'"&amp;A6&amp;"'"&amp;"!D:D"))</f>
        <v>0</v>
      </c>
    </row>
    <row r="7" spans="1:5" ht="15.75">
      <c r="A7" s="2901"/>
      <c r="B7" s="2897" t="e">
        <f ca="1">SUMIF(INDIRECT("'"&amp;A7&amp;"'"&amp;"!A:A"),"总价",INDIRECT("'"&amp;A7&amp;"'"&amp;"!B:B"))</f>
        <v>#REF!</v>
      </c>
      <c r="C7" s="2896" t="s">
        <v>2981</v>
      </c>
      <c r="D7" s="2898"/>
      <c r="E7" s="2571" t="e">
        <f t="shared" ref="E7:E13" ca="1" si="0">SUMIF(INDIRECT("'"&amp;A7&amp;"'"&amp;"!C:C"),"建筑面积",INDIRECT("'"&amp;A7&amp;"'"&amp;"!D:D"))</f>
        <v>#REF!</v>
      </c>
    </row>
    <row r="8" spans="1:5" ht="15.75">
      <c r="A8" s="2901"/>
      <c r="B8" s="2897" t="e">
        <f t="shared" ref="B8:B13" ca="1" si="1">SUMIF(INDIRECT("'"&amp;A8&amp;"'"&amp;"!A:A"),"总价",INDIRECT("'"&amp;A8&amp;"'"&amp;"!B:B"))</f>
        <v>#REF!</v>
      </c>
      <c r="C8" s="2896" t="s">
        <v>2981</v>
      </c>
      <c r="D8" s="2898"/>
      <c r="E8" s="2571" t="e">
        <f t="shared" ca="1" si="0"/>
        <v>#REF!</v>
      </c>
    </row>
    <row r="9" spans="1:5" ht="15.75">
      <c r="A9" s="2901"/>
      <c r="B9" s="2897" t="e">
        <f t="shared" ca="1" si="1"/>
        <v>#REF!</v>
      </c>
      <c r="C9" s="2896" t="s">
        <v>2981</v>
      </c>
      <c r="D9" s="2898"/>
      <c r="E9" s="2571" t="e">
        <f t="shared" ca="1" si="0"/>
        <v>#REF!</v>
      </c>
    </row>
    <row r="10" spans="1:5" ht="15.75">
      <c r="A10" s="2901"/>
      <c r="B10" s="2897" t="e">
        <f t="shared" ca="1" si="1"/>
        <v>#REF!</v>
      </c>
      <c r="C10" s="2896" t="s">
        <v>2981</v>
      </c>
      <c r="D10" s="2898"/>
      <c r="E10" s="2571" t="e">
        <f t="shared" ca="1" si="0"/>
        <v>#REF!</v>
      </c>
    </row>
    <row r="11" spans="1:5" ht="15.75">
      <c r="A11" s="2901"/>
      <c r="B11" s="2897" t="e">
        <f t="shared" ca="1" si="1"/>
        <v>#REF!</v>
      </c>
      <c r="C11" s="2896" t="s">
        <v>2981</v>
      </c>
      <c r="D11" s="2898"/>
      <c r="E11" s="2571" t="e">
        <f t="shared" ca="1" si="0"/>
        <v>#REF!</v>
      </c>
    </row>
    <row r="12" spans="1:5" ht="15.75">
      <c r="A12" s="2901"/>
      <c r="B12" s="2897" t="e">
        <f t="shared" ca="1" si="1"/>
        <v>#REF!</v>
      </c>
      <c r="C12" s="2896" t="s">
        <v>2981</v>
      </c>
      <c r="D12" s="2898"/>
      <c r="E12" s="2571" t="e">
        <f t="shared" ca="1" si="0"/>
        <v>#REF!</v>
      </c>
    </row>
    <row r="13" spans="1:5" ht="15.75">
      <c r="A13" s="2901"/>
      <c r="B13" s="2897" t="e">
        <f t="shared" ca="1" si="1"/>
        <v>#REF!</v>
      </c>
      <c r="C13" s="2896" t="s">
        <v>2981</v>
      </c>
      <c r="D13" s="289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5" t="s">
        <v>1146</v>
      </c>
      <c r="C1" s="3295"/>
      <c r="D1" s="3295"/>
      <c r="E1" s="3295"/>
      <c r="F1" s="3295"/>
      <c r="G1" s="3291" t="s">
        <v>1147</v>
      </c>
      <c r="H1" s="3291"/>
      <c r="I1" s="3291"/>
      <c r="J1" s="3291"/>
      <c r="K1" s="3291"/>
      <c r="L1" s="3291"/>
      <c r="N1" s="3291" t="s">
        <v>1148</v>
      </c>
      <c r="O1" s="3291"/>
      <c r="P1" s="3291"/>
      <c r="Q1" s="3291"/>
      <c r="R1" s="1446"/>
      <c r="S1" s="3291" t="s">
        <v>1149</v>
      </c>
      <c r="T1" s="3291"/>
      <c r="U1" s="3291"/>
      <c r="V1" s="3291"/>
      <c r="X1" s="3290" t="s">
        <v>1150</v>
      </c>
      <c r="Y1" s="3291"/>
      <c r="Z1" s="3291"/>
      <c r="AA1" s="3291"/>
      <c r="AB1" s="3291"/>
      <c r="AD1" s="3290" t="s">
        <v>1151</v>
      </c>
      <c r="AE1" s="3291"/>
      <c r="AF1" s="3291"/>
      <c r="AG1" s="3291"/>
      <c r="AH1" s="3291"/>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2" customFormat="1" ht="14.25">
      <c r="A3" s="2921" t="s">
        <v>3023</v>
      </c>
      <c r="B3" s="2913"/>
      <c r="C3" s="2913"/>
      <c r="D3" s="2914"/>
      <c r="E3" s="2914"/>
      <c r="F3" s="2913"/>
      <c r="G3" s="2915"/>
      <c r="H3" s="2916"/>
      <c r="I3" s="2917">
        <f>ROUND(AVERAGE($I4:$I28),2)</f>
        <v>1.96</v>
      </c>
      <c r="J3" s="2917">
        <f>ROUND(AVERAGE($J4:$J28),2)</f>
        <v>1.38</v>
      </c>
      <c r="K3" s="2917">
        <f>ROUND(AVERAGE($K4:$K28),2)</f>
        <v>2.14</v>
      </c>
      <c r="L3" s="2917">
        <f>ROUND(AVERAGE($L4:$L28),2)</f>
        <v>1.34</v>
      </c>
      <c r="N3" s="2915"/>
      <c r="O3" s="2918"/>
      <c r="P3" s="2918"/>
      <c r="Q3" s="2918"/>
      <c r="R3" s="2918"/>
      <c r="S3" s="2915"/>
      <c r="T3" s="2918"/>
      <c r="U3" s="2918"/>
      <c r="V3" s="2918"/>
      <c r="W3" s="2910"/>
      <c r="X3" s="2919">
        <f>ROUND(SUMPRODUCT(PRODUCT(1+N3:N$27)),4)</f>
        <v>1.5422</v>
      </c>
      <c r="Y3" s="2919">
        <f>ROUND(SUMPRODUCT(PRODUCT(1+O3:O$27)),4)</f>
        <v>1.3557999999999999</v>
      </c>
      <c r="Z3" s="2919">
        <f t="shared" ref="Z3:Z25" si="0">Y3</f>
        <v>1.3557999999999999</v>
      </c>
      <c r="AA3" s="2919">
        <f>ROUND(SUMPRODUCT(PRODUCT(1+P3:P$27)),4)</f>
        <v>1.6036999999999999</v>
      </c>
      <c r="AB3" s="2919">
        <f>ROUND(SUMPRODUCT(PRODUCT(1+Q3:Q$27)),4)</f>
        <v>1.3573</v>
      </c>
      <c r="AD3" s="2920">
        <f>ROUND(AVERAGE(I3:I$28)/100,4)</f>
        <v>1.9599999999999999E-2</v>
      </c>
      <c r="AE3" s="2920">
        <f>ROUND(AVERAGE(J3:J$28)/100,4)</f>
        <v>1.38E-2</v>
      </c>
      <c r="AF3" s="2920">
        <f t="shared" ref="AF3:AF26" si="1">AE3</f>
        <v>1.38E-2</v>
      </c>
      <c r="AG3" s="2920">
        <f>ROUND(AVERAGE(K3:K$28)/100,4)</f>
        <v>2.1399999999999999E-2</v>
      </c>
      <c r="AH3" s="2920">
        <f>ROUND(AVERAGE(L3:L$28)/100,4)</f>
        <v>1.34E-2</v>
      </c>
    </row>
    <row r="4" spans="1:34" s="1453" customFormat="1" ht="14.25">
      <c r="B4" s="1454"/>
      <c r="C4" s="1454"/>
      <c r="D4" s="1455"/>
      <c r="E4" s="1455"/>
      <c r="F4" s="1454"/>
      <c r="G4" s="1456"/>
      <c r="H4" s="1457"/>
      <c r="I4" s="2907"/>
      <c r="J4" s="2907"/>
      <c r="K4" s="2907"/>
      <c r="L4" s="2907"/>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3042</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7">
        <v>2019</v>
      </c>
      <c r="H5" s="1729">
        <v>4</v>
      </c>
      <c r="I5" s="2908">
        <v>0</v>
      </c>
      <c r="J5" s="2908">
        <v>0</v>
      </c>
      <c r="K5" s="2908">
        <v>0</v>
      </c>
      <c r="L5" s="2908">
        <v>0</v>
      </c>
      <c r="N5" s="1467">
        <f t="shared" ref="N5:N10" si="7">I5/100</f>
        <v>0</v>
      </c>
      <c r="O5" s="1467">
        <f t="shared" ref="O5" si="8">J5/100</f>
        <v>0</v>
      </c>
      <c r="P5" s="1467">
        <f t="shared" ref="P5" si="9">K5/100</f>
        <v>0</v>
      </c>
      <c r="Q5" s="1467">
        <f t="shared" ref="Q5" si="10">L5/100</f>
        <v>0</v>
      </c>
      <c r="R5" s="1731"/>
      <c r="S5" s="1732"/>
      <c r="T5" s="1731"/>
      <c r="U5" s="1731"/>
      <c r="V5" s="1731"/>
      <c r="W5" s="2911" t="s">
        <v>3024</v>
      </c>
      <c r="X5" s="1725">
        <f>ROUND(IF(项目基本情况!B7="出让",SUMPRODUCT(PRODUCT(1+N5:N$28)),SUMPRODUCT(PRODUCT(1+N5:N$27))),4)</f>
        <v>1.5422</v>
      </c>
      <c r="Y5" s="1725">
        <f>ROUND(IF(项目基本情况!B7="出让",SUMPRODUCT(PRODUCT(1+O5:O$28)),SUMPRODUCT(PRODUCT(1+O5:O$27))),4)</f>
        <v>1.3557999999999999</v>
      </c>
      <c r="Z5" s="1725">
        <f t="shared" ref="Z5" si="11">Y5</f>
        <v>1.3557999999999999</v>
      </c>
      <c r="AA5" s="1725">
        <f>ROUND(IF(项目基本情况!B7="出让",SUMPRODUCT(PRODUCT(1+P5:P$28)),SUMPRODUCT(PRODUCT(1+P5:P$27))),4)</f>
        <v>1.6036999999999999</v>
      </c>
      <c r="AB5" s="1725">
        <f>ROUND(IF(项目基本情况!B7="出让",SUMPRODUCT(PRODUCT(1+Q5:Q$28)),SUMPRODUCT(PRODUCT(1+Q5:Q$27))),4)</f>
        <v>1.3573</v>
      </c>
      <c r="AD5" s="1468">
        <f>ROUND(AVERAGE(I5:I$28)/100,4)</f>
        <v>1.9599999999999999E-2</v>
      </c>
      <c r="AE5" s="1468">
        <f>ROUND(AVERAGE(J5:J$28)/100,4)</f>
        <v>1.38E-2</v>
      </c>
      <c r="AF5" s="1468">
        <f t="shared" ref="AF5" si="12">AE5</f>
        <v>1.38E-2</v>
      </c>
      <c r="AG5" s="1468">
        <f>ROUND(AVERAGE(K5:K$28)/100,4)</f>
        <v>2.1399999999999999E-2</v>
      </c>
      <c r="AH5" s="1468">
        <f>ROUND(AVERAGE(L5:L$28)/100,4)</f>
        <v>1.34E-2</v>
      </c>
    </row>
    <row r="6" spans="1:34" s="1466" customFormat="1" ht="13.5" thickBot="1">
      <c r="A6" s="1461" t="s">
        <v>3041</v>
      </c>
      <c r="B6" s="1477">
        <f t="shared" ref="B6" si="13">B7*(1+N6)</f>
        <v>474.30670301923408</v>
      </c>
      <c r="C6" s="1477">
        <f t="shared" ref="C6" si="14">C7*(1+O6)</f>
        <v>349.50705005996491</v>
      </c>
      <c r="D6" s="1477">
        <f t="shared" ref="D6" si="15">C6</f>
        <v>349.50705005996491</v>
      </c>
      <c r="E6" s="1477">
        <f t="shared" ref="E6" si="16">E7*(1+P6)</f>
        <v>678.22831959706957</v>
      </c>
      <c r="F6" s="1477">
        <f t="shared" ref="F6" si="17">F7*(1+Q6)</f>
        <v>312.0556832169558</v>
      </c>
      <c r="G6" s="2947">
        <v>2019</v>
      </c>
      <c r="H6" s="1462">
        <v>3</v>
      </c>
      <c r="I6" s="2945">
        <v>0</v>
      </c>
      <c r="J6" s="2945">
        <v>0</v>
      </c>
      <c r="K6" s="2945">
        <v>0</v>
      </c>
      <c r="L6" s="2946">
        <v>0</v>
      </c>
      <c r="M6" s="1471"/>
      <c r="N6" s="1472">
        <f t="shared" si="7"/>
        <v>0</v>
      </c>
      <c r="O6" s="1473">
        <f t="shared" ref="O6" si="18">J6/100</f>
        <v>0</v>
      </c>
      <c r="P6" s="1473">
        <f t="shared" ref="P6" si="19">K6/100</f>
        <v>0</v>
      </c>
      <c r="Q6" s="1473">
        <f t="shared" ref="Q6" si="20">L6/100</f>
        <v>0</v>
      </c>
      <c r="R6" s="1474"/>
      <c r="S6" s="1472"/>
      <c r="T6" s="1473"/>
      <c r="U6" s="1473"/>
      <c r="V6" s="1473"/>
      <c r="W6" s="1789"/>
      <c r="X6" s="1787">
        <f>ROUND(IF(项目基本情况!B8="出让",SUMPRODUCT(PRODUCT(1+N6:N$28)),SUMPRODUCT(PRODUCT(1+N6:N$27))),4)</f>
        <v>1.5422</v>
      </c>
      <c r="Y6" s="1787">
        <f>ROUND(IF(项目基本情况!B8="出让",SUMPRODUCT(PRODUCT(1+O6:O$28)),SUMPRODUCT(PRODUCT(1+O6:O$27))),4)</f>
        <v>1.3557999999999999</v>
      </c>
      <c r="Z6" s="1787">
        <f t="shared" ref="Z6" si="21">Y6</f>
        <v>1.3557999999999999</v>
      </c>
      <c r="AA6" s="1787">
        <f>ROUND(IF(项目基本情况!B8="出让",SUMPRODUCT(PRODUCT(1+P6:P$28)),SUMPRODUCT(PRODUCT(1+P6:P$27))),4)</f>
        <v>1.6036999999999999</v>
      </c>
      <c r="AB6" s="1787">
        <f>ROUND(IF(项目基本情况!B8="出让",SUMPRODUCT(PRODUCT(1+Q6:Q$28)),SUMPRODUCT(PRODUCT(1+Q6:Q$27))),4)</f>
        <v>1.3573</v>
      </c>
      <c r="AC6" s="1789"/>
      <c r="AD6" s="1788">
        <f>ROUND(AVERAGE(I6:I$28)/100,4)</f>
        <v>2.0400000000000001E-2</v>
      </c>
      <c r="AE6" s="1788">
        <f>ROUND(AVERAGE(J6:J$28)/100,4)</f>
        <v>1.44E-2</v>
      </c>
      <c r="AF6" s="1788">
        <f t="shared" ref="AF6" si="22">AE6</f>
        <v>1.44E-2</v>
      </c>
      <c r="AG6" s="1788">
        <f>ROUND(AVERAGE(K6:K$28)/100,4)</f>
        <v>2.23E-2</v>
      </c>
      <c r="AH6" s="1788">
        <f>ROUND(AVERAGE(L6:L$28)/100,4)</f>
        <v>1.4E-2</v>
      </c>
    </row>
    <row r="7" spans="1:34" s="1466" customFormat="1">
      <c r="A7" s="1461" t="s">
        <v>3039</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1">
        <v>2019</v>
      </c>
      <c r="H7" s="1462">
        <v>2</v>
      </c>
      <c r="I7" s="2945">
        <v>1.53</v>
      </c>
      <c r="J7" s="2945">
        <v>1.01</v>
      </c>
      <c r="K7" s="2945">
        <v>1.62</v>
      </c>
      <c r="L7" s="2946">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89"/>
      <c r="X7" s="1787">
        <f>ROUND(IF(项目基本情况!B8="出让",SUMPRODUCT(PRODUCT(1+N7:N$28)),SUMPRODUCT(PRODUCT(1+N7:N$27))),4)</f>
        <v>1.5422</v>
      </c>
      <c r="Y7" s="1787">
        <f>ROUND(IF(项目基本情况!B8="出让",SUMPRODUCT(PRODUCT(1+O7:O$28)),SUMPRODUCT(PRODUCT(1+O7:O$27))),4)</f>
        <v>1.3557999999999999</v>
      </c>
      <c r="Z7" s="1787">
        <f t="shared" ref="Z7" si="31">Y7</f>
        <v>1.3557999999999999</v>
      </c>
      <c r="AA7" s="1787">
        <f>ROUND(IF(项目基本情况!B8="出让",SUMPRODUCT(PRODUCT(1+P7:P$28)),SUMPRODUCT(PRODUCT(1+P7:P$27))),4)</f>
        <v>1.6036999999999999</v>
      </c>
      <c r="AB7" s="1787">
        <f>ROUND(IF(项目基本情况!B8="出让",SUMPRODUCT(PRODUCT(1+Q7:Q$28)),SUMPRODUCT(PRODUCT(1+Q7:Q$27))),4)</f>
        <v>1.3573</v>
      </c>
      <c r="AC7" s="1789"/>
      <c r="AD7" s="1788">
        <f>ROUND(AVERAGE(I7:I$28)/100,4)</f>
        <v>2.1299999999999999E-2</v>
      </c>
      <c r="AE7" s="1788">
        <f>ROUND(AVERAGE(J7:J$28)/100,4)</f>
        <v>1.4999999999999999E-2</v>
      </c>
      <c r="AF7" s="1788">
        <f t="shared" ref="AF7" si="32">AE7</f>
        <v>1.4999999999999999E-2</v>
      </c>
      <c r="AG7" s="1788">
        <f>ROUND(AVERAGE(K7:K$28)/100,4)</f>
        <v>2.3300000000000001E-2</v>
      </c>
      <c r="AH7" s="1788">
        <f>ROUND(AVERAGE(L7:L$28)/100,4)</f>
        <v>1.46E-2</v>
      </c>
    </row>
    <row r="8" spans="1:34" s="1466" customFormat="1" ht="13.5" thickBot="1">
      <c r="A8" s="1461" t="s">
        <v>3036</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25">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89"/>
      <c r="X8" s="1787">
        <f>ROUND(IF(项目基本情况!B8="出让",SUMPRODUCT(PRODUCT(1+N8:N$28)),SUMPRODUCT(PRODUCT(1+N8:N$27))),4)</f>
        <v>1.5189999999999999</v>
      </c>
      <c r="Y8" s="1787">
        <f>ROUND(IF(项目基本情况!B8="出让",SUMPRODUCT(PRODUCT(1+O8:O$28)),SUMPRODUCT(PRODUCT(1+O8:O$27))),4)</f>
        <v>1.3423</v>
      </c>
      <c r="Z8" s="1787">
        <f t="shared" ref="Z8" si="44">Y8</f>
        <v>1.3423</v>
      </c>
      <c r="AA8" s="1787">
        <f>ROUND(IF(项目基本情况!B8="出让",SUMPRODUCT(PRODUCT(1+P8:P$28)),SUMPRODUCT(PRODUCT(1+P8:P$27))),4)</f>
        <v>1.5782</v>
      </c>
      <c r="AB8" s="1787">
        <f>ROUND(IF(项目基本情况!B8="出让",SUMPRODUCT(PRODUCT(1+Q8:Q$28)),SUMPRODUCT(PRODUCT(1+Q8:Q$27))),4)</f>
        <v>1.3405</v>
      </c>
      <c r="AC8" s="1789"/>
      <c r="AD8" s="1788">
        <f>ROUND(AVERAGE(I8:I$28)/100,4)</f>
        <v>2.1600000000000001E-2</v>
      </c>
      <c r="AE8" s="1788">
        <f>ROUND(AVERAGE(J8:J$28)/100,4)</f>
        <v>1.5299999999999999E-2</v>
      </c>
      <c r="AF8" s="1788">
        <f t="shared" ref="AF8" si="45">AE8</f>
        <v>1.5299999999999999E-2</v>
      </c>
      <c r="AG8" s="1788">
        <f>ROUND(AVERAGE(K8:K$28)/100,4)</f>
        <v>2.3699999999999999E-2</v>
      </c>
      <c r="AH8" s="1788">
        <f>ROUND(AVERAGE(L8:L$28)/100,4)</f>
        <v>1.47E-2</v>
      </c>
    </row>
    <row r="9" spans="1:34" s="1466" customFormat="1">
      <c r="A9" s="1461" t="s">
        <v>3040</v>
      </c>
      <c r="B9" s="2942">
        <f t="shared" ref="B9" si="46">B10*(1+N9)</f>
        <v>464.37293017158942</v>
      </c>
      <c r="C9" s="2942">
        <f t="shared" ref="C9" si="47">C10*(1+O9)</f>
        <v>344.73679941385956</v>
      </c>
      <c r="D9" s="2942">
        <f t="shared" ref="D9" si="48">C9</f>
        <v>344.73679941385956</v>
      </c>
      <c r="E9" s="2942">
        <f t="shared" ref="E9" si="49">E10*(1+P9)</f>
        <v>663.2377795103107</v>
      </c>
      <c r="F9" s="2943">
        <f t="shared" ref="F9" si="50">F10*(1+Q9)</f>
        <v>304.75936311478398</v>
      </c>
      <c r="G9" s="3293">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89"/>
      <c r="X9" s="1787">
        <f>ROUND(SUMPRODUCT(PRODUCT(1+N9:N$27)),4)</f>
        <v>1.5099</v>
      </c>
      <c r="Y9" s="1787">
        <f>ROUND(SUMPRODUCT(PRODUCT(1+O9:O$27)),4)</f>
        <v>1.3372999999999999</v>
      </c>
      <c r="Z9" s="1787">
        <f t="shared" ref="Z9" si="54">Y9</f>
        <v>1.3372999999999999</v>
      </c>
      <c r="AA9" s="1787">
        <f>ROUND(SUMPRODUCT(PRODUCT(1+P9:P$27)),4)</f>
        <v>1.5683</v>
      </c>
      <c r="AB9" s="1787">
        <f>ROUND(SUMPRODUCT(PRODUCT(1+Q9:Q$27)),4)</f>
        <v>1.3255999999999999</v>
      </c>
      <c r="AC9" s="1789"/>
      <c r="AD9" s="1788">
        <f>ROUND(AVERAGE(I9:I$28)/100,4)</f>
        <v>2.24E-2</v>
      </c>
      <c r="AE9" s="1788">
        <f>ROUND(AVERAGE(J9:J$28)/100,4)</f>
        <v>1.5800000000000002E-2</v>
      </c>
      <c r="AF9" s="1788">
        <f t="shared" ref="AF9" si="55">AE9</f>
        <v>1.5800000000000002E-2</v>
      </c>
      <c r="AG9" s="1788">
        <f>ROUND(AVERAGE(K9:K$28)/100,4)</f>
        <v>2.4500000000000001E-2</v>
      </c>
      <c r="AH9" s="1788">
        <f>ROUND(AVERAGE(L9:L$28)/100,4)</f>
        <v>1.49E-2</v>
      </c>
    </row>
    <row r="10" spans="1:34" s="1466" customFormat="1" ht="14.45" customHeight="1">
      <c r="A10" s="1461" t="s">
        <v>3030</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93"/>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89"/>
      <c r="X10" s="1787">
        <f>ROUND(SUMPRODUCT(PRODUCT(1+N10:N$27)),4)</f>
        <v>1.4956</v>
      </c>
      <c r="Y10" s="1787">
        <f>ROUND(SUMPRODUCT(PRODUCT(1+O10:O$27)),4)</f>
        <v>1.3237000000000001</v>
      </c>
      <c r="Z10" s="1787">
        <f t="shared" ref="Z10" si="64">Y10</f>
        <v>1.3237000000000001</v>
      </c>
      <c r="AA10" s="1787">
        <f>ROUND(SUMPRODUCT(PRODUCT(1+P10:P$27)),4)</f>
        <v>1.554</v>
      </c>
      <c r="AB10" s="1787">
        <f>ROUND(SUMPRODUCT(PRODUCT(1+Q10:Q$27)),4)</f>
        <v>1.3087</v>
      </c>
      <c r="AC10" s="1789"/>
      <c r="AD10" s="1788">
        <f>ROUND(AVERAGE(I10:I$28)/100,4)</f>
        <v>2.3099999999999999E-2</v>
      </c>
      <c r="AE10" s="1788">
        <f>ROUND(AVERAGE(J10:J$28)/100,4)</f>
        <v>1.61E-2</v>
      </c>
      <c r="AF10" s="1788">
        <f t="shared" ref="AF10" si="65">AE10</f>
        <v>1.61E-2</v>
      </c>
      <c r="AG10" s="1788">
        <f>ROUND(AVERAGE(K10:K$28)/100,4)</f>
        <v>2.53E-2</v>
      </c>
      <c r="AH10" s="1788">
        <f>ROUND(AVERAGE(L10:L$28)/100,4)</f>
        <v>1.4999999999999999E-2</v>
      </c>
    </row>
    <row r="11" spans="1:34" s="1466" customFormat="1" ht="14.45" customHeight="1">
      <c r="A11" s="1461" t="s">
        <v>3029</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93"/>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89"/>
      <c r="X11" s="1787">
        <f>ROUND(SUMPRODUCT(PRODUCT(1+N11:N$27)),4)</f>
        <v>1.4733000000000001</v>
      </c>
      <c r="Y11" s="1787">
        <f>ROUND(SUMPRODUCT(PRODUCT(1+O11:O$27)),4)</f>
        <v>1.3052999999999999</v>
      </c>
      <c r="Z11" s="1787">
        <f t="shared" ref="Z11" si="75">Y11</f>
        <v>1.3052999999999999</v>
      </c>
      <c r="AA11" s="1787">
        <f>ROUND(SUMPRODUCT(PRODUCT(1+P11:P$27)),4)</f>
        <v>1.5306999999999999</v>
      </c>
      <c r="AB11" s="1787">
        <f>ROUND(SUMPRODUCT(PRODUCT(1+Q11:Q$27)),4)</f>
        <v>1.2863</v>
      </c>
      <c r="AC11" s="1789"/>
      <c r="AD11" s="1788">
        <f>ROUND(AVERAGE(I11:I$28)/100,4)</f>
        <v>2.35E-2</v>
      </c>
      <c r="AE11" s="1788">
        <f>ROUND(AVERAGE(J11:J$28)/100,4)</f>
        <v>1.6199999999999999E-2</v>
      </c>
      <c r="AF11" s="1788">
        <f t="shared" ref="AF11" si="76">AE11</f>
        <v>1.6199999999999999E-2</v>
      </c>
      <c r="AG11" s="1788">
        <f>ROUND(AVERAGE(K11:K$28)/100,4)</f>
        <v>2.5899999999999999E-2</v>
      </c>
      <c r="AH11" s="1788">
        <f>ROUND(AVERAGE(L11:L$28)/100,4)</f>
        <v>1.49E-2</v>
      </c>
    </row>
    <row r="12" spans="1:34" s="1466" customFormat="1" ht="15" customHeight="1" thickBot="1">
      <c r="A12" s="1461" t="s">
        <v>3022</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300"/>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89"/>
      <c r="X12" s="1787">
        <f>ROUND(SUMPRODUCT(PRODUCT(1+N12:N$27)),4)</f>
        <v>1.4517</v>
      </c>
      <c r="Y12" s="1787">
        <f>ROUND(SUMPRODUCT(PRODUCT(1+O12:O$27)),4)</f>
        <v>1.2928999999999999</v>
      </c>
      <c r="Z12" s="1787">
        <f t="shared" ref="Z12" si="89">Y12</f>
        <v>1.2928999999999999</v>
      </c>
      <c r="AA12" s="1787">
        <f>ROUND(SUMPRODUCT(PRODUCT(1+P12:P$27)),4)</f>
        <v>1.5068999999999999</v>
      </c>
      <c r="AB12" s="1787">
        <f>ROUND(SUMPRODUCT(PRODUCT(1+Q12:Q$27)),4)</f>
        <v>1.2557</v>
      </c>
      <c r="AC12" s="1789"/>
      <c r="AD12" s="1788">
        <f>ROUND(AVERAGE(I12:I$28)/100,4)</f>
        <v>2.4E-2</v>
      </c>
      <c r="AE12" s="1788">
        <f>ROUND(AVERAGE(J12:J$28)/100,4)</f>
        <v>1.66E-2</v>
      </c>
      <c r="AF12" s="1788">
        <f t="shared" ref="AF12" si="90">AE12</f>
        <v>1.66E-2</v>
      </c>
      <c r="AG12" s="1788">
        <f>ROUND(AVERAGE(K12:K$28)/100,4)</f>
        <v>2.6499999999999999E-2</v>
      </c>
      <c r="AH12" s="1788">
        <f>ROUND(AVERAGE(L12:L$28)/100,4)</f>
        <v>1.43E-2</v>
      </c>
    </row>
    <row r="13" spans="1:34">
      <c r="A13" s="1461" t="s">
        <v>3019</v>
      </c>
      <c r="B13" s="1469">
        <v>439</v>
      </c>
      <c r="C13" s="1469">
        <v>327</v>
      </c>
      <c r="D13" s="1469">
        <f>C13</f>
        <v>327</v>
      </c>
      <c r="E13" s="1469">
        <v>627</v>
      </c>
      <c r="F13" s="1470">
        <v>283</v>
      </c>
      <c r="G13" s="3296">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3020</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93"/>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89"/>
      <c r="X14" s="1787">
        <f>ROUND(SUMPRODUCT(PRODUCT(1+N14:N$27)),4)</f>
        <v>1.4034</v>
      </c>
      <c r="Y14" s="1787">
        <f>ROUND(SUMPRODUCT(PRODUCT(1+O14:O$27)),4)</f>
        <v>1.2463</v>
      </c>
      <c r="Z14" s="1787">
        <f t="shared" si="0"/>
        <v>1.2463</v>
      </c>
      <c r="AA14" s="1787">
        <f>ROUND(SUMPRODUCT(PRODUCT(1+P14:P$27)),4)</f>
        <v>1.4577</v>
      </c>
      <c r="AB14" s="1787">
        <f>ROUND(SUMPRODUCT(PRODUCT(1+Q14:Q$27)),4)</f>
        <v>1.2136</v>
      </c>
      <c r="AC14" s="1789"/>
      <c r="AD14" s="1788">
        <f>ROUND(AVERAGE(I14:I$28)/100,4)</f>
        <v>2.4899999999999999E-2</v>
      </c>
      <c r="AE14" s="1788">
        <f>ROUND(AVERAGE(J14:J$28)/100,4)</f>
        <v>1.6400000000000001E-2</v>
      </c>
      <c r="AF14" s="1788">
        <f t="shared" si="1"/>
        <v>1.6400000000000001E-2</v>
      </c>
      <c r="AG14" s="1788">
        <f>ROUND(AVERAGE(K14:K$28)/100,4)</f>
        <v>2.7799999999999998E-2</v>
      </c>
      <c r="AH14" s="1788">
        <f>ROUND(AVERAGE(L14:L$28)/100,4)</f>
        <v>1.3899999999999999E-2</v>
      </c>
    </row>
    <row r="15" spans="1:34" s="1730"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93"/>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7">
        <f>ROUND(SUMPRODUCT(PRODUCT(1+N15:N$27)),4)</f>
        <v>1.3628</v>
      </c>
      <c r="Y15" s="1787">
        <f>ROUND(SUMPRODUCT(PRODUCT(1+O15:O$27)),4)</f>
        <v>1.2205999999999999</v>
      </c>
      <c r="Z15" s="1787">
        <f t="shared" si="0"/>
        <v>1.2205999999999999</v>
      </c>
      <c r="AA15" s="1787">
        <f>ROUND(SUMPRODUCT(PRODUCT(1+P15:P$27)),4)</f>
        <v>1.4118999999999999</v>
      </c>
      <c r="AB15" s="1787">
        <f>ROUND(SUMPRODUCT(PRODUCT(1+Q15:Q$27)),4)</f>
        <v>1.1930000000000001</v>
      </c>
      <c r="AC15" s="1453"/>
      <c r="AD15" s="1788">
        <f>ROUND(AVERAGE(I15:I$28)/100,4)</f>
        <v>2.46E-2</v>
      </c>
      <c r="AE15" s="1788">
        <f>ROUND(AVERAGE(J15:J$28)/100,4)</f>
        <v>1.6E-2</v>
      </c>
      <c r="AF15" s="1788">
        <f t="shared" si="1"/>
        <v>1.6E-2</v>
      </c>
      <c r="AG15" s="1788">
        <f>ROUND(AVERAGE(K15:K$28)/100,4)</f>
        <v>2.75E-2</v>
      </c>
      <c r="AH15" s="1788">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300"/>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89"/>
      <c r="X16" s="1787">
        <f>ROUND(SUMPRODUCT(PRODUCT(1+N16:N$27)),4)</f>
        <v>1.3180000000000001</v>
      </c>
      <c r="Y16" s="1787">
        <f>ROUND(SUMPRODUCT(PRODUCT(1+O16:O$27)),4)</f>
        <v>1.1966000000000001</v>
      </c>
      <c r="Z16" s="1787">
        <f t="shared" si="0"/>
        <v>1.1966000000000001</v>
      </c>
      <c r="AA16" s="1787">
        <f>ROUND(SUMPRODUCT(PRODUCT(1+P16:P$27)),4)</f>
        <v>1.36</v>
      </c>
      <c r="AB16" s="1787">
        <f>ROUND(SUMPRODUCT(PRODUCT(1+Q16:Q$27)),4)</f>
        <v>1.1733</v>
      </c>
      <c r="AC16" s="1789"/>
      <c r="AD16" s="1788">
        <f>ROUND(AVERAGE(I16:I$28)/100,4)</f>
        <v>2.3900000000000001E-2</v>
      </c>
      <c r="AE16" s="1788">
        <f>ROUND(AVERAGE(J16:J$28)/100,4)</f>
        <v>1.5699999999999999E-2</v>
      </c>
      <c r="AF16" s="1788">
        <f t="shared" si="1"/>
        <v>1.5699999999999999E-2</v>
      </c>
      <c r="AG16" s="1788">
        <f>ROUND(AVERAGE(K16:K$28)/100,4)</f>
        <v>2.6599999999999999E-2</v>
      </c>
      <c r="AH16" s="1788">
        <f>ROUND(AVERAGE(L16:L$28)/100,4)</f>
        <v>1.34E-2</v>
      </c>
    </row>
    <row r="17" spans="1:34">
      <c r="A17" s="1461" t="s">
        <v>154</v>
      </c>
      <c r="B17" s="1469">
        <v>392</v>
      </c>
      <c r="C17" s="1469">
        <v>302</v>
      </c>
      <c r="D17" s="1469">
        <f>C17</f>
        <v>302</v>
      </c>
      <c r="E17" s="1469">
        <v>553</v>
      </c>
      <c r="F17" s="1470">
        <v>266</v>
      </c>
      <c r="G17" s="3296">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93"/>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93"/>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94"/>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92">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93"/>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93"/>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94"/>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92">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93"/>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93"/>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94"/>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6">
        <f>I28/100</f>
        <v>2.9700000000000001E-2</v>
      </c>
      <c r="AE28" s="1726">
        <f>J28/100</f>
        <v>2.3399999999999997E-2</v>
      </c>
      <c r="AF28" s="1726">
        <f>AE28</f>
        <v>2.3399999999999997E-2</v>
      </c>
      <c r="AG28" s="1726">
        <f>K28/100</f>
        <v>3.2799999999999996E-2</v>
      </c>
      <c r="AH28" s="1726">
        <f>L28/100</f>
        <v>1.3600000000000001E-2</v>
      </c>
    </row>
    <row r="29" spans="1:34" ht="13.5" thickBot="1">
      <c r="A29" s="1461" t="s">
        <v>1159</v>
      </c>
      <c r="B29" s="1469">
        <v>299</v>
      </c>
      <c r="C29" s="1469">
        <v>252</v>
      </c>
      <c r="D29" s="1469">
        <f t="shared" si="108"/>
        <v>252</v>
      </c>
      <c r="E29" s="1469">
        <v>409</v>
      </c>
      <c r="F29" s="1470">
        <v>227</v>
      </c>
      <c r="G29" s="3297">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98"/>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98"/>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99"/>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92">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93"/>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93"/>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94"/>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92">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93">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93">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94">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92">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93">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93">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94">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92">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93">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93">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94">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92">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93">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93">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94">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92">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93">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93">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94">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92">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93">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93">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94">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92">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93">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93">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94">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92">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93">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93">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94">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92">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93">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93">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94">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92">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93">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93">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94">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2990</v>
      </c>
      <c r="C1" s="3302" t="s">
        <v>2991</v>
      </c>
      <c r="D1" s="3303"/>
      <c r="E1" s="3303"/>
      <c r="F1" s="3303"/>
      <c r="G1" s="3303"/>
      <c r="H1" s="3303"/>
      <c r="I1" s="3303"/>
      <c r="J1" s="3303"/>
      <c r="K1" s="3303"/>
      <c r="L1" s="3303"/>
      <c r="M1" s="3303"/>
      <c r="N1" s="3303"/>
      <c r="O1" s="3303"/>
      <c r="P1" s="3303"/>
      <c r="Q1" s="3303"/>
      <c r="R1" s="3303"/>
      <c r="S1" s="3304"/>
      <c r="T1" s="1204" t="s">
        <v>2992</v>
      </c>
    </row>
    <row r="2" spans="1:45" s="707" customFormat="1">
      <c r="A2" s="1205"/>
      <c r="B2" s="703" t="s">
        <v>2993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2994</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2995</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2996</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2997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2998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2999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2" t="s">
        <v>3000</v>
      </c>
      <c r="B17" s="2903" t="s">
        <v>3001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4" t="s">
        <v>3002</v>
      </c>
      <c r="E19" s="1791"/>
      <c r="F19" s="1791"/>
      <c r="G19" s="1791"/>
      <c r="H19" s="1280"/>
      <c r="I19" s="168"/>
      <c r="J19" s="168"/>
      <c r="K19" s="168"/>
      <c r="L19" s="168"/>
      <c r="M19" s="168"/>
      <c r="N19" s="168"/>
      <c r="O19" s="168"/>
      <c r="P19" s="168"/>
      <c r="Q19" s="168"/>
      <c r="R19" s="788"/>
      <c r="S19" s="138"/>
    </row>
    <row r="20" spans="1:45" ht="16.5" thickBot="1">
      <c r="A20" s="715" t="s">
        <v>3003</v>
      </c>
      <c r="B20" s="338" t="e">
        <f ca="1">IF(D20="——",S22,S22-F20)</f>
        <v>#REF!</v>
      </c>
      <c r="C20" s="168"/>
      <c r="D20" s="2905" t="s">
        <v>3004</v>
      </c>
      <c r="E20" s="1792"/>
      <c r="F20" s="1204" t="e">
        <f ca="1">SUMIF(INDIRECT("'"&amp;H20&amp;"'"&amp;"!A:A"),"承租人权益价值",INDIRECT("'"&amp;H20&amp;"'"&amp;"!c:c"))</f>
        <v>#REF!</v>
      </c>
      <c r="G20" s="1204" t="s">
        <v>3005</v>
      </c>
      <c r="H20" s="2906"/>
      <c r="I20" s="168"/>
      <c r="J20" s="168"/>
      <c r="K20" s="168"/>
      <c r="L20" s="168"/>
      <c r="M20" s="168"/>
      <c r="N20" s="168"/>
      <c r="O20" s="168"/>
      <c r="P20" s="168"/>
      <c r="Q20" s="168"/>
      <c r="R20" s="788"/>
      <c r="S20" s="138"/>
    </row>
    <row r="21" spans="1:45" ht="15.75">
      <c r="A21" s="715" t="s">
        <v>3006</v>
      </c>
      <c r="B21" s="338">
        <f>R22</f>
        <v>10000</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100</v>
      </c>
      <c r="C22" s="3079" t="s">
        <v>33</v>
      </c>
      <c r="D22" s="3080"/>
      <c r="E22" s="3080"/>
      <c r="F22" s="3080"/>
      <c r="G22" s="3080"/>
      <c r="H22" s="3080"/>
      <c r="I22" s="3080"/>
      <c r="J22" s="3080"/>
      <c r="K22" s="3080"/>
      <c r="L22" s="3080"/>
      <c r="M22" s="3080"/>
      <c r="N22" s="3080"/>
      <c r="O22" s="3080"/>
      <c r="P22" s="3080"/>
      <c r="Q22" s="3301"/>
      <c r="R22" s="716">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959"/>
      <c r="B4" s="2982" t="s">
        <v>1625</v>
      </c>
      <c r="C4" s="2982"/>
      <c r="D4" s="2982"/>
      <c r="E4" s="1959"/>
    </row>
    <row r="5" spans="1:5" ht="16.5" thickTop="1">
      <c r="A5" s="1957"/>
      <c r="B5" s="2980" t="s">
        <v>1617</v>
      </c>
      <c r="C5" s="1960" t="s">
        <v>1618</v>
      </c>
      <c r="D5" s="1040">
        <f ca="1">结果表!H101</f>
        <v>4649</v>
      </c>
      <c r="E5" s="1957"/>
    </row>
    <row r="6" spans="1:5" ht="15.75">
      <c r="A6" s="1957"/>
      <c r="B6" s="2980"/>
      <c r="C6" s="1960" t="s">
        <v>1619</v>
      </c>
      <c r="D6" s="1040" t="str">
        <f ca="1">NUMBERSTRING(INT(D5*10000),2)&amp;"元整"</f>
        <v>肆仟陆佰肆拾玖万元整</v>
      </c>
      <c r="E6" s="1957"/>
    </row>
    <row r="7" spans="1:5" ht="15.75">
      <c r="A7" s="1957"/>
      <c r="B7" s="2985"/>
      <c r="C7" s="1961" t="s">
        <v>1620</v>
      </c>
      <c r="D7" s="1041">
        <f ca="1">结果表!H102</f>
        <v>872</v>
      </c>
      <c r="E7" s="1957"/>
    </row>
    <row r="8" spans="1:5" ht="15.75">
      <c r="A8" s="1957"/>
      <c r="B8" s="2986" t="str">
        <f>结果表!E103</f>
        <v>2.估价师知悉的法定优先受偿款</v>
      </c>
      <c r="C8" s="1962" t="s">
        <v>1621</v>
      </c>
      <c r="D8" s="1041">
        <f>结果表!H103</f>
        <v>0</v>
      </c>
      <c r="E8" s="1957"/>
    </row>
    <row r="9" spans="1:5" ht="15.75">
      <c r="A9" s="1957"/>
      <c r="B9" s="2988"/>
      <c r="C9" s="1960" t="s">
        <v>1619</v>
      </c>
      <c r="D9" s="1040" t="str">
        <f>NUMBERSTRING(INT(D8*10000),2)&amp;"元整"</f>
        <v>零元整</v>
      </c>
      <c r="E9" s="1957"/>
    </row>
    <row r="10" spans="1:5" ht="15">
      <c r="A10" s="1957"/>
      <c r="B10" s="1963" t="s">
        <v>1624</v>
      </c>
      <c r="C10" s="1964" t="s">
        <v>1622</v>
      </c>
      <c r="D10" s="1042">
        <f>结果表!H104</f>
        <v>0</v>
      </c>
      <c r="E10" s="1957"/>
    </row>
    <row r="11" spans="1:5" ht="15">
      <c r="A11" s="1957"/>
      <c r="B11" s="1963" t="s">
        <v>1626</v>
      </c>
      <c r="C11" s="1964" t="s">
        <v>1627</v>
      </c>
      <c r="D11" s="1042">
        <f>结果表!H105</f>
        <v>0</v>
      </c>
      <c r="E11" s="1957"/>
    </row>
    <row r="12" spans="1:5" ht="15">
      <c r="A12" s="1957"/>
      <c r="B12" s="1963" t="s">
        <v>1628</v>
      </c>
      <c r="C12" s="1964" t="s">
        <v>1627</v>
      </c>
      <c r="D12" s="1042">
        <f>结果表!H106</f>
        <v>0</v>
      </c>
      <c r="E12" s="1957"/>
    </row>
    <row r="13" spans="1:5" ht="15.75">
      <c r="A13" s="1957"/>
      <c r="B13" s="2979" t="str">
        <f>结果表!E107</f>
        <v>3.房地产抵押价值</v>
      </c>
      <c r="C13" s="1965" t="s">
        <v>1618</v>
      </c>
      <c r="D13" s="1043">
        <f ca="1">结果表!H107</f>
        <v>4649</v>
      </c>
      <c r="E13" s="1957"/>
    </row>
    <row r="14" spans="1:5" ht="15.75">
      <c r="A14" s="1957"/>
      <c r="B14" s="2980"/>
      <c r="C14" s="1960" t="s">
        <v>1619</v>
      </c>
      <c r="D14" s="1040" t="str">
        <f ca="1">NUMBERSTRING(INT(D13*10000),2)&amp;"元整"</f>
        <v>肆仟陆佰肆拾玖万元整</v>
      </c>
      <c r="E14" s="1957"/>
    </row>
    <row r="15" spans="1:5" ht="15">
      <c r="A15" s="1957"/>
      <c r="B15" s="2985"/>
      <c r="C15" s="1961" t="s">
        <v>1629</v>
      </c>
      <c r="D15" s="1052">
        <f ca="1">结果表!H108</f>
        <v>872</v>
      </c>
      <c r="E15" s="1957"/>
    </row>
    <row r="16" spans="1:5" ht="15">
      <c r="A16" s="1957"/>
      <c r="B16" s="2986" t="str">
        <f>结果表!E109</f>
        <v>——</v>
      </c>
      <c r="C16" s="1965" t="s">
        <v>1630</v>
      </c>
      <c r="D16" s="1966" t="str">
        <f>结果表!H109</f>
        <v>——</v>
      </c>
      <c r="E16" s="1957"/>
    </row>
    <row r="17" spans="1:5" ht="15.75">
      <c r="A17" s="1957"/>
      <c r="B17" s="2987"/>
      <c r="C17" s="1960" t="s">
        <v>1631</v>
      </c>
      <c r="D17" s="1040" t="e">
        <f>NUMBERSTRING(INT(D16*10000),2)&amp;"元整"</f>
        <v>#VALUE!</v>
      </c>
      <c r="E17" s="1957"/>
    </row>
    <row r="18" spans="1:5" ht="15">
      <c r="A18" s="1957"/>
      <c r="B18" s="2988"/>
      <c r="C18" s="1961" t="s">
        <v>1620</v>
      </c>
      <c r="D18" s="1052" t="str">
        <f>结果表!H110</f>
        <v>——</v>
      </c>
      <c r="E18" s="1957"/>
    </row>
    <row r="19" spans="1:5" ht="15.75">
      <c r="A19" s="1957"/>
      <c r="B19" s="2979" t="str">
        <f>结果表!E111</f>
        <v>——</v>
      </c>
      <c r="C19" s="1965" t="s">
        <v>1618</v>
      </c>
      <c r="D19" s="1041" t="str">
        <f>结果表!H111</f>
        <v>——</v>
      </c>
      <c r="E19" s="1957"/>
    </row>
    <row r="20" spans="1:5" ht="15.75">
      <c r="A20" s="1957"/>
      <c r="B20" s="2980"/>
      <c r="C20" s="1960" t="s">
        <v>1631</v>
      </c>
      <c r="D20" s="1040" t="e">
        <f>NUMBERSTRING(INT(D19*10000),2)&amp;"元整"</f>
        <v>#VALUE!</v>
      </c>
      <c r="E20" s="1957"/>
    </row>
    <row r="21" spans="1:5" ht="15.75" thickBot="1">
      <c r="A21" s="1957"/>
      <c r="B21" s="2981"/>
      <c r="C21" s="1967" t="s">
        <v>1629</v>
      </c>
      <c r="D21" s="1053"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
  <sheetViews>
    <sheetView workbookViewId="0">
      <selection activeCell="AI18" sqref="AI18"/>
    </sheetView>
  </sheetViews>
  <sheetFormatPr defaultColWidth="8" defaultRowHeight="14.25" customHeight="1"/>
  <cols>
    <col min="1" max="1" width="7.25" style="2952" customWidth="1"/>
    <col min="2" max="6" width="3.75" style="2952" bestFit="1" customWidth="1"/>
    <col min="7" max="7" width="1.75" style="2952" bestFit="1" customWidth="1"/>
    <col min="8" max="9" width="3.75" style="2952" bestFit="1" customWidth="1"/>
    <col min="10" max="10" width="5" style="2952" customWidth="1"/>
    <col min="11" max="11" width="4" style="2952" bestFit="1" customWidth="1"/>
    <col min="12" max="12" width="1.125" style="2952" bestFit="1" customWidth="1"/>
    <col min="13" max="13" width="6.375" style="2952" bestFit="1" customWidth="1"/>
    <col min="14" max="18" width="3.75" style="2952" bestFit="1" customWidth="1"/>
    <col min="19" max="19" width="2.875" style="2952" bestFit="1" customWidth="1"/>
    <col min="20" max="22" width="8" style="2952"/>
    <col min="23" max="23" width="9.375" style="2952" bestFit="1" customWidth="1"/>
    <col min="24" max="256" width="8" style="2952"/>
    <col min="257" max="257" width="7.25" style="2952" customWidth="1"/>
    <col min="258" max="262" width="3.75" style="2952" bestFit="1" customWidth="1"/>
    <col min="263" max="263" width="1.75" style="2952" bestFit="1" customWidth="1"/>
    <col min="264" max="265" width="3.75" style="2952" bestFit="1" customWidth="1"/>
    <col min="266" max="266" width="5" style="2952" customWidth="1"/>
    <col min="267" max="267" width="4" style="2952" bestFit="1" customWidth="1"/>
    <col min="268" max="268" width="1.125" style="2952" bestFit="1" customWidth="1"/>
    <col min="269" max="269" width="6.375" style="2952" bestFit="1" customWidth="1"/>
    <col min="270" max="274" width="3.75" style="2952" bestFit="1" customWidth="1"/>
    <col min="275" max="275" width="2.875" style="2952" bestFit="1" customWidth="1"/>
    <col min="276" max="512" width="8" style="2952"/>
    <col min="513" max="513" width="7.25" style="2952" customWidth="1"/>
    <col min="514" max="518" width="3.75" style="2952" bestFit="1" customWidth="1"/>
    <col min="519" max="519" width="1.75" style="2952" bestFit="1" customWidth="1"/>
    <col min="520" max="521" width="3.75" style="2952" bestFit="1" customWidth="1"/>
    <col min="522" max="522" width="5" style="2952" customWidth="1"/>
    <col min="523" max="523" width="4" style="2952" bestFit="1" customWidth="1"/>
    <col min="524" max="524" width="1.125" style="2952" bestFit="1" customWidth="1"/>
    <col min="525" max="525" width="6.375" style="2952" bestFit="1" customWidth="1"/>
    <col min="526" max="530" width="3.75" style="2952" bestFit="1" customWidth="1"/>
    <col min="531" max="531" width="2.875" style="2952" bestFit="1" customWidth="1"/>
    <col min="532" max="768" width="8" style="2952"/>
    <col min="769" max="769" width="7.25" style="2952" customWidth="1"/>
    <col min="770" max="774" width="3.75" style="2952" bestFit="1" customWidth="1"/>
    <col min="775" max="775" width="1.75" style="2952" bestFit="1" customWidth="1"/>
    <col min="776" max="777" width="3.75" style="2952" bestFit="1" customWidth="1"/>
    <col min="778" max="778" width="5" style="2952" customWidth="1"/>
    <col min="779" max="779" width="4" style="2952" bestFit="1" customWidth="1"/>
    <col min="780" max="780" width="1.125" style="2952" bestFit="1" customWidth="1"/>
    <col min="781" max="781" width="6.375" style="2952" bestFit="1" customWidth="1"/>
    <col min="782" max="786" width="3.75" style="2952" bestFit="1" customWidth="1"/>
    <col min="787" max="787" width="2.875" style="2952" bestFit="1" customWidth="1"/>
    <col min="788" max="1024" width="8" style="2952"/>
    <col min="1025" max="1025" width="7.25" style="2952" customWidth="1"/>
    <col min="1026" max="1030" width="3.75" style="2952" bestFit="1" customWidth="1"/>
    <col min="1031" max="1031" width="1.75" style="2952" bestFit="1" customWidth="1"/>
    <col min="1032" max="1033" width="3.75" style="2952" bestFit="1" customWidth="1"/>
    <col min="1034" max="1034" width="5" style="2952" customWidth="1"/>
    <col min="1035" max="1035" width="4" style="2952" bestFit="1" customWidth="1"/>
    <col min="1036" max="1036" width="1.125" style="2952" bestFit="1" customWidth="1"/>
    <col min="1037" max="1037" width="6.375" style="2952" bestFit="1" customWidth="1"/>
    <col min="1038" max="1042" width="3.75" style="2952" bestFit="1" customWidth="1"/>
    <col min="1043" max="1043" width="2.875" style="2952" bestFit="1" customWidth="1"/>
    <col min="1044" max="1280" width="8" style="2952"/>
    <col min="1281" max="1281" width="7.25" style="2952" customWidth="1"/>
    <col min="1282" max="1286" width="3.75" style="2952" bestFit="1" customWidth="1"/>
    <col min="1287" max="1287" width="1.75" style="2952" bestFit="1" customWidth="1"/>
    <col min="1288" max="1289" width="3.75" style="2952" bestFit="1" customWidth="1"/>
    <col min="1290" max="1290" width="5" style="2952" customWidth="1"/>
    <col min="1291" max="1291" width="4" style="2952" bestFit="1" customWidth="1"/>
    <col min="1292" max="1292" width="1.125" style="2952" bestFit="1" customWidth="1"/>
    <col min="1293" max="1293" width="6.375" style="2952" bestFit="1" customWidth="1"/>
    <col min="1294" max="1298" width="3.75" style="2952" bestFit="1" customWidth="1"/>
    <col min="1299" max="1299" width="2.875" style="2952" bestFit="1" customWidth="1"/>
    <col min="1300" max="1536" width="8" style="2952"/>
    <col min="1537" max="1537" width="7.25" style="2952" customWidth="1"/>
    <col min="1538" max="1542" width="3.75" style="2952" bestFit="1" customWidth="1"/>
    <col min="1543" max="1543" width="1.75" style="2952" bestFit="1" customWidth="1"/>
    <col min="1544" max="1545" width="3.75" style="2952" bestFit="1" customWidth="1"/>
    <col min="1546" max="1546" width="5" style="2952" customWidth="1"/>
    <col min="1547" max="1547" width="4" style="2952" bestFit="1" customWidth="1"/>
    <col min="1548" max="1548" width="1.125" style="2952" bestFit="1" customWidth="1"/>
    <col min="1549" max="1549" width="6.375" style="2952" bestFit="1" customWidth="1"/>
    <col min="1550" max="1554" width="3.75" style="2952" bestFit="1" customWidth="1"/>
    <col min="1555" max="1555" width="2.875" style="2952" bestFit="1" customWidth="1"/>
    <col min="1556" max="1792" width="8" style="2952"/>
    <col min="1793" max="1793" width="7.25" style="2952" customWidth="1"/>
    <col min="1794" max="1798" width="3.75" style="2952" bestFit="1" customWidth="1"/>
    <col min="1799" max="1799" width="1.75" style="2952" bestFit="1" customWidth="1"/>
    <col min="1800" max="1801" width="3.75" style="2952" bestFit="1" customWidth="1"/>
    <col min="1802" max="1802" width="5" style="2952" customWidth="1"/>
    <col min="1803" max="1803" width="4" style="2952" bestFit="1" customWidth="1"/>
    <col min="1804" max="1804" width="1.125" style="2952" bestFit="1" customWidth="1"/>
    <col min="1805" max="1805" width="6.375" style="2952" bestFit="1" customWidth="1"/>
    <col min="1806" max="1810" width="3.75" style="2952" bestFit="1" customWidth="1"/>
    <col min="1811" max="1811" width="2.875" style="2952" bestFit="1" customWidth="1"/>
    <col min="1812" max="2048" width="8" style="2952"/>
    <col min="2049" max="2049" width="7.25" style="2952" customWidth="1"/>
    <col min="2050" max="2054" width="3.75" style="2952" bestFit="1" customWidth="1"/>
    <col min="2055" max="2055" width="1.75" style="2952" bestFit="1" customWidth="1"/>
    <col min="2056" max="2057" width="3.75" style="2952" bestFit="1" customWidth="1"/>
    <col min="2058" max="2058" width="5" style="2952" customWidth="1"/>
    <col min="2059" max="2059" width="4" style="2952" bestFit="1" customWidth="1"/>
    <col min="2060" max="2060" width="1.125" style="2952" bestFit="1" customWidth="1"/>
    <col min="2061" max="2061" width="6.375" style="2952" bestFit="1" customWidth="1"/>
    <col min="2062" max="2066" width="3.75" style="2952" bestFit="1" customWidth="1"/>
    <col min="2067" max="2067" width="2.875" style="2952" bestFit="1" customWidth="1"/>
    <col min="2068" max="2304" width="8" style="2952"/>
    <col min="2305" max="2305" width="7.25" style="2952" customWidth="1"/>
    <col min="2306" max="2310" width="3.75" style="2952" bestFit="1" customWidth="1"/>
    <col min="2311" max="2311" width="1.75" style="2952" bestFit="1" customWidth="1"/>
    <col min="2312" max="2313" width="3.75" style="2952" bestFit="1" customWidth="1"/>
    <col min="2314" max="2314" width="5" style="2952" customWidth="1"/>
    <col min="2315" max="2315" width="4" style="2952" bestFit="1" customWidth="1"/>
    <col min="2316" max="2316" width="1.125" style="2952" bestFit="1" customWidth="1"/>
    <col min="2317" max="2317" width="6.375" style="2952" bestFit="1" customWidth="1"/>
    <col min="2318" max="2322" width="3.75" style="2952" bestFit="1" customWidth="1"/>
    <col min="2323" max="2323" width="2.875" style="2952" bestFit="1" customWidth="1"/>
    <col min="2324" max="2560" width="8" style="2952"/>
    <col min="2561" max="2561" width="7.25" style="2952" customWidth="1"/>
    <col min="2562" max="2566" width="3.75" style="2952" bestFit="1" customWidth="1"/>
    <col min="2567" max="2567" width="1.75" style="2952" bestFit="1" customWidth="1"/>
    <col min="2568" max="2569" width="3.75" style="2952" bestFit="1" customWidth="1"/>
    <col min="2570" max="2570" width="5" style="2952" customWidth="1"/>
    <col min="2571" max="2571" width="4" style="2952" bestFit="1" customWidth="1"/>
    <col min="2572" max="2572" width="1.125" style="2952" bestFit="1" customWidth="1"/>
    <col min="2573" max="2573" width="6.375" style="2952" bestFit="1" customWidth="1"/>
    <col min="2574" max="2578" width="3.75" style="2952" bestFit="1" customWidth="1"/>
    <col min="2579" max="2579" width="2.875" style="2952" bestFit="1" customWidth="1"/>
    <col min="2580" max="2816" width="8" style="2952"/>
    <col min="2817" max="2817" width="7.25" style="2952" customWidth="1"/>
    <col min="2818" max="2822" width="3.75" style="2952" bestFit="1" customWidth="1"/>
    <col min="2823" max="2823" width="1.75" style="2952" bestFit="1" customWidth="1"/>
    <col min="2824" max="2825" width="3.75" style="2952" bestFit="1" customWidth="1"/>
    <col min="2826" max="2826" width="5" style="2952" customWidth="1"/>
    <col min="2827" max="2827" width="4" style="2952" bestFit="1" customWidth="1"/>
    <col min="2828" max="2828" width="1.125" style="2952" bestFit="1" customWidth="1"/>
    <col min="2829" max="2829" width="6.375" style="2952" bestFit="1" customWidth="1"/>
    <col min="2830" max="2834" width="3.75" style="2952" bestFit="1" customWidth="1"/>
    <col min="2835" max="2835" width="2.875" style="2952" bestFit="1" customWidth="1"/>
    <col min="2836" max="3072" width="8" style="2952"/>
    <col min="3073" max="3073" width="7.25" style="2952" customWidth="1"/>
    <col min="3074" max="3078" width="3.75" style="2952" bestFit="1" customWidth="1"/>
    <col min="3079" max="3079" width="1.75" style="2952" bestFit="1" customWidth="1"/>
    <col min="3080" max="3081" width="3.75" style="2952" bestFit="1" customWidth="1"/>
    <col min="3082" max="3082" width="5" style="2952" customWidth="1"/>
    <col min="3083" max="3083" width="4" style="2952" bestFit="1" customWidth="1"/>
    <col min="3084" max="3084" width="1.125" style="2952" bestFit="1" customWidth="1"/>
    <col min="3085" max="3085" width="6.375" style="2952" bestFit="1" customWidth="1"/>
    <col min="3086" max="3090" width="3.75" style="2952" bestFit="1" customWidth="1"/>
    <col min="3091" max="3091" width="2.875" style="2952" bestFit="1" customWidth="1"/>
    <col min="3092" max="3328" width="8" style="2952"/>
    <col min="3329" max="3329" width="7.25" style="2952" customWidth="1"/>
    <col min="3330" max="3334" width="3.75" style="2952" bestFit="1" customWidth="1"/>
    <col min="3335" max="3335" width="1.75" style="2952" bestFit="1" customWidth="1"/>
    <col min="3336" max="3337" width="3.75" style="2952" bestFit="1" customWidth="1"/>
    <col min="3338" max="3338" width="5" style="2952" customWidth="1"/>
    <col min="3339" max="3339" width="4" style="2952" bestFit="1" customWidth="1"/>
    <col min="3340" max="3340" width="1.125" style="2952" bestFit="1" customWidth="1"/>
    <col min="3341" max="3341" width="6.375" style="2952" bestFit="1" customWidth="1"/>
    <col min="3342" max="3346" width="3.75" style="2952" bestFit="1" customWidth="1"/>
    <col min="3347" max="3347" width="2.875" style="2952" bestFit="1" customWidth="1"/>
    <col min="3348" max="3584" width="8" style="2952"/>
    <col min="3585" max="3585" width="7.25" style="2952" customWidth="1"/>
    <col min="3586" max="3590" width="3.75" style="2952" bestFit="1" customWidth="1"/>
    <col min="3591" max="3591" width="1.75" style="2952" bestFit="1" customWidth="1"/>
    <col min="3592" max="3593" width="3.75" style="2952" bestFit="1" customWidth="1"/>
    <col min="3594" max="3594" width="5" style="2952" customWidth="1"/>
    <col min="3595" max="3595" width="4" style="2952" bestFit="1" customWidth="1"/>
    <col min="3596" max="3596" width="1.125" style="2952" bestFit="1" customWidth="1"/>
    <col min="3597" max="3597" width="6.375" style="2952" bestFit="1" customWidth="1"/>
    <col min="3598" max="3602" width="3.75" style="2952" bestFit="1" customWidth="1"/>
    <col min="3603" max="3603" width="2.875" style="2952" bestFit="1" customWidth="1"/>
    <col min="3604" max="3840" width="8" style="2952"/>
    <col min="3841" max="3841" width="7.25" style="2952" customWidth="1"/>
    <col min="3842" max="3846" width="3.75" style="2952" bestFit="1" customWidth="1"/>
    <col min="3847" max="3847" width="1.75" style="2952" bestFit="1" customWidth="1"/>
    <col min="3848" max="3849" width="3.75" style="2952" bestFit="1" customWidth="1"/>
    <col min="3850" max="3850" width="5" style="2952" customWidth="1"/>
    <col min="3851" max="3851" width="4" style="2952" bestFit="1" customWidth="1"/>
    <col min="3852" max="3852" width="1.125" style="2952" bestFit="1" customWidth="1"/>
    <col min="3853" max="3853" width="6.375" style="2952" bestFit="1" customWidth="1"/>
    <col min="3854" max="3858" width="3.75" style="2952" bestFit="1" customWidth="1"/>
    <col min="3859" max="3859" width="2.875" style="2952" bestFit="1" customWidth="1"/>
    <col min="3860" max="4096" width="8" style="2952"/>
    <col min="4097" max="4097" width="7.25" style="2952" customWidth="1"/>
    <col min="4098" max="4102" width="3.75" style="2952" bestFit="1" customWidth="1"/>
    <col min="4103" max="4103" width="1.75" style="2952" bestFit="1" customWidth="1"/>
    <col min="4104" max="4105" width="3.75" style="2952" bestFit="1" customWidth="1"/>
    <col min="4106" max="4106" width="5" style="2952" customWidth="1"/>
    <col min="4107" max="4107" width="4" style="2952" bestFit="1" customWidth="1"/>
    <col min="4108" max="4108" width="1.125" style="2952" bestFit="1" customWidth="1"/>
    <col min="4109" max="4109" width="6.375" style="2952" bestFit="1" customWidth="1"/>
    <col min="4110" max="4114" width="3.75" style="2952" bestFit="1" customWidth="1"/>
    <col min="4115" max="4115" width="2.875" style="2952" bestFit="1" customWidth="1"/>
    <col min="4116" max="4352" width="8" style="2952"/>
    <col min="4353" max="4353" width="7.25" style="2952" customWidth="1"/>
    <col min="4354" max="4358" width="3.75" style="2952" bestFit="1" customWidth="1"/>
    <col min="4359" max="4359" width="1.75" style="2952" bestFit="1" customWidth="1"/>
    <col min="4360" max="4361" width="3.75" style="2952" bestFit="1" customWidth="1"/>
    <col min="4362" max="4362" width="5" style="2952" customWidth="1"/>
    <col min="4363" max="4363" width="4" style="2952" bestFit="1" customWidth="1"/>
    <col min="4364" max="4364" width="1.125" style="2952" bestFit="1" customWidth="1"/>
    <col min="4365" max="4365" width="6.375" style="2952" bestFit="1" customWidth="1"/>
    <col min="4366" max="4370" width="3.75" style="2952" bestFit="1" customWidth="1"/>
    <col min="4371" max="4371" width="2.875" style="2952" bestFit="1" customWidth="1"/>
    <col min="4372" max="4608" width="8" style="2952"/>
    <col min="4609" max="4609" width="7.25" style="2952" customWidth="1"/>
    <col min="4610" max="4614" width="3.75" style="2952" bestFit="1" customWidth="1"/>
    <col min="4615" max="4615" width="1.75" style="2952" bestFit="1" customWidth="1"/>
    <col min="4616" max="4617" width="3.75" style="2952" bestFit="1" customWidth="1"/>
    <col min="4618" max="4618" width="5" style="2952" customWidth="1"/>
    <col min="4619" max="4619" width="4" style="2952" bestFit="1" customWidth="1"/>
    <col min="4620" max="4620" width="1.125" style="2952" bestFit="1" customWidth="1"/>
    <col min="4621" max="4621" width="6.375" style="2952" bestFit="1" customWidth="1"/>
    <col min="4622" max="4626" width="3.75" style="2952" bestFit="1" customWidth="1"/>
    <col min="4627" max="4627" width="2.875" style="2952" bestFit="1" customWidth="1"/>
    <col min="4628" max="4864" width="8" style="2952"/>
    <col min="4865" max="4865" width="7.25" style="2952" customWidth="1"/>
    <col min="4866" max="4870" width="3.75" style="2952" bestFit="1" customWidth="1"/>
    <col min="4871" max="4871" width="1.75" style="2952" bestFit="1" customWidth="1"/>
    <col min="4872" max="4873" width="3.75" style="2952" bestFit="1" customWidth="1"/>
    <col min="4874" max="4874" width="5" style="2952" customWidth="1"/>
    <col min="4875" max="4875" width="4" style="2952" bestFit="1" customWidth="1"/>
    <col min="4876" max="4876" width="1.125" style="2952" bestFit="1" customWidth="1"/>
    <col min="4877" max="4877" width="6.375" style="2952" bestFit="1" customWidth="1"/>
    <col min="4878" max="4882" width="3.75" style="2952" bestFit="1" customWidth="1"/>
    <col min="4883" max="4883" width="2.875" style="2952" bestFit="1" customWidth="1"/>
    <col min="4884" max="5120" width="8" style="2952"/>
    <col min="5121" max="5121" width="7.25" style="2952" customWidth="1"/>
    <col min="5122" max="5126" width="3.75" style="2952" bestFit="1" customWidth="1"/>
    <col min="5127" max="5127" width="1.75" style="2952" bestFit="1" customWidth="1"/>
    <col min="5128" max="5129" width="3.75" style="2952" bestFit="1" customWidth="1"/>
    <col min="5130" max="5130" width="5" style="2952" customWidth="1"/>
    <col min="5131" max="5131" width="4" style="2952" bestFit="1" customWidth="1"/>
    <col min="5132" max="5132" width="1.125" style="2952" bestFit="1" customWidth="1"/>
    <col min="5133" max="5133" width="6.375" style="2952" bestFit="1" customWidth="1"/>
    <col min="5134" max="5138" width="3.75" style="2952" bestFit="1" customWidth="1"/>
    <col min="5139" max="5139" width="2.875" style="2952" bestFit="1" customWidth="1"/>
    <col min="5140" max="5376" width="8" style="2952"/>
    <col min="5377" max="5377" width="7.25" style="2952" customWidth="1"/>
    <col min="5378" max="5382" width="3.75" style="2952" bestFit="1" customWidth="1"/>
    <col min="5383" max="5383" width="1.75" style="2952" bestFit="1" customWidth="1"/>
    <col min="5384" max="5385" width="3.75" style="2952" bestFit="1" customWidth="1"/>
    <col min="5386" max="5386" width="5" style="2952" customWidth="1"/>
    <col min="5387" max="5387" width="4" style="2952" bestFit="1" customWidth="1"/>
    <col min="5388" max="5388" width="1.125" style="2952" bestFit="1" customWidth="1"/>
    <col min="5389" max="5389" width="6.375" style="2952" bestFit="1" customWidth="1"/>
    <col min="5390" max="5394" width="3.75" style="2952" bestFit="1" customWidth="1"/>
    <col min="5395" max="5395" width="2.875" style="2952" bestFit="1" customWidth="1"/>
    <col min="5396" max="5632" width="8" style="2952"/>
    <col min="5633" max="5633" width="7.25" style="2952" customWidth="1"/>
    <col min="5634" max="5638" width="3.75" style="2952" bestFit="1" customWidth="1"/>
    <col min="5639" max="5639" width="1.75" style="2952" bestFit="1" customWidth="1"/>
    <col min="5640" max="5641" width="3.75" style="2952" bestFit="1" customWidth="1"/>
    <col min="5642" max="5642" width="5" style="2952" customWidth="1"/>
    <col min="5643" max="5643" width="4" style="2952" bestFit="1" customWidth="1"/>
    <col min="5644" max="5644" width="1.125" style="2952" bestFit="1" customWidth="1"/>
    <col min="5645" max="5645" width="6.375" style="2952" bestFit="1" customWidth="1"/>
    <col min="5646" max="5650" width="3.75" style="2952" bestFit="1" customWidth="1"/>
    <col min="5651" max="5651" width="2.875" style="2952" bestFit="1" customWidth="1"/>
    <col min="5652" max="5888" width="8" style="2952"/>
    <col min="5889" max="5889" width="7.25" style="2952" customWidth="1"/>
    <col min="5890" max="5894" width="3.75" style="2952" bestFit="1" customWidth="1"/>
    <col min="5895" max="5895" width="1.75" style="2952" bestFit="1" customWidth="1"/>
    <col min="5896" max="5897" width="3.75" style="2952" bestFit="1" customWidth="1"/>
    <col min="5898" max="5898" width="5" style="2952" customWidth="1"/>
    <col min="5899" max="5899" width="4" style="2952" bestFit="1" customWidth="1"/>
    <col min="5900" max="5900" width="1.125" style="2952" bestFit="1" customWidth="1"/>
    <col min="5901" max="5901" width="6.375" style="2952" bestFit="1" customWidth="1"/>
    <col min="5902" max="5906" width="3.75" style="2952" bestFit="1" customWidth="1"/>
    <col min="5907" max="5907" width="2.875" style="2952" bestFit="1" customWidth="1"/>
    <col min="5908" max="6144" width="8" style="2952"/>
    <col min="6145" max="6145" width="7.25" style="2952" customWidth="1"/>
    <col min="6146" max="6150" width="3.75" style="2952" bestFit="1" customWidth="1"/>
    <col min="6151" max="6151" width="1.75" style="2952" bestFit="1" customWidth="1"/>
    <col min="6152" max="6153" width="3.75" style="2952" bestFit="1" customWidth="1"/>
    <col min="6154" max="6154" width="5" style="2952" customWidth="1"/>
    <col min="6155" max="6155" width="4" style="2952" bestFit="1" customWidth="1"/>
    <col min="6156" max="6156" width="1.125" style="2952" bestFit="1" customWidth="1"/>
    <col min="6157" max="6157" width="6.375" style="2952" bestFit="1" customWidth="1"/>
    <col min="6158" max="6162" width="3.75" style="2952" bestFit="1" customWidth="1"/>
    <col min="6163" max="6163" width="2.875" style="2952" bestFit="1" customWidth="1"/>
    <col min="6164" max="6400" width="8" style="2952"/>
    <col min="6401" max="6401" width="7.25" style="2952" customWidth="1"/>
    <col min="6402" max="6406" width="3.75" style="2952" bestFit="1" customWidth="1"/>
    <col min="6407" max="6407" width="1.75" style="2952" bestFit="1" customWidth="1"/>
    <col min="6408" max="6409" width="3.75" style="2952" bestFit="1" customWidth="1"/>
    <col min="6410" max="6410" width="5" style="2952" customWidth="1"/>
    <col min="6411" max="6411" width="4" style="2952" bestFit="1" customWidth="1"/>
    <col min="6412" max="6412" width="1.125" style="2952" bestFit="1" customWidth="1"/>
    <col min="6413" max="6413" width="6.375" style="2952" bestFit="1" customWidth="1"/>
    <col min="6414" max="6418" width="3.75" style="2952" bestFit="1" customWidth="1"/>
    <col min="6419" max="6419" width="2.875" style="2952" bestFit="1" customWidth="1"/>
    <col min="6420" max="6656" width="8" style="2952"/>
    <col min="6657" max="6657" width="7.25" style="2952" customWidth="1"/>
    <col min="6658" max="6662" width="3.75" style="2952" bestFit="1" customWidth="1"/>
    <col min="6663" max="6663" width="1.75" style="2952" bestFit="1" customWidth="1"/>
    <col min="6664" max="6665" width="3.75" style="2952" bestFit="1" customWidth="1"/>
    <col min="6666" max="6666" width="5" style="2952" customWidth="1"/>
    <col min="6667" max="6667" width="4" style="2952" bestFit="1" customWidth="1"/>
    <col min="6668" max="6668" width="1.125" style="2952" bestFit="1" customWidth="1"/>
    <col min="6669" max="6669" width="6.375" style="2952" bestFit="1" customWidth="1"/>
    <col min="6670" max="6674" width="3.75" style="2952" bestFit="1" customWidth="1"/>
    <col min="6675" max="6675" width="2.875" style="2952" bestFit="1" customWidth="1"/>
    <col min="6676" max="6912" width="8" style="2952"/>
    <col min="6913" max="6913" width="7.25" style="2952" customWidth="1"/>
    <col min="6914" max="6918" width="3.75" style="2952" bestFit="1" customWidth="1"/>
    <col min="6919" max="6919" width="1.75" style="2952" bestFit="1" customWidth="1"/>
    <col min="6920" max="6921" width="3.75" style="2952" bestFit="1" customWidth="1"/>
    <col min="6922" max="6922" width="5" style="2952" customWidth="1"/>
    <col min="6923" max="6923" width="4" style="2952" bestFit="1" customWidth="1"/>
    <col min="6924" max="6924" width="1.125" style="2952" bestFit="1" customWidth="1"/>
    <col min="6925" max="6925" width="6.375" style="2952" bestFit="1" customWidth="1"/>
    <col min="6926" max="6930" width="3.75" style="2952" bestFit="1" customWidth="1"/>
    <col min="6931" max="6931" width="2.875" style="2952" bestFit="1" customWidth="1"/>
    <col min="6932" max="7168" width="8" style="2952"/>
    <col min="7169" max="7169" width="7.25" style="2952" customWidth="1"/>
    <col min="7170" max="7174" width="3.75" style="2952" bestFit="1" customWidth="1"/>
    <col min="7175" max="7175" width="1.75" style="2952" bestFit="1" customWidth="1"/>
    <col min="7176" max="7177" width="3.75" style="2952" bestFit="1" customWidth="1"/>
    <col min="7178" max="7178" width="5" style="2952" customWidth="1"/>
    <col min="7179" max="7179" width="4" style="2952" bestFit="1" customWidth="1"/>
    <col min="7180" max="7180" width="1.125" style="2952" bestFit="1" customWidth="1"/>
    <col min="7181" max="7181" width="6.375" style="2952" bestFit="1" customWidth="1"/>
    <col min="7182" max="7186" width="3.75" style="2952" bestFit="1" customWidth="1"/>
    <col min="7187" max="7187" width="2.875" style="2952" bestFit="1" customWidth="1"/>
    <col min="7188" max="7424" width="8" style="2952"/>
    <col min="7425" max="7425" width="7.25" style="2952" customWidth="1"/>
    <col min="7426" max="7430" width="3.75" style="2952" bestFit="1" customWidth="1"/>
    <col min="7431" max="7431" width="1.75" style="2952" bestFit="1" customWidth="1"/>
    <col min="7432" max="7433" width="3.75" style="2952" bestFit="1" customWidth="1"/>
    <col min="7434" max="7434" width="5" style="2952" customWidth="1"/>
    <col min="7435" max="7435" width="4" style="2952" bestFit="1" customWidth="1"/>
    <col min="7436" max="7436" width="1.125" style="2952" bestFit="1" customWidth="1"/>
    <col min="7437" max="7437" width="6.375" style="2952" bestFit="1" customWidth="1"/>
    <col min="7438" max="7442" width="3.75" style="2952" bestFit="1" customWidth="1"/>
    <col min="7443" max="7443" width="2.875" style="2952" bestFit="1" customWidth="1"/>
    <col min="7444" max="7680" width="8" style="2952"/>
    <col min="7681" max="7681" width="7.25" style="2952" customWidth="1"/>
    <col min="7682" max="7686" width="3.75" style="2952" bestFit="1" customWidth="1"/>
    <col min="7687" max="7687" width="1.75" style="2952" bestFit="1" customWidth="1"/>
    <col min="7688" max="7689" width="3.75" style="2952" bestFit="1" customWidth="1"/>
    <col min="7690" max="7690" width="5" style="2952" customWidth="1"/>
    <col min="7691" max="7691" width="4" style="2952" bestFit="1" customWidth="1"/>
    <col min="7692" max="7692" width="1.125" style="2952" bestFit="1" customWidth="1"/>
    <col min="7693" max="7693" width="6.375" style="2952" bestFit="1" customWidth="1"/>
    <col min="7694" max="7698" width="3.75" style="2952" bestFit="1" customWidth="1"/>
    <col min="7699" max="7699" width="2.875" style="2952" bestFit="1" customWidth="1"/>
    <col min="7700" max="7936" width="8" style="2952"/>
    <col min="7937" max="7937" width="7.25" style="2952" customWidth="1"/>
    <col min="7938" max="7942" width="3.75" style="2952" bestFit="1" customWidth="1"/>
    <col min="7943" max="7943" width="1.75" style="2952" bestFit="1" customWidth="1"/>
    <col min="7944" max="7945" width="3.75" style="2952" bestFit="1" customWidth="1"/>
    <col min="7946" max="7946" width="5" style="2952" customWidth="1"/>
    <col min="7947" max="7947" width="4" style="2952" bestFit="1" customWidth="1"/>
    <col min="7948" max="7948" width="1.125" style="2952" bestFit="1" customWidth="1"/>
    <col min="7949" max="7949" width="6.375" style="2952" bestFit="1" customWidth="1"/>
    <col min="7950" max="7954" width="3.75" style="2952" bestFit="1" customWidth="1"/>
    <col min="7955" max="7955" width="2.875" style="2952" bestFit="1" customWidth="1"/>
    <col min="7956" max="8192" width="8" style="2952"/>
    <col min="8193" max="8193" width="7.25" style="2952" customWidth="1"/>
    <col min="8194" max="8198" width="3.75" style="2952" bestFit="1" customWidth="1"/>
    <col min="8199" max="8199" width="1.75" style="2952" bestFit="1" customWidth="1"/>
    <col min="8200" max="8201" width="3.75" style="2952" bestFit="1" customWidth="1"/>
    <col min="8202" max="8202" width="5" style="2952" customWidth="1"/>
    <col min="8203" max="8203" width="4" style="2952" bestFit="1" customWidth="1"/>
    <col min="8204" max="8204" width="1.125" style="2952" bestFit="1" customWidth="1"/>
    <col min="8205" max="8205" width="6.375" style="2952" bestFit="1" customWidth="1"/>
    <col min="8206" max="8210" width="3.75" style="2952" bestFit="1" customWidth="1"/>
    <col min="8211" max="8211" width="2.875" style="2952" bestFit="1" customWidth="1"/>
    <col min="8212" max="8448" width="8" style="2952"/>
    <col min="8449" max="8449" width="7.25" style="2952" customWidth="1"/>
    <col min="8450" max="8454" width="3.75" style="2952" bestFit="1" customWidth="1"/>
    <col min="8455" max="8455" width="1.75" style="2952" bestFit="1" customWidth="1"/>
    <col min="8456" max="8457" width="3.75" style="2952" bestFit="1" customWidth="1"/>
    <col min="8458" max="8458" width="5" style="2952" customWidth="1"/>
    <col min="8459" max="8459" width="4" style="2952" bestFit="1" customWidth="1"/>
    <col min="8460" max="8460" width="1.125" style="2952" bestFit="1" customWidth="1"/>
    <col min="8461" max="8461" width="6.375" style="2952" bestFit="1" customWidth="1"/>
    <col min="8462" max="8466" width="3.75" style="2952" bestFit="1" customWidth="1"/>
    <col min="8467" max="8467" width="2.875" style="2952" bestFit="1" customWidth="1"/>
    <col min="8468" max="8704" width="8" style="2952"/>
    <col min="8705" max="8705" width="7.25" style="2952" customWidth="1"/>
    <col min="8706" max="8710" width="3.75" style="2952" bestFit="1" customWidth="1"/>
    <col min="8711" max="8711" width="1.75" style="2952" bestFit="1" customWidth="1"/>
    <col min="8712" max="8713" width="3.75" style="2952" bestFit="1" customWidth="1"/>
    <col min="8714" max="8714" width="5" style="2952" customWidth="1"/>
    <col min="8715" max="8715" width="4" style="2952" bestFit="1" customWidth="1"/>
    <col min="8716" max="8716" width="1.125" style="2952" bestFit="1" customWidth="1"/>
    <col min="8717" max="8717" width="6.375" style="2952" bestFit="1" customWidth="1"/>
    <col min="8718" max="8722" width="3.75" style="2952" bestFit="1" customWidth="1"/>
    <col min="8723" max="8723" width="2.875" style="2952" bestFit="1" customWidth="1"/>
    <col min="8724" max="8960" width="8" style="2952"/>
    <col min="8961" max="8961" width="7.25" style="2952" customWidth="1"/>
    <col min="8962" max="8966" width="3.75" style="2952" bestFit="1" customWidth="1"/>
    <col min="8967" max="8967" width="1.75" style="2952" bestFit="1" customWidth="1"/>
    <col min="8968" max="8969" width="3.75" style="2952" bestFit="1" customWidth="1"/>
    <col min="8970" max="8970" width="5" style="2952" customWidth="1"/>
    <col min="8971" max="8971" width="4" style="2952" bestFit="1" customWidth="1"/>
    <col min="8972" max="8972" width="1.125" style="2952" bestFit="1" customWidth="1"/>
    <col min="8973" max="8973" width="6.375" style="2952" bestFit="1" customWidth="1"/>
    <col min="8974" max="8978" width="3.75" style="2952" bestFit="1" customWidth="1"/>
    <col min="8979" max="8979" width="2.875" style="2952" bestFit="1" customWidth="1"/>
    <col min="8980" max="9216" width="8" style="2952"/>
    <col min="9217" max="9217" width="7.25" style="2952" customWidth="1"/>
    <col min="9218" max="9222" width="3.75" style="2952" bestFit="1" customWidth="1"/>
    <col min="9223" max="9223" width="1.75" style="2952" bestFit="1" customWidth="1"/>
    <col min="9224" max="9225" width="3.75" style="2952" bestFit="1" customWidth="1"/>
    <col min="9226" max="9226" width="5" style="2952" customWidth="1"/>
    <col min="9227" max="9227" width="4" style="2952" bestFit="1" customWidth="1"/>
    <col min="9228" max="9228" width="1.125" style="2952" bestFit="1" customWidth="1"/>
    <col min="9229" max="9229" width="6.375" style="2952" bestFit="1" customWidth="1"/>
    <col min="9230" max="9234" width="3.75" style="2952" bestFit="1" customWidth="1"/>
    <col min="9235" max="9235" width="2.875" style="2952" bestFit="1" customWidth="1"/>
    <col min="9236" max="9472" width="8" style="2952"/>
    <col min="9473" max="9473" width="7.25" style="2952" customWidth="1"/>
    <col min="9474" max="9478" width="3.75" style="2952" bestFit="1" customWidth="1"/>
    <col min="9479" max="9479" width="1.75" style="2952" bestFit="1" customWidth="1"/>
    <col min="9480" max="9481" width="3.75" style="2952" bestFit="1" customWidth="1"/>
    <col min="9482" max="9482" width="5" style="2952" customWidth="1"/>
    <col min="9483" max="9483" width="4" style="2952" bestFit="1" customWidth="1"/>
    <col min="9484" max="9484" width="1.125" style="2952" bestFit="1" customWidth="1"/>
    <col min="9485" max="9485" width="6.375" style="2952" bestFit="1" customWidth="1"/>
    <col min="9486" max="9490" width="3.75" style="2952" bestFit="1" customWidth="1"/>
    <col min="9491" max="9491" width="2.875" style="2952" bestFit="1" customWidth="1"/>
    <col min="9492" max="9728" width="8" style="2952"/>
    <col min="9729" max="9729" width="7.25" style="2952" customWidth="1"/>
    <col min="9730" max="9734" width="3.75" style="2952" bestFit="1" customWidth="1"/>
    <col min="9735" max="9735" width="1.75" style="2952" bestFit="1" customWidth="1"/>
    <col min="9736" max="9737" width="3.75" style="2952" bestFit="1" customWidth="1"/>
    <col min="9738" max="9738" width="5" style="2952" customWidth="1"/>
    <col min="9739" max="9739" width="4" style="2952" bestFit="1" customWidth="1"/>
    <col min="9740" max="9740" width="1.125" style="2952" bestFit="1" customWidth="1"/>
    <col min="9741" max="9741" width="6.375" style="2952" bestFit="1" customWidth="1"/>
    <col min="9742" max="9746" width="3.75" style="2952" bestFit="1" customWidth="1"/>
    <col min="9747" max="9747" width="2.875" style="2952" bestFit="1" customWidth="1"/>
    <col min="9748" max="9984" width="8" style="2952"/>
    <col min="9985" max="9985" width="7.25" style="2952" customWidth="1"/>
    <col min="9986" max="9990" width="3.75" style="2952" bestFit="1" customWidth="1"/>
    <col min="9991" max="9991" width="1.75" style="2952" bestFit="1" customWidth="1"/>
    <col min="9992" max="9993" width="3.75" style="2952" bestFit="1" customWidth="1"/>
    <col min="9994" max="9994" width="5" style="2952" customWidth="1"/>
    <col min="9995" max="9995" width="4" style="2952" bestFit="1" customWidth="1"/>
    <col min="9996" max="9996" width="1.125" style="2952" bestFit="1" customWidth="1"/>
    <col min="9997" max="9997" width="6.375" style="2952" bestFit="1" customWidth="1"/>
    <col min="9998" max="10002" width="3.75" style="2952" bestFit="1" customWidth="1"/>
    <col min="10003" max="10003" width="2.875" style="2952" bestFit="1" customWidth="1"/>
    <col min="10004" max="10240" width="8" style="2952"/>
    <col min="10241" max="10241" width="7.25" style="2952" customWidth="1"/>
    <col min="10242" max="10246" width="3.75" style="2952" bestFit="1" customWidth="1"/>
    <col min="10247" max="10247" width="1.75" style="2952" bestFit="1" customWidth="1"/>
    <col min="10248" max="10249" width="3.75" style="2952" bestFit="1" customWidth="1"/>
    <col min="10250" max="10250" width="5" style="2952" customWidth="1"/>
    <col min="10251" max="10251" width="4" style="2952" bestFit="1" customWidth="1"/>
    <col min="10252" max="10252" width="1.125" style="2952" bestFit="1" customWidth="1"/>
    <col min="10253" max="10253" width="6.375" style="2952" bestFit="1" customWidth="1"/>
    <col min="10254" max="10258" width="3.75" style="2952" bestFit="1" customWidth="1"/>
    <col min="10259" max="10259" width="2.875" style="2952" bestFit="1" customWidth="1"/>
    <col min="10260" max="10496" width="8" style="2952"/>
    <col min="10497" max="10497" width="7.25" style="2952" customWidth="1"/>
    <col min="10498" max="10502" width="3.75" style="2952" bestFit="1" customWidth="1"/>
    <col min="10503" max="10503" width="1.75" style="2952" bestFit="1" customWidth="1"/>
    <col min="10504" max="10505" width="3.75" style="2952" bestFit="1" customWidth="1"/>
    <col min="10506" max="10506" width="5" style="2952" customWidth="1"/>
    <col min="10507" max="10507" width="4" style="2952" bestFit="1" customWidth="1"/>
    <col min="10508" max="10508" width="1.125" style="2952" bestFit="1" customWidth="1"/>
    <col min="10509" max="10509" width="6.375" style="2952" bestFit="1" customWidth="1"/>
    <col min="10510" max="10514" width="3.75" style="2952" bestFit="1" customWidth="1"/>
    <col min="10515" max="10515" width="2.875" style="2952" bestFit="1" customWidth="1"/>
    <col min="10516" max="10752" width="8" style="2952"/>
    <col min="10753" max="10753" width="7.25" style="2952" customWidth="1"/>
    <col min="10754" max="10758" width="3.75" style="2952" bestFit="1" customWidth="1"/>
    <col min="10759" max="10759" width="1.75" style="2952" bestFit="1" customWidth="1"/>
    <col min="10760" max="10761" width="3.75" style="2952" bestFit="1" customWidth="1"/>
    <col min="10762" max="10762" width="5" style="2952" customWidth="1"/>
    <col min="10763" max="10763" width="4" style="2952" bestFit="1" customWidth="1"/>
    <col min="10764" max="10764" width="1.125" style="2952" bestFit="1" customWidth="1"/>
    <col min="10765" max="10765" width="6.375" style="2952" bestFit="1" customWidth="1"/>
    <col min="10766" max="10770" width="3.75" style="2952" bestFit="1" customWidth="1"/>
    <col min="10771" max="10771" width="2.875" style="2952" bestFit="1" customWidth="1"/>
    <col min="10772" max="11008" width="8" style="2952"/>
    <col min="11009" max="11009" width="7.25" style="2952" customWidth="1"/>
    <col min="11010" max="11014" width="3.75" style="2952" bestFit="1" customWidth="1"/>
    <col min="11015" max="11015" width="1.75" style="2952" bestFit="1" customWidth="1"/>
    <col min="11016" max="11017" width="3.75" style="2952" bestFit="1" customWidth="1"/>
    <col min="11018" max="11018" width="5" style="2952" customWidth="1"/>
    <col min="11019" max="11019" width="4" style="2952" bestFit="1" customWidth="1"/>
    <col min="11020" max="11020" width="1.125" style="2952" bestFit="1" customWidth="1"/>
    <col min="11021" max="11021" width="6.375" style="2952" bestFit="1" customWidth="1"/>
    <col min="11022" max="11026" width="3.75" style="2952" bestFit="1" customWidth="1"/>
    <col min="11027" max="11027" width="2.875" style="2952" bestFit="1" customWidth="1"/>
    <col min="11028" max="11264" width="8" style="2952"/>
    <col min="11265" max="11265" width="7.25" style="2952" customWidth="1"/>
    <col min="11266" max="11270" width="3.75" style="2952" bestFit="1" customWidth="1"/>
    <col min="11271" max="11271" width="1.75" style="2952" bestFit="1" customWidth="1"/>
    <col min="11272" max="11273" width="3.75" style="2952" bestFit="1" customWidth="1"/>
    <col min="11274" max="11274" width="5" style="2952" customWidth="1"/>
    <col min="11275" max="11275" width="4" style="2952" bestFit="1" customWidth="1"/>
    <col min="11276" max="11276" width="1.125" style="2952" bestFit="1" customWidth="1"/>
    <col min="11277" max="11277" width="6.375" style="2952" bestFit="1" customWidth="1"/>
    <col min="11278" max="11282" width="3.75" style="2952" bestFit="1" customWidth="1"/>
    <col min="11283" max="11283" width="2.875" style="2952" bestFit="1" customWidth="1"/>
    <col min="11284" max="11520" width="8" style="2952"/>
    <col min="11521" max="11521" width="7.25" style="2952" customWidth="1"/>
    <col min="11522" max="11526" width="3.75" style="2952" bestFit="1" customWidth="1"/>
    <col min="11527" max="11527" width="1.75" style="2952" bestFit="1" customWidth="1"/>
    <col min="11528" max="11529" width="3.75" style="2952" bestFit="1" customWidth="1"/>
    <col min="11530" max="11530" width="5" style="2952" customWidth="1"/>
    <col min="11531" max="11531" width="4" style="2952" bestFit="1" customWidth="1"/>
    <col min="11532" max="11532" width="1.125" style="2952" bestFit="1" customWidth="1"/>
    <col min="11533" max="11533" width="6.375" style="2952" bestFit="1" customWidth="1"/>
    <col min="11534" max="11538" width="3.75" style="2952" bestFit="1" customWidth="1"/>
    <col min="11539" max="11539" width="2.875" style="2952" bestFit="1" customWidth="1"/>
    <col min="11540" max="11776" width="8" style="2952"/>
    <col min="11777" max="11777" width="7.25" style="2952" customWidth="1"/>
    <col min="11778" max="11782" width="3.75" style="2952" bestFit="1" customWidth="1"/>
    <col min="11783" max="11783" width="1.75" style="2952" bestFit="1" customWidth="1"/>
    <col min="11784" max="11785" width="3.75" style="2952" bestFit="1" customWidth="1"/>
    <col min="11786" max="11786" width="5" style="2952" customWidth="1"/>
    <col min="11787" max="11787" width="4" style="2952" bestFit="1" customWidth="1"/>
    <col min="11788" max="11788" width="1.125" style="2952" bestFit="1" customWidth="1"/>
    <col min="11789" max="11789" width="6.375" style="2952" bestFit="1" customWidth="1"/>
    <col min="11790" max="11794" width="3.75" style="2952" bestFit="1" customWidth="1"/>
    <col min="11795" max="11795" width="2.875" style="2952" bestFit="1" customWidth="1"/>
    <col min="11796" max="12032" width="8" style="2952"/>
    <col min="12033" max="12033" width="7.25" style="2952" customWidth="1"/>
    <col min="12034" max="12038" width="3.75" style="2952" bestFit="1" customWidth="1"/>
    <col min="12039" max="12039" width="1.75" style="2952" bestFit="1" customWidth="1"/>
    <col min="12040" max="12041" width="3.75" style="2952" bestFit="1" customWidth="1"/>
    <col min="12042" max="12042" width="5" style="2952" customWidth="1"/>
    <col min="12043" max="12043" width="4" style="2952" bestFit="1" customWidth="1"/>
    <col min="12044" max="12044" width="1.125" style="2952" bestFit="1" customWidth="1"/>
    <col min="12045" max="12045" width="6.375" style="2952" bestFit="1" customWidth="1"/>
    <col min="12046" max="12050" width="3.75" style="2952" bestFit="1" customWidth="1"/>
    <col min="12051" max="12051" width="2.875" style="2952" bestFit="1" customWidth="1"/>
    <col min="12052" max="12288" width="8" style="2952"/>
    <col min="12289" max="12289" width="7.25" style="2952" customWidth="1"/>
    <col min="12290" max="12294" width="3.75" style="2952" bestFit="1" customWidth="1"/>
    <col min="12295" max="12295" width="1.75" style="2952" bestFit="1" customWidth="1"/>
    <col min="12296" max="12297" width="3.75" style="2952" bestFit="1" customWidth="1"/>
    <col min="12298" max="12298" width="5" style="2952" customWidth="1"/>
    <col min="12299" max="12299" width="4" style="2952" bestFit="1" customWidth="1"/>
    <col min="12300" max="12300" width="1.125" style="2952" bestFit="1" customWidth="1"/>
    <col min="12301" max="12301" width="6.375" style="2952" bestFit="1" customWidth="1"/>
    <col min="12302" max="12306" width="3.75" style="2952" bestFit="1" customWidth="1"/>
    <col min="12307" max="12307" width="2.875" style="2952" bestFit="1" customWidth="1"/>
    <col min="12308" max="12544" width="8" style="2952"/>
    <col min="12545" max="12545" width="7.25" style="2952" customWidth="1"/>
    <col min="12546" max="12550" width="3.75" style="2952" bestFit="1" customWidth="1"/>
    <col min="12551" max="12551" width="1.75" style="2952" bestFit="1" customWidth="1"/>
    <col min="12552" max="12553" width="3.75" style="2952" bestFit="1" customWidth="1"/>
    <col min="12554" max="12554" width="5" style="2952" customWidth="1"/>
    <col min="12555" max="12555" width="4" style="2952" bestFit="1" customWidth="1"/>
    <col min="12556" max="12556" width="1.125" style="2952" bestFit="1" customWidth="1"/>
    <col min="12557" max="12557" width="6.375" style="2952" bestFit="1" customWidth="1"/>
    <col min="12558" max="12562" width="3.75" style="2952" bestFit="1" customWidth="1"/>
    <col min="12563" max="12563" width="2.875" style="2952" bestFit="1" customWidth="1"/>
    <col min="12564" max="12800" width="8" style="2952"/>
    <col min="12801" max="12801" width="7.25" style="2952" customWidth="1"/>
    <col min="12802" max="12806" width="3.75" style="2952" bestFit="1" customWidth="1"/>
    <col min="12807" max="12807" width="1.75" style="2952" bestFit="1" customWidth="1"/>
    <col min="12808" max="12809" width="3.75" style="2952" bestFit="1" customWidth="1"/>
    <col min="12810" max="12810" width="5" style="2952" customWidth="1"/>
    <col min="12811" max="12811" width="4" style="2952" bestFit="1" customWidth="1"/>
    <col min="12812" max="12812" width="1.125" style="2952" bestFit="1" customWidth="1"/>
    <col min="12813" max="12813" width="6.375" style="2952" bestFit="1" customWidth="1"/>
    <col min="12814" max="12818" width="3.75" style="2952" bestFit="1" customWidth="1"/>
    <col min="12819" max="12819" width="2.875" style="2952" bestFit="1" customWidth="1"/>
    <col min="12820" max="13056" width="8" style="2952"/>
    <col min="13057" max="13057" width="7.25" style="2952" customWidth="1"/>
    <col min="13058" max="13062" width="3.75" style="2952" bestFit="1" customWidth="1"/>
    <col min="13063" max="13063" width="1.75" style="2952" bestFit="1" customWidth="1"/>
    <col min="13064" max="13065" width="3.75" style="2952" bestFit="1" customWidth="1"/>
    <col min="13066" max="13066" width="5" style="2952" customWidth="1"/>
    <col min="13067" max="13067" width="4" style="2952" bestFit="1" customWidth="1"/>
    <col min="13068" max="13068" width="1.125" style="2952" bestFit="1" customWidth="1"/>
    <col min="13069" max="13069" width="6.375" style="2952" bestFit="1" customWidth="1"/>
    <col min="13070" max="13074" width="3.75" style="2952" bestFit="1" customWidth="1"/>
    <col min="13075" max="13075" width="2.875" style="2952" bestFit="1" customWidth="1"/>
    <col min="13076" max="13312" width="8" style="2952"/>
    <col min="13313" max="13313" width="7.25" style="2952" customWidth="1"/>
    <col min="13314" max="13318" width="3.75" style="2952" bestFit="1" customWidth="1"/>
    <col min="13319" max="13319" width="1.75" style="2952" bestFit="1" customWidth="1"/>
    <col min="13320" max="13321" width="3.75" style="2952" bestFit="1" customWidth="1"/>
    <col min="13322" max="13322" width="5" style="2952" customWidth="1"/>
    <col min="13323" max="13323" width="4" style="2952" bestFit="1" customWidth="1"/>
    <col min="13324" max="13324" width="1.125" style="2952" bestFit="1" customWidth="1"/>
    <col min="13325" max="13325" width="6.375" style="2952" bestFit="1" customWidth="1"/>
    <col min="13326" max="13330" width="3.75" style="2952" bestFit="1" customWidth="1"/>
    <col min="13331" max="13331" width="2.875" style="2952" bestFit="1" customWidth="1"/>
    <col min="13332" max="13568" width="8" style="2952"/>
    <col min="13569" max="13569" width="7.25" style="2952" customWidth="1"/>
    <col min="13570" max="13574" width="3.75" style="2952" bestFit="1" customWidth="1"/>
    <col min="13575" max="13575" width="1.75" style="2952" bestFit="1" customWidth="1"/>
    <col min="13576" max="13577" width="3.75" style="2952" bestFit="1" customWidth="1"/>
    <col min="13578" max="13578" width="5" style="2952" customWidth="1"/>
    <col min="13579" max="13579" width="4" style="2952" bestFit="1" customWidth="1"/>
    <col min="13580" max="13580" width="1.125" style="2952" bestFit="1" customWidth="1"/>
    <col min="13581" max="13581" width="6.375" style="2952" bestFit="1" customWidth="1"/>
    <col min="13582" max="13586" width="3.75" style="2952" bestFit="1" customWidth="1"/>
    <col min="13587" max="13587" width="2.875" style="2952" bestFit="1" customWidth="1"/>
    <col min="13588" max="13824" width="8" style="2952"/>
    <col min="13825" max="13825" width="7.25" style="2952" customWidth="1"/>
    <col min="13826" max="13830" width="3.75" style="2952" bestFit="1" customWidth="1"/>
    <col min="13831" max="13831" width="1.75" style="2952" bestFit="1" customWidth="1"/>
    <col min="13832" max="13833" width="3.75" style="2952" bestFit="1" customWidth="1"/>
    <col min="13834" max="13834" width="5" style="2952" customWidth="1"/>
    <col min="13835" max="13835" width="4" style="2952" bestFit="1" customWidth="1"/>
    <col min="13836" max="13836" width="1.125" style="2952" bestFit="1" customWidth="1"/>
    <col min="13837" max="13837" width="6.375" style="2952" bestFit="1" customWidth="1"/>
    <col min="13838" max="13842" width="3.75" style="2952" bestFit="1" customWidth="1"/>
    <col min="13843" max="13843" width="2.875" style="2952" bestFit="1" customWidth="1"/>
    <col min="13844" max="14080" width="8" style="2952"/>
    <col min="14081" max="14081" width="7.25" style="2952" customWidth="1"/>
    <col min="14082" max="14086" width="3.75" style="2952" bestFit="1" customWidth="1"/>
    <col min="14087" max="14087" width="1.75" style="2952" bestFit="1" customWidth="1"/>
    <col min="14088" max="14089" width="3.75" style="2952" bestFit="1" customWidth="1"/>
    <col min="14090" max="14090" width="5" style="2952" customWidth="1"/>
    <col min="14091" max="14091" width="4" style="2952" bestFit="1" customWidth="1"/>
    <col min="14092" max="14092" width="1.125" style="2952" bestFit="1" customWidth="1"/>
    <col min="14093" max="14093" width="6.375" style="2952" bestFit="1" customWidth="1"/>
    <col min="14094" max="14098" width="3.75" style="2952" bestFit="1" customWidth="1"/>
    <col min="14099" max="14099" width="2.875" style="2952" bestFit="1" customWidth="1"/>
    <col min="14100" max="14336" width="8" style="2952"/>
    <col min="14337" max="14337" width="7.25" style="2952" customWidth="1"/>
    <col min="14338" max="14342" width="3.75" style="2952" bestFit="1" customWidth="1"/>
    <col min="14343" max="14343" width="1.75" style="2952" bestFit="1" customWidth="1"/>
    <col min="14344" max="14345" width="3.75" style="2952" bestFit="1" customWidth="1"/>
    <col min="14346" max="14346" width="5" style="2952" customWidth="1"/>
    <col min="14347" max="14347" width="4" style="2952" bestFit="1" customWidth="1"/>
    <col min="14348" max="14348" width="1.125" style="2952" bestFit="1" customWidth="1"/>
    <col min="14349" max="14349" width="6.375" style="2952" bestFit="1" customWidth="1"/>
    <col min="14350" max="14354" width="3.75" style="2952" bestFit="1" customWidth="1"/>
    <col min="14355" max="14355" width="2.875" style="2952" bestFit="1" customWidth="1"/>
    <col min="14356" max="14592" width="8" style="2952"/>
    <col min="14593" max="14593" width="7.25" style="2952" customWidth="1"/>
    <col min="14594" max="14598" width="3.75" style="2952" bestFit="1" customWidth="1"/>
    <col min="14599" max="14599" width="1.75" style="2952" bestFit="1" customWidth="1"/>
    <col min="14600" max="14601" width="3.75" style="2952" bestFit="1" customWidth="1"/>
    <col min="14602" max="14602" width="5" style="2952" customWidth="1"/>
    <col min="14603" max="14603" width="4" style="2952" bestFit="1" customWidth="1"/>
    <col min="14604" max="14604" width="1.125" style="2952" bestFit="1" customWidth="1"/>
    <col min="14605" max="14605" width="6.375" style="2952" bestFit="1" customWidth="1"/>
    <col min="14606" max="14610" width="3.75" style="2952" bestFit="1" customWidth="1"/>
    <col min="14611" max="14611" width="2.875" style="2952" bestFit="1" customWidth="1"/>
    <col min="14612" max="14848" width="8" style="2952"/>
    <col min="14849" max="14849" width="7.25" style="2952" customWidth="1"/>
    <col min="14850" max="14854" width="3.75" style="2952" bestFit="1" customWidth="1"/>
    <col min="14855" max="14855" width="1.75" style="2952" bestFit="1" customWidth="1"/>
    <col min="14856" max="14857" width="3.75" style="2952" bestFit="1" customWidth="1"/>
    <col min="14858" max="14858" width="5" style="2952" customWidth="1"/>
    <col min="14859" max="14859" width="4" style="2952" bestFit="1" customWidth="1"/>
    <col min="14860" max="14860" width="1.125" style="2952" bestFit="1" customWidth="1"/>
    <col min="14861" max="14861" width="6.375" style="2952" bestFit="1" customWidth="1"/>
    <col min="14862" max="14866" width="3.75" style="2952" bestFit="1" customWidth="1"/>
    <col min="14867" max="14867" width="2.875" style="2952" bestFit="1" customWidth="1"/>
    <col min="14868" max="15104" width="8" style="2952"/>
    <col min="15105" max="15105" width="7.25" style="2952" customWidth="1"/>
    <col min="15106" max="15110" width="3.75" style="2952" bestFit="1" customWidth="1"/>
    <col min="15111" max="15111" width="1.75" style="2952" bestFit="1" customWidth="1"/>
    <col min="15112" max="15113" width="3.75" style="2952" bestFit="1" customWidth="1"/>
    <col min="15114" max="15114" width="5" style="2952" customWidth="1"/>
    <col min="15115" max="15115" width="4" style="2952" bestFit="1" customWidth="1"/>
    <col min="15116" max="15116" width="1.125" style="2952" bestFit="1" customWidth="1"/>
    <col min="15117" max="15117" width="6.375" style="2952" bestFit="1" customWidth="1"/>
    <col min="15118" max="15122" width="3.75" style="2952" bestFit="1" customWidth="1"/>
    <col min="15123" max="15123" width="2.875" style="2952" bestFit="1" customWidth="1"/>
    <col min="15124" max="15360" width="8" style="2952"/>
    <col min="15361" max="15361" width="7.25" style="2952" customWidth="1"/>
    <col min="15362" max="15366" width="3.75" style="2952" bestFit="1" customWidth="1"/>
    <col min="15367" max="15367" width="1.75" style="2952" bestFit="1" customWidth="1"/>
    <col min="15368" max="15369" width="3.75" style="2952" bestFit="1" customWidth="1"/>
    <col min="15370" max="15370" width="5" style="2952" customWidth="1"/>
    <col min="15371" max="15371" width="4" style="2952" bestFit="1" customWidth="1"/>
    <col min="15372" max="15372" width="1.125" style="2952" bestFit="1" customWidth="1"/>
    <col min="15373" max="15373" width="6.375" style="2952" bestFit="1" customWidth="1"/>
    <col min="15374" max="15378" width="3.75" style="2952" bestFit="1" customWidth="1"/>
    <col min="15379" max="15379" width="2.875" style="2952" bestFit="1" customWidth="1"/>
    <col min="15380" max="15616" width="8" style="2952"/>
    <col min="15617" max="15617" width="7.25" style="2952" customWidth="1"/>
    <col min="15618" max="15622" width="3.75" style="2952" bestFit="1" customWidth="1"/>
    <col min="15623" max="15623" width="1.75" style="2952" bestFit="1" customWidth="1"/>
    <col min="15624" max="15625" width="3.75" style="2952" bestFit="1" customWidth="1"/>
    <col min="15626" max="15626" width="5" style="2952" customWidth="1"/>
    <col min="15627" max="15627" width="4" style="2952" bestFit="1" customWidth="1"/>
    <col min="15628" max="15628" width="1.125" style="2952" bestFit="1" customWidth="1"/>
    <col min="15629" max="15629" width="6.375" style="2952" bestFit="1" customWidth="1"/>
    <col min="15630" max="15634" width="3.75" style="2952" bestFit="1" customWidth="1"/>
    <col min="15635" max="15635" width="2.875" style="2952" bestFit="1" customWidth="1"/>
    <col min="15636" max="15872" width="8" style="2952"/>
    <col min="15873" max="15873" width="7.25" style="2952" customWidth="1"/>
    <col min="15874" max="15878" width="3.75" style="2952" bestFit="1" customWidth="1"/>
    <col min="15879" max="15879" width="1.75" style="2952" bestFit="1" customWidth="1"/>
    <col min="15880" max="15881" width="3.75" style="2952" bestFit="1" customWidth="1"/>
    <col min="15882" max="15882" width="5" style="2952" customWidth="1"/>
    <col min="15883" max="15883" width="4" style="2952" bestFit="1" customWidth="1"/>
    <col min="15884" max="15884" width="1.125" style="2952" bestFit="1" customWidth="1"/>
    <col min="15885" max="15885" width="6.375" style="2952" bestFit="1" customWidth="1"/>
    <col min="15886" max="15890" width="3.75" style="2952" bestFit="1" customWidth="1"/>
    <col min="15891" max="15891" width="2.875" style="2952" bestFit="1" customWidth="1"/>
    <col min="15892" max="16128" width="8" style="2952"/>
    <col min="16129" max="16129" width="7.25" style="2952" customWidth="1"/>
    <col min="16130" max="16134" width="3.75" style="2952" bestFit="1" customWidth="1"/>
    <col min="16135" max="16135" width="1.75" style="2952" bestFit="1" customWidth="1"/>
    <col min="16136" max="16137" width="3.75" style="2952" bestFit="1" customWidth="1"/>
    <col min="16138" max="16138" width="5" style="2952" customWidth="1"/>
    <col min="16139" max="16139" width="4" style="2952" bestFit="1" customWidth="1"/>
    <col min="16140" max="16140" width="1.125" style="2952" bestFit="1" customWidth="1"/>
    <col min="16141" max="16141" width="6.375" style="2952" bestFit="1" customWidth="1"/>
    <col min="16142" max="16146" width="3.75" style="2952" bestFit="1" customWidth="1"/>
    <col min="16147" max="16147" width="2.875" style="2952" bestFit="1" customWidth="1"/>
    <col min="16148" max="16384" width="8" style="2952"/>
  </cols>
  <sheetData>
    <row r="1" spans="1:26" ht="30" customHeight="1" thickBot="1">
      <c r="A1" s="3305" t="s">
        <v>3067</v>
      </c>
      <c r="B1" s="3306"/>
      <c r="C1" s="3306"/>
      <c r="D1" s="3306"/>
      <c r="E1" s="3306"/>
      <c r="F1" s="3306"/>
      <c r="G1" s="3306"/>
      <c r="H1" s="3306"/>
      <c r="I1" s="3306"/>
      <c r="J1" s="3306"/>
      <c r="K1" s="3306"/>
      <c r="L1" s="3306"/>
      <c r="M1" s="3306"/>
      <c r="N1" s="3306"/>
      <c r="O1" s="3306"/>
      <c r="P1" s="3307"/>
      <c r="Q1" s="3307"/>
      <c r="R1" s="3307"/>
      <c r="S1" s="3307"/>
    </row>
    <row r="2" spans="1:26" ht="19.5" customHeight="1">
      <c r="A2" s="3308" t="s">
        <v>3068</v>
      </c>
      <c r="B2" s="3309"/>
      <c r="C2" s="3309"/>
      <c r="D2" s="3310" t="s">
        <v>3069</v>
      </c>
      <c r="E2" s="3311"/>
      <c r="F2" s="3311"/>
      <c r="G2" s="3311"/>
      <c r="H2" s="3311"/>
      <c r="I2" s="3311"/>
      <c r="J2" s="3311"/>
      <c r="K2" s="3312" t="s">
        <v>3070</v>
      </c>
      <c r="L2" s="3313"/>
      <c r="M2" s="3314" t="s">
        <v>3071</v>
      </c>
      <c r="N2" s="3315"/>
      <c r="O2" s="3315"/>
      <c r="P2" s="3312" t="s">
        <v>3072</v>
      </c>
      <c r="Q2" s="3313"/>
      <c r="R2" s="3316">
        <v>3</v>
      </c>
      <c r="S2" s="3317"/>
    </row>
    <row r="3" spans="1:26" ht="19.5" customHeight="1">
      <c r="A3" s="2953" t="s">
        <v>3073</v>
      </c>
      <c r="B3" s="3318" t="s">
        <v>3074</v>
      </c>
      <c r="C3" s="3319"/>
      <c r="D3" s="3318" t="s">
        <v>3075</v>
      </c>
      <c r="E3" s="3319"/>
      <c r="F3" s="3319"/>
      <c r="G3" s="3319"/>
      <c r="H3" s="3318" t="s">
        <v>3076</v>
      </c>
      <c r="I3" s="3319"/>
      <c r="J3" s="3319"/>
      <c r="K3" s="3319"/>
      <c r="L3" s="3319"/>
      <c r="M3" s="3318" t="s">
        <v>3077</v>
      </c>
      <c r="N3" s="3319"/>
      <c r="O3" s="3319"/>
      <c r="P3" s="3318" t="s">
        <v>3078</v>
      </c>
      <c r="Q3" s="3319"/>
      <c r="R3" s="3319"/>
      <c r="S3" s="3320"/>
      <c r="X3" s="2952" t="s">
        <v>3333</v>
      </c>
      <c r="Y3" s="2952" t="s">
        <v>3334</v>
      </c>
      <c r="Z3" s="2952" t="s">
        <v>3335</v>
      </c>
    </row>
    <row r="4" spans="1:26" ht="19.5" customHeight="1">
      <c r="A4" s="2953" t="s">
        <v>3079</v>
      </c>
      <c r="B4" s="3321" t="s">
        <v>3080</v>
      </c>
      <c r="C4" s="3322"/>
      <c r="D4" s="3323">
        <v>3748.85</v>
      </c>
      <c r="E4" s="3324"/>
      <c r="F4" s="3324"/>
      <c r="G4" s="3324"/>
      <c r="H4" s="3325">
        <v>0.113034</v>
      </c>
      <c r="I4" s="3324"/>
      <c r="J4" s="3324"/>
      <c r="K4" s="3326"/>
      <c r="L4" s="3322"/>
      <c r="M4" s="3327">
        <v>423.75</v>
      </c>
      <c r="N4" s="3322"/>
      <c r="O4" s="3322"/>
      <c r="P4" s="3328">
        <v>4172.6000000000004</v>
      </c>
      <c r="Q4" s="3329"/>
      <c r="R4" s="3329"/>
      <c r="S4" s="3329"/>
      <c r="V4" s="2952" t="s">
        <v>3329</v>
      </c>
      <c r="W4" s="2968">
        <f>P4</f>
        <v>4172.6000000000004</v>
      </c>
      <c r="X4" s="2952">
        <v>1</v>
      </c>
      <c r="Y4" s="2952">
        <v>2.2000000000000002</v>
      </c>
      <c r="Z4" s="2952">
        <v>1.2</v>
      </c>
    </row>
    <row r="5" spans="1:26" ht="19.5" customHeight="1">
      <c r="A5" s="3318" t="s">
        <v>3081</v>
      </c>
      <c r="B5" s="3321" t="s">
        <v>3082</v>
      </c>
      <c r="C5" s="3322"/>
      <c r="D5" s="3323">
        <v>1604.17</v>
      </c>
      <c r="E5" s="3324"/>
      <c r="F5" s="3324"/>
      <c r="G5" s="3324"/>
      <c r="H5" s="3325">
        <v>0.120073</v>
      </c>
      <c r="I5" s="3324"/>
      <c r="J5" s="3324"/>
      <c r="K5" s="3326"/>
      <c r="L5" s="3322"/>
      <c r="M5" s="3327">
        <v>192.62</v>
      </c>
      <c r="N5" s="3322"/>
      <c r="O5" s="3322"/>
      <c r="P5" s="3328">
        <v>1796.79</v>
      </c>
      <c r="Q5" s="3329"/>
      <c r="R5" s="3329"/>
      <c r="S5" s="3329"/>
      <c r="V5" s="2952" t="s">
        <v>3330</v>
      </c>
      <c r="W5" s="2968">
        <f>P5+P6+P7</f>
        <v>3463.9700000000003</v>
      </c>
      <c r="X5" s="2952">
        <v>0.6</v>
      </c>
      <c r="Y5" s="2952">
        <f>ROUND($Y$4*X5,1)</f>
        <v>1.3</v>
      </c>
    </row>
    <row r="6" spans="1:26" ht="19.5" customHeight="1">
      <c r="A6" s="3319"/>
      <c r="B6" s="3321" t="s">
        <v>3083</v>
      </c>
      <c r="C6" s="3322"/>
      <c r="D6" s="3323">
        <v>87.66</v>
      </c>
      <c r="E6" s="3324"/>
      <c r="F6" s="3324"/>
      <c r="G6" s="3324"/>
      <c r="H6" s="3325">
        <v>0.120073</v>
      </c>
      <c r="I6" s="3324"/>
      <c r="J6" s="3324"/>
      <c r="K6" s="3326"/>
      <c r="L6" s="3322"/>
      <c r="M6" s="3327">
        <v>10.53</v>
      </c>
      <c r="N6" s="3322"/>
      <c r="O6" s="3322"/>
      <c r="P6" s="3328">
        <v>98.19</v>
      </c>
      <c r="Q6" s="3329"/>
      <c r="R6" s="3329"/>
      <c r="S6" s="3329"/>
      <c r="V6" s="2952" t="s">
        <v>3331</v>
      </c>
      <c r="W6" s="2968">
        <f>P8+P9</f>
        <v>3147.06</v>
      </c>
      <c r="X6" s="2952">
        <v>0.5</v>
      </c>
      <c r="Y6" s="2952">
        <f>ROUND($Y$4*X6,1)</f>
        <v>1.1000000000000001</v>
      </c>
    </row>
    <row r="7" spans="1:26" ht="19.5" customHeight="1">
      <c r="A7" s="3319"/>
      <c r="B7" s="3321" t="s">
        <v>3084</v>
      </c>
      <c r="C7" s="3322"/>
      <c r="D7" s="3323">
        <v>1400.79</v>
      </c>
      <c r="E7" s="3324"/>
      <c r="F7" s="3324"/>
      <c r="G7" s="3324"/>
      <c r="H7" s="3325">
        <v>0.120073</v>
      </c>
      <c r="I7" s="3324"/>
      <c r="J7" s="3324"/>
      <c r="K7" s="3326"/>
      <c r="L7" s="3322"/>
      <c r="M7" s="3327">
        <v>168.2</v>
      </c>
      <c r="N7" s="3322"/>
      <c r="O7" s="3322"/>
      <c r="P7" s="3328">
        <v>1568.99</v>
      </c>
      <c r="Q7" s="3329"/>
      <c r="R7" s="3329"/>
      <c r="S7" s="3329"/>
      <c r="V7" s="2952" t="s">
        <v>3332</v>
      </c>
      <c r="W7" s="2968">
        <f>SUM(W4:W6)</f>
        <v>10783.630000000001</v>
      </c>
      <c r="Y7" s="2952">
        <f>ROUND(Y4*W4/W7+Y5*W5/W7+Y6*W6/W7,1)</f>
        <v>1.6</v>
      </c>
    </row>
    <row r="8" spans="1:26" ht="19.5" customHeight="1">
      <c r="A8" s="3318" t="s">
        <v>3085</v>
      </c>
      <c r="B8" s="3321" t="s">
        <v>3086</v>
      </c>
      <c r="C8" s="3322"/>
      <c r="D8" s="3323">
        <v>1394.57</v>
      </c>
      <c r="E8" s="3324"/>
      <c r="F8" s="3324"/>
      <c r="G8" s="3324"/>
      <c r="H8" s="3325">
        <v>0.120073</v>
      </c>
      <c r="I8" s="3324"/>
      <c r="J8" s="3324"/>
      <c r="K8" s="3326"/>
      <c r="L8" s="3322"/>
      <c r="M8" s="3327">
        <v>167.45</v>
      </c>
      <c r="N8" s="3322"/>
      <c r="O8" s="3322"/>
      <c r="P8" s="3328">
        <v>1562.02</v>
      </c>
      <c r="Q8" s="3329"/>
      <c r="R8" s="3329"/>
      <c r="S8" s="3329"/>
    </row>
    <row r="9" spans="1:26" ht="19.5" customHeight="1">
      <c r="A9" s="3319"/>
      <c r="B9" s="3321" t="s">
        <v>3087</v>
      </c>
      <c r="C9" s="3322"/>
      <c r="D9" s="3323">
        <v>1415.12</v>
      </c>
      <c r="E9" s="3324"/>
      <c r="F9" s="3324"/>
      <c r="G9" s="3324"/>
      <c r="H9" s="3325">
        <v>0.120073</v>
      </c>
      <c r="I9" s="3324"/>
      <c r="J9" s="3324"/>
      <c r="K9" s="3326"/>
      <c r="L9" s="3322"/>
      <c r="M9" s="3327">
        <v>169.92</v>
      </c>
      <c r="N9" s="3322"/>
      <c r="O9" s="3322"/>
      <c r="P9" s="3328">
        <v>1585.04</v>
      </c>
      <c r="Q9" s="3329"/>
      <c r="R9" s="3329"/>
      <c r="S9" s="3329"/>
    </row>
    <row r="10" spans="1:26" ht="27" customHeight="1">
      <c r="A10" s="2953" t="s">
        <v>3088</v>
      </c>
      <c r="B10" s="3330"/>
      <c r="C10" s="3331"/>
      <c r="D10" s="3332">
        <v>9651.16</v>
      </c>
      <c r="E10" s="3333"/>
      <c r="F10" s="3333"/>
      <c r="G10" s="3333"/>
      <c r="H10" s="3334"/>
      <c r="I10" s="3335">
        <v>1132.47</v>
      </c>
      <c r="J10" s="3324"/>
      <c r="K10" s="3326"/>
      <c r="L10" s="3322"/>
      <c r="M10" s="3336">
        <v>1132.47</v>
      </c>
      <c r="N10" s="3322"/>
      <c r="O10" s="3322"/>
      <c r="P10" s="3337">
        <v>10783.63</v>
      </c>
      <c r="Q10" s="3338"/>
      <c r="R10" s="3338"/>
      <c r="S10" s="3338"/>
    </row>
    <row r="11" spans="1:26" ht="23.25" customHeight="1">
      <c r="A11" s="2954"/>
      <c r="B11" s="3339"/>
      <c r="C11" s="3339"/>
      <c r="D11" s="3340"/>
      <c r="E11" s="3333"/>
      <c r="F11" s="3333"/>
      <c r="G11" s="3333"/>
      <c r="H11" s="3334"/>
      <c r="I11" s="3324"/>
      <c r="J11" s="3324"/>
      <c r="K11" s="3326"/>
      <c r="L11" s="3322"/>
      <c r="M11" s="3326"/>
      <c r="N11" s="3322"/>
      <c r="O11" s="3322"/>
      <c r="P11" s="3326"/>
      <c r="Q11" s="3322"/>
      <c r="R11" s="3322"/>
      <c r="S11" s="3322"/>
    </row>
    <row r="12" spans="1:26" ht="27" customHeight="1">
      <c r="A12" s="2954"/>
      <c r="B12" s="3330"/>
      <c r="C12" s="3331"/>
      <c r="D12" s="3341"/>
      <c r="E12" s="3333"/>
      <c r="F12" s="3333"/>
      <c r="G12" s="3333"/>
      <c r="H12" s="3334"/>
      <c r="I12" s="3324"/>
      <c r="J12" s="3324"/>
      <c r="K12" s="3326"/>
      <c r="L12" s="3322"/>
      <c r="M12" s="3342"/>
      <c r="N12" s="3322"/>
      <c r="O12" s="3322"/>
      <c r="P12" s="3343"/>
      <c r="Q12" s="3338"/>
      <c r="R12" s="3338"/>
      <c r="S12" s="3344"/>
    </row>
    <row r="13" spans="1:26" ht="27" customHeight="1">
      <c r="A13" s="2954"/>
      <c r="B13" s="3330"/>
      <c r="C13" s="3331"/>
      <c r="D13" s="3341"/>
      <c r="E13" s="3333"/>
      <c r="F13" s="3333"/>
      <c r="G13" s="3333"/>
      <c r="H13" s="3334"/>
      <c r="I13" s="3324"/>
      <c r="J13" s="3324"/>
      <c r="K13" s="3326"/>
      <c r="L13" s="3322"/>
      <c r="M13" s="3342"/>
      <c r="N13" s="3322"/>
      <c r="O13" s="3322"/>
      <c r="P13" s="3343"/>
      <c r="Q13" s="3338"/>
      <c r="R13" s="3338"/>
      <c r="S13" s="3344"/>
    </row>
    <row r="14" spans="1:26" ht="27" customHeight="1">
      <c r="A14" s="2954"/>
      <c r="B14" s="3330"/>
      <c r="C14" s="3331"/>
      <c r="D14" s="3341"/>
      <c r="E14" s="3333"/>
      <c r="F14" s="3333"/>
      <c r="G14" s="3333"/>
      <c r="H14" s="3334"/>
      <c r="I14" s="3324"/>
      <c r="J14" s="3324"/>
      <c r="K14" s="3326"/>
      <c r="L14" s="3322"/>
      <c r="M14" s="3342"/>
      <c r="N14" s="3322"/>
      <c r="O14" s="3322"/>
      <c r="P14" s="3343"/>
      <c r="Q14" s="3338"/>
      <c r="R14" s="3338"/>
      <c r="S14" s="3344"/>
    </row>
    <row r="15" spans="1:26" ht="27" customHeight="1">
      <c r="A15" s="2954"/>
      <c r="B15" s="3330"/>
      <c r="C15" s="3331"/>
      <c r="D15" s="3341"/>
      <c r="E15" s="3333"/>
      <c r="F15" s="3333"/>
      <c r="G15" s="3333"/>
      <c r="H15" s="3334"/>
      <c r="I15" s="3324"/>
      <c r="J15" s="3324"/>
      <c r="K15" s="3326"/>
      <c r="L15" s="3322"/>
      <c r="M15" s="3342"/>
      <c r="N15" s="3322"/>
      <c r="O15" s="3322"/>
      <c r="P15" s="3343"/>
      <c r="Q15" s="3338"/>
      <c r="R15" s="3338"/>
      <c r="S15" s="3344"/>
    </row>
    <row r="16" spans="1:26" ht="27" customHeight="1">
      <c r="A16" s="2954"/>
      <c r="B16" s="3330"/>
      <c r="C16" s="3331"/>
      <c r="D16" s="3341"/>
      <c r="E16" s="3333"/>
      <c r="F16" s="3333"/>
      <c r="G16" s="3333"/>
      <c r="H16" s="3334"/>
      <c r="I16" s="3324"/>
      <c r="J16" s="3324"/>
      <c r="K16" s="3326"/>
      <c r="L16" s="3322"/>
      <c r="M16" s="3342"/>
      <c r="N16" s="3322"/>
      <c r="O16" s="3322"/>
      <c r="P16" s="3343"/>
      <c r="Q16" s="3338"/>
      <c r="R16" s="3338"/>
      <c r="S16" s="3344"/>
    </row>
    <row r="17" spans="1:19" ht="27" customHeight="1">
      <c r="A17" s="2954"/>
      <c r="B17" s="3330"/>
      <c r="C17" s="3331"/>
      <c r="D17" s="3341"/>
      <c r="E17" s="3333"/>
      <c r="F17" s="3333"/>
      <c r="G17" s="3333"/>
      <c r="H17" s="3334"/>
      <c r="I17" s="3324"/>
      <c r="J17" s="3324"/>
      <c r="K17" s="3326"/>
      <c r="L17" s="3322"/>
      <c r="M17" s="3342"/>
      <c r="N17" s="3322"/>
      <c r="O17" s="3322"/>
      <c r="P17" s="3343"/>
      <c r="Q17" s="3338"/>
      <c r="R17" s="3338"/>
      <c r="S17" s="3344"/>
    </row>
    <row r="18" spans="1:19" ht="27" customHeight="1">
      <c r="A18" s="2954"/>
      <c r="B18" s="3330"/>
      <c r="C18" s="3331"/>
      <c r="D18" s="3341"/>
      <c r="E18" s="3333"/>
      <c r="F18" s="3333"/>
      <c r="G18" s="3333"/>
      <c r="H18" s="3334"/>
      <c r="I18" s="3324"/>
      <c r="J18" s="3324"/>
      <c r="K18" s="3326"/>
      <c r="L18" s="3322"/>
      <c r="M18" s="3342"/>
      <c r="N18" s="3322"/>
      <c r="O18" s="3322"/>
      <c r="P18" s="3343"/>
      <c r="Q18" s="3338"/>
      <c r="R18" s="3338"/>
      <c r="S18" s="3344"/>
    </row>
    <row r="19" spans="1:19" ht="27" customHeight="1">
      <c r="A19" s="2954"/>
      <c r="B19" s="3330"/>
      <c r="C19" s="3331"/>
      <c r="D19" s="3341"/>
      <c r="E19" s="3333"/>
      <c r="F19" s="3333"/>
      <c r="G19" s="3333"/>
      <c r="H19" s="3334"/>
      <c r="I19" s="3324"/>
      <c r="J19" s="3324"/>
      <c r="K19" s="3326"/>
      <c r="L19" s="3322"/>
      <c r="M19" s="3342"/>
      <c r="N19" s="3322"/>
      <c r="O19" s="3322"/>
      <c r="P19" s="3343"/>
      <c r="Q19" s="3338"/>
      <c r="R19" s="3338"/>
      <c r="S19" s="3344"/>
    </row>
    <row r="20" spans="1:19" ht="27" customHeight="1">
      <c r="A20" s="2954"/>
      <c r="B20" s="3330"/>
      <c r="C20" s="3331"/>
      <c r="D20" s="3341"/>
      <c r="E20" s="3333"/>
      <c r="F20" s="3333"/>
      <c r="G20" s="3333"/>
      <c r="H20" s="3334"/>
      <c r="I20" s="3324"/>
      <c r="J20" s="3324"/>
      <c r="K20" s="3326"/>
      <c r="L20" s="3322"/>
      <c r="M20" s="3342"/>
      <c r="N20" s="3322"/>
      <c r="O20" s="3322"/>
      <c r="P20" s="3343"/>
      <c r="Q20" s="3338"/>
      <c r="R20" s="3338"/>
      <c r="S20" s="3344"/>
    </row>
    <row r="21" spans="1:19" ht="27" customHeight="1">
      <c r="A21" s="2954"/>
      <c r="B21" s="3330"/>
      <c r="C21" s="3331"/>
      <c r="D21" s="3341"/>
      <c r="E21" s="3333"/>
      <c r="F21" s="3333"/>
      <c r="G21" s="3333"/>
      <c r="H21" s="3334"/>
      <c r="I21" s="3324"/>
      <c r="J21" s="3324"/>
      <c r="K21" s="3326"/>
      <c r="L21" s="3322"/>
      <c r="M21" s="3342"/>
      <c r="N21" s="3322"/>
      <c r="O21" s="3322"/>
      <c r="P21" s="3343"/>
      <c r="Q21" s="3338"/>
      <c r="R21" s="3338"/>
      <c r="S21" s="3344"/>
    </row>
    <row r="22" spans="1:19" ht="27" customHeight="1">
      <c r="A22" s="2954"/>
      <c r="B22" s="3330"/>
      <c r="C22" s="3331"/>
      <c r="D22" s="3341"/>
      <c r="E22" s="3333"/>
      <c r="F22" s="3333"/>
      <c r="G22" s="3333"/>
      <c r="H22" s="3334"/>
      <c r="I22" s="3324"/>
      <c r="J22" s="3324"/>
      <c r="K22" s="3326"/>
      <c r="L22" s="3322"/>
      <c r="M22" s="3342"/>
      <c r="N22" s="3322"/>
      <c r="O22" s="3322"/>
      <c r="P22" s="3343"/>
      <c r="Q22" s="3338"/>
      <c r="R22" s="3338"/>
      <c r="S22" s="3344"/>
    </row>
    <row r="23" spans="1:19" ht="27" customHeight="1">
      <c r="A23" s="2954"/>
      <c r="B23" s="3330"/>
      <c r="C23" s="3331"/>
      <c r="D23" s="3341"/>
      <c r="E23" s="3333"/>
      <c r="F23" s="3333"/>
      <c r="G23" s="3333"/>
      <c r="H23" s="3334"/>
      <c r="I23" s="3324"/>
      <c r="J23" s="3324"/>
      <c r="K23" s="3326"/>
      <c r="L23" s="3322"/>
      <c r="M23" s="3342"/>
      <c r="N23" s="3322"/>
      <c r="O23" s="3322"/>
      <c r="P23" s="3343"/>
      <c r="Q23" s="3338"/>
      <c r="R23" s="3338"/>
      <c r="S23" s="3344"/>
    </row>
    <row r="24" spans="1:19" ht="27" customHeight="1">
      <c r="A24" s="2954"/>
      <c r="B24" s="3330"/>
      <c r="C24" s="3331"/>
      <c r="D24" s="3341"/>
      <c r="E24" s="3333"/>
      <c r="F24" s="3333"/>
      <c r="G24" s="3333"/>
      <c r="H24" s="3334"/>
      <c r="I24" s="3324"/>
      <c r="J24" s="3324"/>
      <c r="K24" s="3326"/>
      <c r="L24" s="3322"/>
      <c r="M24" s="3342"/>
      <c r="N24" s="3322"/>
      <c r="O24" s="3322"/>
      <c r="P24" s="3343"/>
      <c r="Q24" s="3338"/>
      <c r="R24" s="3338"/>
      <c r="S24" s="3344"/>
    </row>
    <row r="25" spans="1:19" ht="27" customHeight="1">
      <c r="A25" s="2954"/>
      <c r="B25" s="3330"/>
      <c r="C25" s="3331"/>
      <c r="D25" s="3341"/>
      <c r="E25" s="3333"/>
      <c r="F25" s="3333"/>
      <c r="G25" s="3333"/>
      <c r="H25" s="3334"/>
      <c r="I25" s="3324"/>
      <c r="J25" s="3324"/>
      <c r="K25" s="3326"/>
      <c r="L25" s="3322"/>
      <c r="M25" s="3342"/>
      <c r="N25" s="3322"/>
      <c r="O25" s="3322"/>
      <c r="P25" s="3343"/>
      <c r="Q25" s="3338"/>
      <c r="R25" s="3338"/>
      <c r="S25" s="3344"/>
    </row>
    <row r="26" spans="1:19" ht="27" customHeight="1">
      <c r="A26" s="2954"/>
      <c r="B26" s="3330"/>
      <c r="C26" s="3331"/>
      <c r="D26" s="3341"/>
      <c r="E26" s="3333"/>
      <c r="F26" s="3333"/>
      <c r="G26" s="3333"/>
      <c r="H26" s="3334"/>
      <c r="I26" s="3324"/>
      <c r="J26" s="3324"/>
      <c r="K26" s="3326"/>
      <c r="L26" s="3322"/>
      <c r="M26" s="3342"/>
      <c r="N26" s="3322"/>
      <c r="O26" s="3322"/>
      <c r="P26" s="3343"/>
      <c r="Q26" s="3338"/>
      <c r="R26" s="3338"/>
      <c r="S26" s="3344"/>
    </row>
    <row r="27" spans="1:19" ht="23.25" customHeight="1" thickBot="1">
      <c r="A27" s="3345" t="s">
        <v>3089</v>
      </c>
      <c r="B27" s="3346"/>
      <c r="C27" s="3346"/>
      <c r="D27" s="3347"/>
      <c r="E27" s="3348"/>
      <c r="F27" s="3348"/>
      <c r="G27" s="3348"/>
      <c r="H27" s="3349"/>
      <c r="I27" s="3350"/>
      <c r="J27" s="3350"/>
      <c r="K27" s="3351"/>
      <c r="L27" s="3346"/>
      <c r="M27" s="3352"/>
      <c r="N27" s="3346"/>
      <c r="O27" s="3346"/>
      <c r="P27" s="3351"/>
      <c r="Q27" s="3346"/>
      <c r="R27" s="3346"/>
      <c r="S27" s="3353"/>
    </row>
  </sheetData>
  <mergeCells count="130">
    <mergeCell ref="A27:S27"/>
    <mergeCell ref="B25:C25"/>
    <mergeCell ref="D25:G25"/>
    <mergeCell ref="H25:L25"/>
    <mergeCell ref="M25:O25"/>
    <mergeCell ref="P25:S25"/>
    <mergeCell ref="B26:C26"/>
    <mergeCell ref="D26:G26"/>
    <mergeCell ref="H26:L26"/>
    <mergeCell ref="M26:O26"/>
    <mergeCell ref="P26:S26"/>
    <mergeCell ref="B23:C23"/>
    <mergeCell ref="D23:G23"/>
    <mergeCell ref="H23:L23"/>
    <mergeCell ref="M23:O23"/>
    <mergeCell ref="P23:S23"/>
    <mergeCell ref="B24:C24"/>
    <mergeCell ref="D24:G24"/>
    <mergeCell ref="H24:L24"/>
    <mergeCell ref="M24:O24"/>
    <mergeCell ref="P24:S24"/>
    <mergeCell ref="B21:C21"/>
    <mergeCell ref="D21:G21"/>
    <mergeCell ref="H21:L21"/>
    <mergeCell ref="M21:O21"/>
    <mergeCell ref="P21:S21"/>
    <mergeCell ref="B22:C22"/>
    <mergeCell ref="D22:G22"/>
    <mergeCell ref="H22:L22"/>
    <mergeCell ref="M22:O22"/>
    <mergeCell ref="P22:S22"/>
    <mergeCell ref="B19:C19"/>
    <mergeCell ref="D19:G19"/>
    <mergeCell ref="H19:L19"/>
    <mergeCell ref="M19:O19"/>
    <mergeCell ref="P19:S19"/>
    <mergeCell ref="B20:C20"/>
    <mergeCell ref="D20:G20"/>
    <mergeCell ref="H20:L20"/>
    <mergeCell ref="M20:O20"/>
    <mergeCell ref="P20:S20"/>
    <mergeCell ref="B17:C17"/>
    <mergeCell ref="D17:G17"/>
    <mergeCell ref="H17:L17"/>
    <mergeCell ref="M17:O17"/>
    <mergeCell ref="P17:S17"/>
    <mergeCell ref="B18:C18"/>
    <mergeCell ref="D18:G18"/>
    <mergeCell ref="H18:L18"/>
    <mergeCell ref="M18:O18"/>
    <mergeCell ref="P18:S18"/>
    <mergeCell ref="B15:C15"/>
    <mergeCell ref="D15:G15"/>
    <mergeCell ref="H15:L15"/>
    <mergeCell ref="M15:O15"/>
    <mergeCell ref="P15:S15"/>
    <mergeCell ref="B16:C16"/>
    <mergeCell ref="D16:G16"/>
    <mergeCell ref="H16:L16"/>
    <mergeCell ref="M16:O16"/>
    <mergeCell ref="P16:S16"/>
    <mergeCell ref="B13:C13"/>
    <mergeCell ref="D13:G13"/>
    <mergeCell ref="H13:L13"/>
    <mergeCell ref="M13:O13"/>
    <mergeCell ref="P13:S13"/>
    <mergeCell ref="B14:C14"/>
    <mergeCell ref="D14:G14"/>
    <mergeCell ref="H14:L14"/>
    <mergeCell ref="M14:O14"/>
    <mergeCell ref="P14:S14"/>
    <mergeCell ref="B11:C11"/>
    <mergeCell ref="D11:G11"/>
    <mergeCell ref="H11:L11"/>
    <mergeCell ref="M11:O11"/>
    <mergeCell ref="P11:S11"/>
    <mergeCell ref="B12:C12"/>
    <mergeCell ref="D12:G12"/>
    <mergeCell ref="H12:L12"/>
    <mergeCell ref="M12:O12"/>
    <mergeCell ref="P12:S12"/>
    <mergeCell ref="P9:S9"/>
    <mergeCell ref="B10:C10"/>
    <mergeCell ref="D10:G10"/>
    <mergeCell ref="H10:L10"/>
    <mergeCell ref="M10:O10"/>
    <mergeCell ref="P10:S10"/>
    <mergeCell ref="A8:A9"/>
    <mergeCell ref="B8:C8"/>
    <mergeCell ref="D8:G8"/>
    <mergeCell ref="H8:L8"/>
    <mergeCell ref="M8:O8"/>
    <mergeCell ref="P8:S8"/>
    <mergeCell ref="B9:C9"/>
    <mergeCell ref="D9:G9"/>
    <mergeCell ref="H9:L9"/>
    <mergeCell ref="M9:O9"/>
    <mergeCell ref="A5:A7"/>
    <mergeCell ref="B5:C5"/>
    <mergeCell ref="D5:G5"/>
    <mergeCell ref="H5:L5"/>
    <mergeCell ref="M5:O5"/>
    <mergeCell ref="P5:S5"/>
    <mergeCell ref="B6:C6"/>
    <mergeCell ref="D6:G6"/>
    <mergeCell ref="H6:L6"/>
    <mergeCell ref="M6:O6"/>
    <mergeCell ref="B4:C4"/>
    <mergeCell ref="D4:G4"/>
    <mergeCell ref="H4:L4"/>
    <mergeCell ref="M4:O4"/>
    <mergeCell ref="P4:S4"/>
    <mergeCell ref="P6:S6"/>
    <mergeCell ref="B7:C7"/>
    <mergeCell ref="D7:G7"/>
    <mergeCell ref="H7:L7"/>
    <mergeCell ref="M7:O7"/>
    <mergeCell ref="P7:S7"/>
    <mergeCell ref="A1:S1"/>
    <mergeCell ref="A2:C2"/>
    <mergeCell ref="D2:J2"/>
    <mergeCell ref="K2:L2"/>
    <mergeCell ref="M2:O2"/>
    <mergeCell ref="P2:Q2"/>
    <mergeCell ref="R2:S2"/>
    <mergeCell ref="B3:C3"/>
    <mergeCell ref="D3:G3"/>
    <mergeCell ref="H3:L3"/>
    <mergeCell ref="M3:O3"/>
    <mergeCell ref="P3:S3"/>
  </mergeCells>
  <phoneticPr fontId="143" type="noConversion"/>
  <pageMargins left="0.74802999999999997" right="0.74802999999999997" top="0.98424999999999996" bottom="0.98424999999999996" header="0.51180999999999988" footer="0.51180999999999988"/>
  <pageSetup paperSize="9" orientation="portrait" errors="blank"/>
  <headerFooter scaleWithDoc="0"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V56"/>
  <sheetViews>
    <sheetView topLeftCell="D1" workbookViewId="0">
      <selection activeCell="R7" sqref="R7"/>
    </sheetView>
  </sheetViews>
  <sheetFormatPr defaultRowHeight="12.75"/>
  <cols>
    <col min="1" max="1" width="50.25" style="2959" customWidth="1"/>
    <col min="2" max="2" width="7.875" style="2959" customWidth="1"/>
    <col min="3" max="3" width="9.625" style="2959" customWidth="1"/>
    <col min="4" max="4" width="6.25" style="2959" customWidth="1"/>
    <col min="5" max="5" width="11.5" style="2959" customWidth="1"/>
    <col min="6" max="6" width="11.25" style="2959" customWidth="1"/>
    <col min="7" max="7" width="11.5" style="2959" customWidth="1"/>
    <col min="8" max="8" width="7" style="2959" customWidth="1"/>
    <col min="9" max="9" width="12.625" style="2959" customWidth="1"/>
    <col min="10" max="10" width="12.875" style="2959" customWidth="1"/>
    <col min="11" max="11" width="7.875" style="2959" customWidth="1"/>
    <col min="12" max="12" width="9" style="2959" customWidth="1"/>
    <col min="13" max="13" width="10.5" style="2959" customWidth="1"/>
    <col min="14" max="14" width="7.875" style="2959" customWidth="1"/>
    <col min="15" max="15" width="15" style="2959" customWidth="1"/>
    <col min="16" max="16" width="10.625" style="2959" customWidth="1"/>
    <col min="17" max="17" width="8.25" style="2959" customWidth="1"/>
    <col min="18" max="18" width="10" style="2959" customWidth="1"/>
    <col min="19" max="19" width="6.25" style="2959" customWidth="1"/>
    <col min="20" max="21" width="7.875" style="2959" customWidth="1"/>
    <col min="22" max="256" width="9" style="2959"/>
    <col min="257" max="257" width="29" style="2959" customWidth="1"/>
    <col min="258" max="258" width="7.875" style="2959" customWidth="1"/>
    <col min="259" max="259" width="9.625" style="2959" customWidth="1"/>
    <col min="260" max="260" width="6.25" style="2959" customWidth="1"/>
    <col min="261" max="261" width="11.5" style="2959" customWidth="1"/>
    <col min="262" max="262" width="11.25" style="2959" customWidth="1"/>
    <col min="263" max="263" width="11.5" style="2959" customWidth="1"/>
    <col min="264" max="264" width="7" style="2959" customWidth="1"/>
    <col min="265" max="265" width="12.625" style="2959" customWidth="1"/>
    <col min="266" max="266" width="12.875" style="2959" customWidth="1"/>
    <col min="267" max="267" width="7.875" style="2959" customWidth="1"/>
    <col min="268" max="268" width="9" style="2959" customWidth="1"/>
    <col min="269" max="269" width="10.5" style="2959" customWidth="1"/>
    <col min="270" max="270" width="7.875" style="2959" customWidth="1"/>
    <col min="271" max="271" width="15" style="2959" customWidth="1"/>
    <col min="272" max="272" width="10.625" style="2959" customWidth="1"/>
    <col min="273" max="273" width="8.25" style="2959" customWidth="1"/>
    <col min="274" max="274" width="10" style="2959" customWidth="1"/>
    <col min="275" max="275" width="6.25" style="2959" customWidth="1"/>
    <col min="276" max="277" width="7.875" style="2959" customWidth="1"/>
    <col min="278" max="512" width="9" style="2959"/>
    <col min="513" max="513" width="29" style="2959" customWidth="1"/>
    <col min="514" max="514" width="7.875" style="2959" customWidth="1"/>
    <col min="515" max="515" width="9.625" style="2959" customWidth="1"/>
    <col min="516" max="516" width="6.25" style="2959" customWidth="1"/>
    <col min="517" max="517" width="11.5" style="2959" customWidth="1"/>
    <col min="518" max="518" width="11.25" style="2959" customWidth="1"/>
    <col min="519" max="519" width="11.5" style="2959" customWidth="1"/>
    <col min="520" max="520" width="7" style="2959" customWidth="1"/>
    <col min="521" max="521" width="12.625" style="2959" customWidth="1"/>
    <col min="522" max="522" width="12.875" style="2959" customWidth="1"/>
    <col min="523" max="523" width="7.875" style="2959" customWidth="1"/>
    <col min="524" max="524" width="9" style="2959" customWidth="1"/>
    <col min="525" max="525" width="10.5" style="2959" customWidth="1"/>
    <col min="526" max="526" width="7.875" style="2959" customWidth="1"/>
    <col min="527" max="527" width="15" style="2959" customWidth="1"/>
    <col min="528" max="528" width="10.625" style="2959" customWidth="1"/>
    <col min="529" max="529" width="8.25" style="2959" customWidth="1"/>
    <col min="530" max="530" width="10" style="2959" customWidth="1"/>
    <col min="531" max="531" width="6.25" style="2959" customWidth="1"/>
    <col min="532" max="533" width="7.875" style="2959" customWidth="1"/>
    <col min="534" max="768" width="9" style="2959"/>
    <col min="769" max="769" width="29" style="2959" customWidth="1"/>
    <col min="770" max="770" width="7.875" style="2959" customWidth="1"/>
    <col min="771" max="771" width="9.625" style="2959" customWidth="1"/>
    <col min="772" max="772" width="6.25" style="2959" customWidth="1"/>
    <col min="773" max="773" width="11.5" style="2959" customWidth="1"/>
    <col min="774" max="774" width="11.25" style="2959" customWidth="1"/>
    <col min="775" max="775" width="11.5" style="2959" customWidth="1"/>
    <col min="776" max="776" width="7" style="2959" customWidth="1"/>
    <col min="777" max="777" width="12.625" style="2959" customWidth="1"/>
    <col min="778" max="778" width="12.875" style="2959" customWidth="1"/>
    <col min="779" max="779" width="7.875" style="2959" customWidth="1"/>
    <col min="780" max="780" width="9" style="2959" customWidth="1"/>
    <col min="781" max="781" width="10.5" style="2959" customWidth="1"/>
    <col min="782" max="782" width="7.875" style="2959" customWidth="1"/>
    <col min="783" max="783" width="15" style="2959" customWidth="1"/>
    <col min="784" max="784" width="10.625" style="2959" customWidth="1"/>
    <col min="785" max="785" width="8.25" style="2959" customWidth="1"/>
    <col min="786" max="786" width="10" style="2959" customWidth="1"/>
    <col min="787" max="787" width="6.25" style="2959" customWidth="1"/>
    <col min="788" max="789" width="7.875" style="2959" customWidth="1"/>
    <col min="790" max="1024" width="9" style="2959"/>
    <col min="1025" max="1025" width="29" style="2959" customWidth="1"/>
    <col min="1026" max="1026" width="7.875" style="2959" customWidth="1"/>
    <col min="1027" max="1027" width="9.625" style="2959" customWidth="1"/>
    <col min="1028" max="1028" width="6.25" style="2959" customWidth="1"/>
    <col min="1029" max="1029" width="11.5" style="2959" customWidth="1"/>
    <col min="1030" max="1030" width="11.25" style="2959" customWidth="1"/>
    <col min="1031" max="1031" width="11.5" style="2959" customWidth="1"/>
    <col min="1032" max="1032" width="7" style="2959" customWidth="1"/>
    <col min="1033" max="1033" width="12.625" style="2959" customWidth="1"/>
    <col min="1034" max="1034" width="12.875" style="2959" customWidth="1"/>
    <col min="1035" max="1035" width="7.875" style="2959" customWidth="1"/>
    <col min="1036" max="1036" width="9" style="2959" customWidth="1"/>
    <col min="1037" max="1037" width="10.5" style="2959" customWidth="1"/>
    <col min="1038" max="1038" width="7.875" style="2959" customWidth="1"/>
    <col min="1039" max="1039" width="15" style="2959" customWidth="1"/>
    <col min="1040" max="1040" width="10.625" style="2959" customWidth="1"/>
    <col min="1041" max="1041" width="8.25" style="2959" customWidth="1"/>
    <col min="1042" max="1042" width="10" style="2959" customWidth="1"/>
    <col min="1043" max="1043" width="6.25" style="2959" customWidth="1"/>
    <col min="1044" max="1045" width="7.875" style="2959" customWidth="1"/>
    <col min="1046" max="1280" width="9" style="2959"/>
    <col min="1281" max="1281" width="29" style="2959" customWidth="1"/>
    <col min="1282" max="1282" width="7.875" style="2959" customWidth="1"/>
    <col min="1283" max="1283" width="9.625" style="2959" customWidth="1"/>
    <col min="1284" max="1284" width="6.25" style="2959" customWidth="1"/>
    <col min="1285" max="1285" width="11.5" style="2959" customWidth="1"/>
    <col min="1286" max="1286" width="11.25" style="2959" customWidth="1"/>
    <col min="1287" max="1287" width="11.5" style="2959" customWidth="1"/>
    <col min="1288" max="1288" width="7" style="2959" customWidth="1"/>
    <col min="1289" max="1289" width="12.625" style="2959" customWidth="1"/>
    <col min="1290" max="1290" width="12.875" style="2959" customWidth="1"/>
    <col min="1291" max="1291" width="7.875" style="2959" customWidth="1"/>
    <col min="1292" max="1292" width="9" style="2959" customWidth="1"/>
    <col min="1293" max="1293" width="10.5" style="2959" customWidth="1"/>
    <col min="1294" max="1294" width="7.875" style="2959" customWidth="1"/>
    <col min="1295" max="1295" width="15" style="2959" customWidth="1"/>
    <col min="1296" max="1296" width="10.625" style="2959" customWidth="1"/>
    <col min="1297" max="1297" width="8.25" style="2959" customWidth="1"/>
    <col min="1298" max="1298" width="10" style="2959" customWidth="1"/>
    <col min="1299" max="1299" width="6.25" style="2959" customWidth="1"/>
    <col min="1300" max="1301" width="7.875" style="2959" customWidth="1"/>
    <col min="1302" max="1536" width="9" style="2959"/>
    <col min="1537" max="1537" width="29" style="2959" customWidth="1"/>
    <col min="1538" max="1538" width="7.875" style="2959" customWidth="1"/>
    <col min="1539" max="1539" width="9.625" style="2959" customWidth="1"/>
    <col min="1540" max="1540" width="6.25" style="2959" customWidth="1"/>
    <col min="1541" max="1541" width="11.5" style="2959" customWidth="1"/>
    <col min="1542" max="1542" width="11.25" style="2959" customWidth="1"/>
    <col min="1543" max="1543" width="11.5" style="2959" customWidth="1"/>
    <col min="1544" max="1544" width="7" style="2959" customWidth="1"/>
    <col min="1545" max="1545" width="12.625" style="2959" customWidth="1"/>
    <col min="1546" max="1546" width="12.875" style="2959" customWidth="1"/>
    <col min="1547" max="1547" width="7.875" style="2959" customWidth="1"/>
    <col min="1548" max="1548" width="9" style="2959" customWidth="1"/>
    <col min="1549" max="1549" width="10.5" style="2959" customWidth="1"/>
    <col min="1550" max="1550" width="7.875" style="2959" customWidth="1"/>
    <col min="1551" max="1551" width="15" style="2959" customWidth="1"/>
    <col min="1552" max="1552" width="10.625" style="2959" customWidth="1"/>
    <col min="1553" max="1553" width="8.25" style="2959" customWidth="1"/>
    <col min="1554" max="1554" width="10" style="2959" customWidth="1"/>
    <col min="1555" max="1555" width="6.25" style="2959" customWidth="1"/>
    <col min="1556" max="1557" width="7.875" style="2959" customWidth="1"/>
    <col min="1558" max="1792" width="9" style="2959"/>
    <col min="1793" max="1793" width="29" style="2959" customWidth="1"/>
    <col min="1794" max="1794" width="7.875" style="2959" customWidth="1"/>
    <col min="1795" max="1795" width="9.625" style="2959" customWidth="1"/>
    <col min="1796" max="1796" width="6.25" style="2959" customWidth="1"/>
    <col min="1797" max="1797" width="11.5" style="2959" customWidth="1"/>
    <col min="1798" max="1798" width="11.25" style="2959" customWidth="1"/>
    <col min="1799" max="1799" width="11.5" style="2959" customWidth="1"/>
    <col min="1800" max="1800" width="7" style="2959" customWidth="1"/>
    <col min="1801" max="1801" width="12.625" style="2959" customWidth="1"/>
    <col min="1802" max="1802" width="12.875" style="2959" customWidth="1"/>
    <col min="1803" max="1803" width="7.875" style="2959" customWidth="1"/>
    <col min="1804" max="1804" width="9" style="2959" customWidth="1"/>
    <col min="1805" max="1805" width="10.5" style="2959" customWidth="1"/>
    <col min="1806" max="1806" width="7.875" style="2959" customWidth="1"/>
    <col min="1807" max="1807" width="15" style="2959" customWidth="1"/>
    <col min="1808" max="1808" width="10.625" style="2959" customWidth="1"/>
    <col min="1809" max="1809" width="8.25" style="2959" customWidth="1"/>
    <col min="1810" max="1810" width="10" style="2959" customWidth="1"/>
    <col min="1811" max="1811" width="6.25" style="2959" customWidth="1"/>
    <col min="1812" max="1813" width="7.875" style="2959" customWidth="1"/>
    <col min="1814" max="2048" width="9" style="2959"/>
    <col min="2049" max="2049" width="29" style="2959" customWidth="1"/>
    <col min="2050" max="2050" width="7.875" style="2959" customWidth="1"/>
    <col min="2051" max="2051" width="9.625" style="2959" customWidth="1"/>
    <col min="2052" max="2052" width="6.25" style="2959" customWidth="1"/>
    <col min="2053" max="2053" width="11.5" style="2959" customWidth="1"/>
    <col min="2054" max="2054" width="11.25" style="2959" customWidth="1"/>
    <col min="2055" max="2055" width="11.5" style="2959" customWidth="1"/>
    <col min="2056" max="2056" width="7" style="2959" customWidth="1"/>
    <col min="2057" max="2057" width="12.625" style="2959" customWidth="1"/>
    <col min="2058" max="2058" width="12.875" style="2959" customWidth="1"/>
    <col min="2059" max="2059" width="7.875" style="2959" customWidth="1"/>
    <col min="2060" max="2060" width="9" style="2959" customWidth="1"/>
    <col min="2061" max="2061" width="10.5" style="2959" customWidth="1"/>
    <col min="2062" max="2062" width="7.875" style="2959" customWidth="1"/>
    <col min="2063" max="2063" width="15" style="2959" customWidth="1"/>
    <col min="2064" max="2064" width="10.625" style="2959" customWidth="1"/>
    <col min="2065" max="2065" width="8.25" style="2959" customWidth="1"/>
    <col min="2066" max="2066" width="10" style="2959" customWidth="1"/>
    <col min="2067" max="2067" width="6.25" style="2959" customWidth="1"/>
    <col min="2068" max="2069" width="7.875" style="2959" customWidth="1"/>
    <col min="2070" max="2304" width="9" style="2959"/>
    <col min="2305" max="2305" width="29" style="2959" customWidth="1"/>
    <col min="2306" max="2306" width="7.875" style="2959" customWidth="1"/>
    <col min="2307" max="2307" width="9.625" style="2959" customWidth="1"/>
    <col min="2308" max="2308" width="6.25" style="2959" customWidth="1"/>
    <col min="2309" max="2309" width="11.5" style="2959" customWidth="1"/>
    <col min="2310" max="2310" width="11.25" style="2959" customWidth="1"/>
    <col min="2311" max="2311" width="11.5" style="2959" customWidth="1"/>
    <col min="2312" max="2312" width="7" style="2959" customWidth="1"/>
    <col min="2313" max="2313" width="12.625" style="2959" customWidth="1"/>
    <col min="2314" max="2314" width="12.875" style="2959" customWidth="1"/>
    <col min="2315" max="2315" width="7.875" style="2959" customWidth="1"/>
    <col min="2316" max="2316" width="9" style="2959" customWidth="1"/>
    <col min="2317" max="2317" width="10.5" style="2959" customWidth="1"/>
    <col min="2318" max="2318" width="7.875" style="2959" customWidth="1"/>
    <col min="2319" max="2319" width="15" style="2959" customWidth="1"/>
    <col min="2320" max="2320" width="10.625" style="2959" customWidth="1"/>
    <col min="2321" max="2321" width="8.25" style="2959" customWidth="1"/>
    <col min="2322" max="2322" width="10" style="2959" customWidth="1"/>
    <col min="2323" max="2323" width="6.25" style="2959" customWidth="1"/>
    <col min="2324" max="2325" width="7.875" style="2959" customWidth="1"/>
    <col min="2326" max="2560" width="9" style="2959"/>
    <col min="2561" max="2561" width="29" style="2959" customWidth="1"/>
    <col min="2562" max="2562" width="7.875" style="2959" customWidth="1"/>
    <col min="2563" max="2563" width="9.625" style="2959" customWidth="1"/>
    <col min="2564" max="2564" width="6.25" style="2959" customWidth="1"/>
    <col min="2565" max="2565" width="11.5" style="2959" customWidth="1"/>
    <col min="2566" max="2566" width="11.25" style="2959" customWidth="1"/>
    <col min="2567" max="2567" width="11.5" style="2959" customWidth="1"/>
    <col min="2568" max="2568" width="7" style="2959" customWidth="1"/>
    <col min="2569" max="2569" width="12.625" style="2959" customWidth="1"/>
    <col min="2570" max="2570" width="12.875" style="2959" customWidth="1"/>
    <col min="2571" max="2571" width="7.875" style="2959" customWidth="1"/>
    <col min="2572" max="2572" width="9" style="2959" customWidth="1"/>
    <col min="2573" max="2573" width="10.5" style="2959" customWidth="1"/>
    <col min="2574" max="2574" width="7.875" style="2959" customWidth="1"/>
    <col min="2575" max="2575" width="15" style="2959" customWidth="1"/>
    <col min="2576" max="2576" width="10.625" style="2959" customWidth="1"/>
    <col min="2577" max="2577" width="8.25" style="2959" customWidth="1"/>
    <col min="2578" max="2578" width="10" style="2959" customWidth="1"/>
    <col min="2579" max="2579" width="6.25" style="2959" customWidth="1"/>
    <col min="2580" max="2581" width="7.875" style="2959" customWidth="1"/>
    <col min="2582" max="2816" width="9" style="2959"/>
    <col min="2817" max="2817" width="29" style="2959" customWidth="1"/>
    <col min="2818" max="2818" width="7.875" style="2959" customWidth="1"/>
    <col min="2819" max="2819" width="9.625" style="2959" customWidth="1"/>
    <col min="2820" max="2820" width="6.25" style="2959" customWidth="1"/>
    <col min="2821" max="2821" width="11.5" style="2959" customWidth="1"/>
    <col min="2822" max="2822" width="11.25" style="2959" customWidth="1"/>
    <col min="2823" max="2823" width="11.5" style="2959" customWidth="1"/>
    <col min="2824" max="2824" width="7" style="2959" customWidth="1"/>
    <col min="2825" max="2825" width="12.625" style="2959" customWidth="1"/>
    <col min="2826" max="2826" width="12.875" style="2959" customWidth="1"/>
    <col min="2827" max="2827" width="7.875" style="2959" customWidth="1"/>
    <col min="2828" max="2828" width="9" style="2959" customWidth="1"/>
    <col min="2829" max="2829" width="10.5" style="2959" customWidth="1"/>
    <col min="2830" max="2830" width="7.875" style="2959" customWidth="1"/>
    <col min="2831" max="2831" width="15" style="2959" customWidth="1"/>
    <col min="2832" max="2832" width="10.625" style="2959" customWidth="1"/>
    <col min="2833" max="2833" width="8.25" style="2959" customWidth="1"/>
    <col min="2834" max="2834" width="10" style="2959" customWidth="1"/>
    <col min="2835" max="2835" width="6.25" style="2959" customWidth="1"/>
    <col min="2836" max="2837" width="7.875" style="2959" customWidth="1"/>
    <col min="2838" max="3072" width="9" style="2959"/>
    <col min="3073" max="3073" width="29" style="2959" customWidth="1"/>
    <col min="3074" max="3074" width="7.875" style="2959" customWidth="1"/>
    <col min="3075" max="3075" width="9.625" style="2959" customWidth="1"/>
    <col min="3076" max="3076" width="6.25" style="2959" customWidth="1"/>
    <col min="3077" max="3077" width="11.5" style="2959" customWidth="1"/>
    <col min="3078" max="3078" width="11.25" style="2959" customWidth="1"/>
    <col min="3079" max="3079" width="11.5" style="2959" customWidth="1"/>
    <col min="3080" max="3080" width="7" style="2959" customWidth="1"/>
    <col min="3081" max="3081" width="12.625" style="2959" customWidth="1"/>
    <col min="3082" max="3082" width="12.875" style="2959" customWidth="1"/>
    <col min="3083" max="3083" width="7.875" style="2959" customWidth="1"/>
    <col min="3084" max="3084" width="9" style="2959" customWidth="1"/>
    <col min="3085" max="3085" width="10.5" style="2959" customWidth="1"/>
    <col min="3086" max="3086" width="7.875" style="2959" customWidth="1"/>
    <col min="3087" max="3087" width="15" style="2959" customWidth="1"/>
    <col min="3088" max="3088" width="10.625" style="2959" customWidth="1"/>
    <col min="3089" max="3089" width="8.25" style="2959" customWidth="1"/>
    <col min="3090" max="3090" width="10" style="2959" customWidth="1"/>
    <col min="3091" max="3091" width="6.25" style="2959" customWidth="1"/>
    <col min="3092" max="3093" width="7.875" style="2959" customWidth="1"/>
    <col min="3094" max="3328" width="9" style="2959"/>
    <col min="3329" max="3329" width="29" style="2959" customWidth="1"/>
    <col min="3330" max="3330" width="7.875" style="2959" customWidth="1"/>
    <col min="3331" max="3331" width="9.625" style="2959" customWidth="1"/>
    <col min="3332" max="3332" width="6.25" style="2959" customWidth="1"/>
    <col min="3333" max="3333" width="11.5" style="2959" customWidth="1"/>
    <col min="3334" max="3334" width="11.25" style="2959" customWidth="1"/>
    <col min="3335" max="3335" width="11.5" style="2959" customWidth="1"/>
    <col min="3336" max="3336" width="7" style="2959" customWidth="1"/>
    <col min="3337" max="3337" width="12.625" style="2959" customWidth="1"/>
    <col min="3338" max="3338" width="12.875" style="2959" customWidth="1"/>
    <col min="3339" max="3339" width="7.875" style="2959" customWidth="1"/>
    <col min="3340" max="3340" width="9" style="2959" customWidth="1"/>
    <col min="3341" max="3341" width="10.5" style="2959" customWidth="1"/>
    <col min="3342" max="3342" width="7.875" style="2959" customWidth="1"/>
    <col min="3343" max="3343" width="15" style="2959" customWidth="1"/>
    <col min="3344" max="3344" width="10.625" style="2959" customWidth="1"/>
    <col min="3345" max="3345" width="8.25" style="2959" customWidth="1"/>
    <col min="3346" max="3346" width="10" style="2959" customWidth="1"/>
    <col min="3347" max="3347" width="6.25" style="2959" customWidth="1"/>
    <col min="3348" max="3349" width="7.875" style="2959" customWidth="1"/>
    <col min="3350" max="3584" width="9" style="2959"/>
    <col min="3585" max="3585" width="29" style="2959" customWidth="1"/>
    <col min="3586" max="3586" width="7.875" style="2959" customWidth="1"/>
    <col min="3587" max="3587" width="9.625" style="2959" customWidth="1"/>
    <col min="3588" max="3588" width="6.25" style="2959" customWidth="1"/>
    <col min="3589" max="3589" width="11.5" style="2959" customWidth="1"/>
    <col min="3590" max="3590" width="11.25" style="2959" customWidth="1"/>
    <col min="3591" max="3591" width="11.5" style="2959" customWidth="1"/>
    <col min="3592" max="3592" width="7" style="2959" customWidth="1"/>
    <col min="3593" max="3593" width="12.625" style="2959" customWidth="1"/>
    <col min="3594" max="3594" width="12.875" style="2959" customWidth="1"/>
    <col min="3595" max="3595" width="7.875" style="2959" customWidth="1"/>
    <col min="3596" max="3596" width="9" style="2959" customWidth="1"/>
    <col min="3597" max="3597" width="10.5" style="2959" customWidth="1"/>
    <col min="3598" max="3598" width="7.875" style="2959" customWidth="1"/>
    <col min="3599" max="3599" width="15" style="2959" customWidth="1"/>
    <col min="3600" max="3600" width="10.625" style="2959" customWidth="1"/>
    <col min="3601" max="3601" width="8.25" style="2959" customWidth="1"/>
    <col min="3602" max="3602" width="10" style="2959" customWidth="1"/>
    <col min="3603" max="3603" width="6.25" style="2959" customWidth="1"/>
    <col min="3604" max="3605" width="7.875" style="2959" customWidth="1"/>
    <col min="3606" max="3840" width="9" style="2959"/>
    <col min="3841" max="3841" width="29" style="2959" customWidth="1"/>
    <col min="3842" max="3842" width="7.875" style="2959" customWidth="1"/>
    <col min="3843" max="3843" width="9.625" style="2959" customWidth="1"/>
    <col min="3844" max="3844" width="6.25" style="2959" customWidth="1"/>
    <col min="3845" max="3845" width="11.5" style="2959" customWidth="1"/>
    <col min="3846" max="3846" width="11.25" style="2959" customWidth="1"/>
    <col min="3847" max="3847" width="11.5" style="2959" customWidth="1"/>
    <col min="3848" max="3848" width="7" style="2959" customWidth="1"/>
    <col min="3849" max="3849" width="12.625" style="2959" customWidth="1"/>
    <col min="3850" max="3850" width="12.875" style="2959" customWidth="1"/>
    <col min="3851" max="3851" width="7.875" style="2959" customWidth="1"/>
    <col min="3852" max="3852" width="9" style="2959" customWidth="1"/>
    <col min="3853" max="3853" width="10.5" style="2959" customWidth="1"/>
    <col min="3854" max="3854" width="7.875" style="2959" customWidth="1"/>
    <col min="3855" max="3855" width="15" style="2959" customWidth="1"/>
    <col min="3856" max="3856" width="10.625" style="2959" customWidth="1"/>
    <col min="3857" max="3857" width="8.25" style="2959" customWidth="1"/>
    <col min="3858" max="3858" width="10" style="2959" customWidth="1"/>
    <col min="3859" max="3859" width="6.25" style="2959" customWidth="1"/>
    <col min="3860" max="3861" width="7.875" style="2959" customWidth="1"/>
    <col min="3862" max="4096" width="9" style="2959"/>
    <col min="4097" max="4097" width="29" style="2959" customWidth="1"/>
    <col min="4098" max="4098" width="7.875" style="2959" customWidth="1"/>
    <col min="4099" max="4099" width="9.625" style="2959" customWidth="1"/>
    <col min="4100" max="4100" width="6.25" style="2959" customWidth="1"/>
    <col min="4101" max="4101" width="11.5" style="2959" customWidth="1"/>
    <col min="4102" max="4102" width="11.25" style="2959" customWidth="1"/>
    <col min="4103" max="4103" width="11.5" style="2959" customWidth="1"/>
    <col min="4104" max="4104" width="7" style="2959" customWidth="1"/>
    <col min="4105" max="4105" width="12.625" style="2959" customWidth="1"/>
    <col min="4106" max="4106" width="12.875" style="2959" customWidth="1"/>
    <col min="4107" max="4107" width="7.875" style="2959" customWidth="1"/>
    <col min="4108" max="4108" width="9" style="2959" customWidth="1"/>
    <col min="4109" max="4109" width="10.5" style="2959" customWidth="1"/>
    <col min="4110" max="4110" width="7.875" style="2959" customWidth="1"/>
    <col min="4111" max="4111" width="15" style="2959" customWidth="1"/>
    <col min="4112" max="4112" width="10.625" style="2959" customWidth="1"/>
    <col min="4113" max="4113" width="8.25" style="2959" customWidth="1"/>
    <col min="4114" max="4114" width="10" style="2959" customWidth="1"/>
    <col min="4115" max="4115" width="6.25" style="2959" customWidth="1"/>
    <col min="4116" max="4117" width="7.875" style="2959" customWidth="1"/>
    <col min="4118" max="4352" width="9" style="2959"/>
    <col min="4353" max="4353" width="29" style="2959" customWidth="1"/>
    <col min="4354" max="4354" width="7.875" style="2959" customWidth="1"/>
    <col min="4355" max="4355" width="9.625" style="2959" customWidth="1"/>
    <col min="4356" max="4356" width="6.25" style="2959" customWidth="1"/>
    <col min="4357" max="4357" width="11.5" style="2959" customWidth="1"/>
    <col min="4358" max="4358" width="11.25" style="2959" customWidth="1"/>
    <col min="4359" max="4359" width="11.5" style="2959" customWidth="1"/>
    <col min="4360" max="4360" width="7" style="2959" customWidth="1"/>
    <col min="4361" max="4361" width="12.625" style="2959" customWidth="1"/>
    <col min="4362" max="4362" width="12.875" style="2959" customWidth="1"/>
    <col min="4363" max="4363" width="7.875" style="2959" customWidth="1"/>
    <col min="4364" max="4364" width="9" style="2959" customWidth="1"/>
    <col min="4365" max="4365" width="10.5" style="2959" customWidth="1"/>
    <col min="4366" max="4366" width="7.875" style="2959" customWidth="1"/>
    <col min="4367" max="4367" width="15" style="2959" customWidth="1"/>
    <col min="4368" max="4368" width="10.625" style="2959" customWidth="1"/>
    <col min="4369" max="4369" width="8.25" style="2959" customWidth="1"/>
    <col min="4370" max="4370" width="10" style="2959" customWidth="1"/>
    <col min="4371" max="4371" width="6.25" style="2959" customWidth="1"/>
    <col min="4372" max="4373" width="7.875" style="2959" customWidth="1"/>
    <col min="4374" max="4608" width="9" style="2959"/>
    <col min="4609" max="4609" width="29" style="2959" customWidth="1"/>
    <col min="4610" max="4610" width="7.875" style="2959" customWidth="1"/>
    <col min="4611" max="4611" width="9.625" style="2959" customWidth="1"/>
    <col min="4612" max="4612" width="6.25" style="2959" customWidth="1"/>
    <col min="4613" max="4613" width="11.5" style="2959" customWidth="1"/>
    <col min="4614" max="4614" width="11.25" style="2959" customWidth="1"/>
    <col min="4615" max="4615" width="11.5" style="2959" customWidth="1"/>
    <col min="4616" max="4616" width="7" style="2959" customWidth="1"/>
    <col min="4617" max="4617" width="12.625" style="2959" customWidth="1"/>
    <col min="4618" max="4618" width="12.875" style="2959" customWidth="1"/>
    <col min="4619" max="4619" width="7.875" style="2959" customWidth="1"/>
    <col min="4620" max="4620" width="9" style="2959" customWidth="1"/>
    <col min="4621" max="4621" width="10.5" style="2959" customWidth="1"/>
    <col min="4622" max="4622" width="7.875" style="2959" customWidth="1"/>
    <col min="4623" max="4623" width="15" style="2959" customWidth="1"/>
    <col min="4624" max="4624" width="10.625" style="2959" customWidth="1"/>
    <col min="4625" max="4625" width="8.25" style="2959" customWidth="1"/>
    <col min="4626" max="4626" width="10" style="2959" customWidth="1"/>
    <col min="4627" max="4627" width="6.25" style="2959" customWidth="1"/>
    <col min="4628" max="4629" width="7.875" style="2959" customWidth="1"/>
    <col min="4630" max="4864" width="9" style="2959"/>
    <col min="4865" max="4865" width="29" style="2959" customWidth="1"/>
    <col min="4866" max="4866" width="7.875" style="2959" customWidth="1"/>
    <col min="4867" max="4867" width="9.625" style="2959" customWidth="1"/>
    <col min="4868" max="4868" width="6.25" style="2959" customWidth="1"/>
    <col min="4869" max="4869" width="11.5" style="2959" customWidth="1"/>
    <col min="4870" max="4870" width="11.25" style="2959" customWidth="1"/>
    <col min="4871" max="4871" width="11.5" style="2959" customWidth="1"/>
    <col min="4872" max="4872" width="7" style="2959" customWidth="1"/>
    <col min="4873" max="4873" width="12.625" style="2959" customWidth="1"/>
    <col min="4874" max="4874" width="12.875" style="2959" customWidth="1"/>
    <col min="4875" max="4875" width="7.875" style="2959" customWidth="1"/>
    <col min="4876" max="4876" width="9" style="2959" customWidth="1"/>
    <col min="4877" max="4877" width="10.5" style="2959" customWidth="1"/>
    <col min="4878" max="4878" width="7.875" style="2959" customWidth="1"/>
    <col min="4879" max="4879" width="15" style="2959" customWidth="1"/>
    <col min="4880" max="4880" width="10.625" style="2959" customWidth="1"/>
    <col min="4881" max="4881" width="8.25" style="2959" customWidth="1"/>
    <col min="4882" max="4882" width="10" style="2959" customWidth="1"/>
    <col min="4883" max="4883" width="6.25" style="2959" customWidth="1"/>
    <col min="4884" max="4885" width="7.875" style="2959" customWidth="1"/>
    <col min="4886" max="5120" width="9" style="2959"/>
    <col min="5121" max="5121" width="29" style="2959" customWidth="1"/>
    <col min="5122" max="5122" width="7.875" style="2959" customWidth="1"/>
    <col min="5123" max="5123" width="9.625" style="2959" customWidth="1"/>
    <col min="5124" max="5124" width="6.25" style="2959" customWidth="1"/>
    <col min="5125" max="5125" width="11.5" style="2959" customWidth="1"/>
    <col min="5126" max="5126" width="11.25" style="2959" customWidth="1"/>
    <col min="5127" max="5127" width="11.5" style="2959" customWidth="1"/>
    <col min="5128" max="5128" width="7" style="2959" customWidth="1"/>
    <col min="5129" max="5129" width="12.625" style="2959" customWidth="1"/>
    <col min="5130" max="5130" width="12.875" style="2959" customWidth="1"/>
    <col min="5131" max="5131" width="7.875" style="2959" customWidth="1"/>
    <col min="5132" max="5132" width="9" style="2959" customWidth="1"/>
    <col min="5133" max="5133" width="10.5" style="2959" customWidth="1"/>
    <col min="5134" max="5134" width="7.875" style="2959" customWidth="1"/>
    <col min="5135" max="5135" width="15" style="2959" customWidth="1"/>
    <col min="5136" max="5136" width="10.625" style="2959" customWidth="1"/>
    <col min="5137" max="5137" width="8.25" style="2959" customWidth="1"/>
    <col min="5138" max="5138" width="10" style="2959" customWidth="1"/>
    <col min="5139" max="5139" width="6.25" style="2959" customWidth="1"/>
    <col min="5140" max="5141" width="7.875" style="2959" customWidth="1"/>
    <col min="5142" max="5376" width="9" style="2959"/>
    <col min="5377" max="5377" width="29" style="2959" customWidth="1"/>
    <col min="5378" max="5378" width="7.875" style="2959" customWidth="1"/>
    <col min="5379" max="5379" width="9.625" style="2959" customWidth="1"/>
    <col min="5380" max="5380" width="6.25" style="2959" customWidth="1"/>
    <col min="5381" max="5381" width="11.5" style="2959" customWidth="1"/>
    <col min="5382" max="5382" width="11.25" style="2959" customWidth="1"/>
    <col min="5383" max="5383" width="11.5" style="2959" customWidth="1"/>
    <col min="5384" max="5384" width="7" style="2959" customWidth="1"/>
    <col min="5385" max="5385" width="12.625" style="2959" customWidth="1"/>
    <col min="5386" max="5386" width="12.875" style="2959" customWidth="1"/>
    <col min="5387" max="5387" width="7.875" style="2959" customWidth="1"/>
    <col min="5388" max="5388" width="9" style="2959" customWidth="1"/>
    <col min="5389" max="5389" width="10.5" style="2959" customWidth="1"/>
    <col min="5390" max="5390" width="7.875" style="2959" customWidth="1"/>
    <col min="5391" max="5391" width="15" style="2959" customWidth="1"/>
    <col min="5392" max="5392" width="10.625" style="2959" customWidth="1"/>
    <col min="5393" max="5393" width="8.25" style="2959" customWidth="1"/>
    <col min="5394" max="5394" width="10" style="2959" customWidth="1"/>
    <col min="5395" max="5395" width="6.25" style="2959" customWidth="1"/>
    <col min="5396" max="5397" width="7.875" style="2959" customWidth="1"/>
    <col min="5398" max="5632" width="9" style="2959"/>
    <col min="5633" max="5633" width="29" style="2959" customWidth="1"/>
    <col min="5634" max="5634" width="7.875" style="2959" customWidth="1"/>
    <col min="5635" max="5635" width="9.625" style="2959" customWidth="1"/>
    <col min="5636" max="5636" width="6.25" style="2959" customWidth="1"/>
    <col min="5637" max="5637" width="11.5" style="2959" customWidth="1"/>
    <col min="5638" max="5638" width="11.25" style="2959" customWidth="1"/>
    <col min="5639" max="5639" width="11.5" style="2959" customWidth="1"/>
    <col min="5640" max="5640" width="7" style="2959" customWidth="1"/>
    <col min="5641" max="5641" width="12.625" style="2959" customWidth="1"/>
    <col min="5642" max="5642" width="12.875" style="2959" customWidth="1"/>
    <col min="5643" max="5643" width="7.875" style="2959" customWidth="1"/>
    <col min="5644" max="5644" width="9" style="2959" customWidth="1"/>
    <col min="5645" max="5645" width="10.5" style="2959" customWidth="1"/>
    <col min="5646" max="5646" width="7.875" style="2959" customWidth="1"/>
    <col min="5647" max="5647" width="15" style="2959" customWidth="1"/>
    <col min="5648" max="5648" width="10.625" style="2959" customWidth="1"/>
    <col min="5649" max="5649" width="8.25" style="2959" customWidth="1"/>
    <col min="5650" max="5650" width="10" style="2959" customWidth="1"/>
    <col min="5651" max="5651" width="6.25" style="2959" customWidth="1"/>
    <col min="5652" max="5653" width="7.875" style="2959" customWidth="1"/>
    <col min="5654" max="5888" width="9" style="2959"/>
    <col min="5889" max="5889" width="29" style="2959" customWidth="1"/>
    <col min="5890" max="5890" width="7.875" style="2959" customWidth="1"/>
    <col min="5891" max="5891" width="9.625" style="2959" customWidth="1"/>
    <col min="5892" max="5892" width="6.25" style="2959" customWidth="1"/>
    <col min="5893" max="5893" width="11.5" style="2959" customWidth="1"/>
    <col min="5894" max="5894" width="11.25" style="2959" customWidth="1"/>
    <col min="5895" max="5895" width="11.5" style="2959" customWidth="1"/>
    <col min="5896" max="5896" width="7" style="2959" customWidth="1"/>
    <col min="5897" max="5897" width="12.625" style="2959" customWidth="1"/>
    <col min="5898" max="5898" width="12.875" style="2959" customWidth="1"/>
    <col min="5899" max="5899" width="7.875" style="2959" customWidth="1"/>
    <col min="5900" max="5900" width="9" style="2959" customWidth="1"/>
    <col min="5901" max="5901" width="10.5" style="2959" customWidth="1"/>
    <col min="5902" max="5902" width="7.875" style="2959" customWidth="1"/>
    <col min="5903" max="5903" width="15" style="2959" customWidth="1"/>
    <col min="5904" max="5904" width="10.625" style="2959" customWidth="1"/>
    <col min="5905" max="5905" width="8.25" style="2959" customWidth="1"/>
    <col min="5906" max="5906" width="10" style="2959" customWidth="1"/>
    <col min="5907" max="5907" width="6.25" style="2959" customWidth="1"/>
    <col min="5908" max="5909" width="7.875" style="2959" customWidth="1"/>
    <col min="5910" max="6144" width="9" style="2959"/>
    <col min="6145" max="6145" width="29" style="2959" customWidth="1"/>
    <col min="6146" max="6146" width="7.875" style="2959" customWidth="1"/>
    <col min="6147" max="6147" width="9.625" style="2959" customWidth="1"/>
    <col min="6148" max="6148" width="6.25" style="2959" customWidth="1"/>
    <col min="6149" max="6149" width="11.5" style="2959" customWidth="1"/>
    <col min="6150" max="6150" width="11.25" style="2959" customWidth="1"/>
    <col min="6151" max="6151" width="11.5" style="2959" customWidth="1"/>
    <col min="6152" max="6152" width="7" style="2959" customWidth="1"/>
    <col min="6153" max="6153" width="12.625" style="2959" customWidth="1"/>
    <col min="6154" max="6154" width="12.875" style="2959" customWidth="1"/>
    <col min="6155" max="6155" width="7.875" style="2959" customWidth="1"/>
    <col min="6156" max="6156" width="9" style="2959" customWidth="1"/>
    <col min="6157" max="6157" width="10.5" style="2959" customWidth="1"/>
    <col min="6158" max="6158" width="7.875" style="2959" customWidth="1"/>
    <col min="6159" max="6159" width="15" style="2959" customWidth="1"/>
    <col min="6160" max="6160" width="10.625" style="2959" customWidth="1"/>
    <col min="6161" max="6161" width="8.25" style="2959" customWidth="1"/>
    <col min="6162" max="6162" width="10" style="2959" customWidth="1"/>
    <col min="6163" max="6163" width="6.25" style="2959" customWidth="1"/>
    <col min="6164" max="6165" width="7.875" style="2959" customWidth="1"/>
    <col min="6166" max="6400" width="9" style="2959"/>
    <col min="6401" max="6401" width="29" style="2959" customWidth="1"/>
    <col min="6402" max="6402" width="7.875" style="2959" customWidth="1"/>
    <col min="6403" max="6403" width="9.625" style="2959" customWidth="1"/>
    <col min="6404" max="6404" width="6.25" style="2959" customWidth="1"/>
    <col min="6405" max="6405" width="11.5" style="2959" customWidth="1"/>
    <col min="6406" max="6406" width="11.25" style="2959" customWidth="1"/>
    <col min="6407" max="6407" width="11.5" style="2959" customWidth="1"/>
    <col min="6408" max="6408" width="7" style="2959" customWidth="1"/>
    <col min="6409" max="6409" width="12.625" style="2959" customWidth="1"/>
    <col min="6410" max="6410" width="12.875" style="2959" customWidth="1"/>
    <col min="6411" max="6411" width="7.875" style="2959" customWidth="1"/>
    <col min="6412" max="6412" width="9" style="2959" customWidth="1"/>
    <col min="6413" max="6413" width="10.5" style="2959" customWidth="1"/>
    <col min="6414" max="6414" width="7.875" style="2959" customWidth="1"/>
    <col min="6415" max="6415" width="15" style="2959" customWidth="1"/>
    <col min="6416" max="6416" width="10.625" style="2959" customWidth="1"/>
    <col min="6417" max="6417" width="8.25" style="2959" customWidth="1"/>
    <col min="6418" max="6418" width="10" style="2959" customWidth="1"/>
    <col min="6419" max="6419" width="6.25" style="2959" customWidth="1"/>
    <col min="6420" max="6421" width="7.875" style="2959" customWidth="1"/>
    <col min="6422" max="6656" width="9" style="2959"/>
    <col min="6657" max="6657" width="29" style="2959" customWidth="1"/>
    <col min="6658" max="6658" width="7.875" style="2959" customWidth="1"/>
    <col min="6659" max="6659" width="9.625" style="2959" customWidth="1"/>
    <col min="6660" max="6660" width="6.25" style="2959" customWidth="1"/>
    <col min="6661" max="6661" width="11.5" style="2959" customWidth="1"/>
    <col min="6662" max="6662" width="11.25" style="2959" customWidth="1"/>
    <col min="6663" max="6663" width="11.5" style="2959" customWidth="1"/>
    <col min="6664" max="6664" width="7" style="2959" customWidth="1"/>
    <col min="6665" max="6665" width="12.625" style="2959" customWidth="1"/>
    <col min="6666" max="6666" width="12.875" style="2959" customWidth="1"/>
    <col min="6667" max="6667" width="7.875" style="2959" customWidth="1"/>
    <col min="6668" max="6668" width="9" style="2959" customWidth="1"/>
    <col min="6669" max="6669" width="10.5" style="2959" customWidth="1"/>
    <col min="6670" max="6670" width="7.875" style="2959" customWidth="1"/>
    <col min="6671" max="6671" width="15" style="2959" customWidth="1"/>
    <col min="6672" max="6672" width="10.625" style="2959" customWidth="1"/>
    <col min="6673" max="6673" width="8.25" style="2959" customWidth="1"/>
    <col min="6674" max="6674" width="10" style="2959" customWidth="1"/>
    <col min="6675" max="6675" width="6.25" style="2959" customWidth="1"/>
    <col min="6676" max="6677" width="7.875" style="2959" customWidth="1"/>
    <col min="6678" max="6912" width="9" style="2959"/>
    <col min="6913" max="6913" width="29" style="2959" customWidth="1"/>
    <col min="6914" max="6914" width="7.875" style="2959" customWidth="1"/>
    <col min="6915" max="6915" width="9.625" style="2959" customWidth="1"/>
    <col min="6916" max="6916" width="6.25" style="2959" customWidth="1"/>
    <col min="6917" max="6917" width="11.5" style="2959" customWidth="1"/>
    <col min="6918" max="6918" width="11.25" style="2959" customWidth="1"/>
    <col min="6919" max="6919" width="11.5" style="2959" customWidth="1"/>
    <col min="6920" max="6920" width="7" style="2959" customWidth="1"/>
    <col min="6921" max="6921" width="12.625" style="2959" customWidth="1"/>
    <col min="6922" max="6922" width="12.875" style="2959" customWidth="1"/>
    <col min="6923" max="6923" width="7.875" style="2959" customWidth="1"/>
    <col min="6924" max="6924" width="9" style="2959" customWidth="1"/>
    <col min="6925" max="6925" width="10.5" style="2959" customWidth="1"/>
    <col min="6926" max="6926" width="7.875" style="2959" customWidth="1"/>
    <col min="6927" max="6927" width="15" style="2959" customWidth="1"/>
    <col min="6928" max="6928" width="10.625" style="2959" customWidth="1"/>
    <col min="6929" max="6929" width="8.25" style="2959" customWidth="1"/>
    <col min="6930" max="6930" width="10" style="2959" customWidth="1"/>
    <col min="6931" max="6931" width="6.25" style="2959" customWidth="1"/>
    <col min="6932" max="6933" width="7.875" style="2959" customWidth="1"/>
    <col min="6934" max="7168" width="9" style="2959"/>
    <col min="7169" max="7169" width="29" style="2959" customWidth="1"/>
    <col min="7170" max="7170" width="7.875" style="2959" customWidth="1"/>
    <col min="7171" max="7171" width="9.625" style="2959" customWidth="1"/>
    <col min="7172" max="7172" width="6.25" style="2959" customWidth="1"/>
    <col min="7173" max="7173" width="11.5" style="2959" customWidth="1"/>
    <col min="7174" max="7174" width="11.25" style="2959" customWidth="1"/>
    <col min="7175" max="7175" width="11.5" style="2959" customWidth="1"/>
    <col min="7176" max="7176" width="7" style="2959" customWidth="1"/>
    <col min="7177" max="7177" width="12.625" style="2959" customWidth="1"/>
    <col min="7178" max="7178" width="12.875" style="2959" customWidth="1"/>
    <col min="7179" max="7179" width="7.875" style="2959" customWidth="1"/>
    <col min="7180" max="7180" width="9" style="2959" customWidth="1"/>
    <col min="7181" max="7181" width="10.5" style="2959" customWidth="1"/>
    <col min="7182" max="7182" width="7.875" style="2959" customWidth="1"/>
    <col min="7183" max="7183" width="15" style="2959" customWidth="1"/>
    <col min="7184" max="7184" width="10.625" style="2959" customWidth="1"/>
    <col min="7185" max="7185" width="8.25" style="2959" customWidth="1"/>
    <col min="7186" max="7186" width="10" style="2959" customWidth="1"/>
    <col min="7187" max="7187" width="6.25" style="2959" customWidth="1"/>
    <col min="7188" max="7189" width="7.875" style="2959" customWidth="1"/>
    <col min="7190" max="7424" width="9" style="2959"/>
    <col min="7425" max="7425" width="29" style="2959" customWidth="1"/>
    <col min="7426" max="7426" width="7.875" style="2959" customWidth="1"/>
    <col min="7427" max="7427" width="9.625" style="2959" customWidth="1"/>
    <col min="7428" max="7428" width="6.25" style="2959" customWidth="1"/>
    <col min="7429" max="7429" width="11.5" style="2959" customWidth="1"/>
    <col min="7430" max="7430" width="11.25" style="2959" customWidth="1"/>
    <col min="7431" max="7431" width="11.5" style="2959" customWidth="1"/>
    <col min="7432" max="7432" width="7" style="2959" customWidth="1"/>
    <col min="7433" max="7433" width="12.625" style="2959" customWidth="1"/>
    <col min="7434" max="7434" width="12.875" style="2959" customWidth="1"/>
    <col min="7435" max="7435" width="7.875" style="2959" customWidth="1"/>
    <col min="7436" max="7436" width="9" style="2959" customWidth="1"/>
    <col min="7437" max="7437" width="10.5" style="2959" customWidth="1"/>
    <col min="7438" max="7438" width="7.875" style="2959" customWidth="1"/>
    <col min="7439" max="7439" width="15" style="2959" customWidth="1"/>
    <col min="7440" max="7440" width="10.625" style="2959" customWidth="1"/>
    <col min="7441" max="7441" width="8.25" style="2959" customWidth="1"/>
    <col min="7442" max="7442" width="10" style="2959" customWidth="1"/>
    <col min="7443" max="7443" width="6.25" style="2959" customWidth="1"/>
    <col min="7444" max="7445" width="7.875" style="2959" customWidth="1"/>
    <col min="7446" max="7680" width="9" style="2959"/>
    <col min="7681" max="7681" width="29" style="2959" customWidth="1"/>
    <col min="7682" max="7682" width="7.875" style="2959" customWidth="1"/>
    <col min="7683" max="7683" width="9.625" style="2959" customWidth="1"/>
    <col min="7684" max="7684" width="6.25" style="2959" customWidth="1"/>
    <col min="7685" max="7685" width="11.5" style="2959" customWidth="1"/>
    <col min="7686" max="7686" width="11.25" style="2959" customWidth="1"/>
    <col min="7687" max="7687" width="11.5" style="2959" customWidth="1"/>
    <col min="7688" max="7688" width="7" style="2959" customWidth="1"/>
    <col min="7689" max="7689" width="12.625" style="2959" customWidth="1"/>
    <col min="7690" max="7690" width="12.875" style="2959" customWidth="1"/>
    <col min="7691" max="7691" width="7.875" style="2959" customWidth="1"/>
    <col min="7692" max="7692" width="9" style="2959" customWidth="1"/>
    <col min="7693" max="7693" width="10.5" style="2959" customWidth="1"/>
    <col min="7694" max="7694" width="7.875" style="2959" customWidth="1"/>
    <col min="7695" max="7695" width="15" style="2959" customWidth="1"/>
    <col min="7696" max="7696" width="10.625" style="2959" customWidth="1"/>
    <col min="7697" max="7697" width="8.25" style="2959" customWidth="1"/>
    <col min="7698" max="7698" width="10" style="2959" customWidth="1"/>
    <col min="7699" max="7699" width="6.25" style="2959" customWidth="1"/>
    <col min="7700" max="7701" width="7.875" style="2959" customWidth="1"/>
    <col min="7702" max="7936" width="9" style="2959"/>
    <col min="7937" max="7937" width="29" style="2959" customWidth="1"/>
    <col min="7938" max="7938" width="7.875" style="2959" customWidth="1"/>
    <col min="7939" max="7939" width="9.625" style="2959" customWidth="1"/>
    <col min="7940" max="7940" width="6.25" style="2959" customWidth="1"/>
    <col min="7941" max="7941" width="11.5" style="2959" customWidth="1"/>
    <col min="7942" max="7942" width="11.25" style="2959" customWidth="1"/>
    <col min="7943" max="7943" width="11.5" style="2959" customWidth="1"/>
    <col min="7944" max="7944" width="7" style="2959" customWidth="1"/>
    <col min="7945" max="7945" width="12.625" style="2959" customWidth="1"/>
    <col min="7946" max="7946" width="12.875" style="2959" customWidth="1"/>
    <col min="7947" max="7947" width="7.875" style="2959" customWidth="1"/>
    <col min="7948" max="7948" width="9" style="2959" customWidth="1"/>
    <col min="7949" max="7949" width="10.5" style="2959" customWidth="1"/>
    <col min="7950" max="7950" width="7.875" style="2959" customWidth="1"/>
    <col min="7951" max="7951" width="15" style="2959" customWidth="1"/>
    <col min="7952" max="7952" width="10.625" style="2959" customWidth="1"/>
    <col min="7953" max="7953" width="8.25" style="2959" customWidth="1"/>
    <col min="7954" max="7954" width="10" style="2959" customWidth="1"/>
    <col min="7955" max="7955" width="6.25" style="2959" customWidth="1"/>
    <col min="7956" max="7957" width="7.875" style="2959" customWidth="1"/>
    <col min="7958" max="8192" width="9" style="2959"/>
    <col min="8193" max="8193" width="29" style="2959" customWidth="1"/>
    <col min="8194" max="8194" width="7.875" style="2959" customWidth="1"/>
    <col min="8195" max="8195" width="9.625" style="2959" customWidth="1"/>
    <col min="8196" max="8196" width="6.25" style="2959" customWidth="1"/>
    <col min="8197" max="8197" width="11.5" style="2959" customWidth="1"/>
    <col min="8198" max="8198" width="11.25" style="2959" customWidth="1"/>
    <col min="8199" max="8199" width="11.5" style="2959" customWidth="1"/>
    <col min="8200" max="8200" width="7" style="2959" customWidth="1"/>
    <col min="8201" max="8201" width="12.625" style="2959" customWidth="1"/>
    <col min="8202" max="8202" width="12.875" style="2959" customWidth="1"/>
    <col min="8203" max="8203" width="7.875" style="2959" customWidth="1"/>
    <col min="8204" max="8204" width="9" style="2959" customWidth="1"/>
    <col min="8205" max="8205" width="10.5" style="2959" customWidth="1"/>
    <col min="8206" max="8206" width="7.875" style="2959" customWidth="1"/>
    <col min="8207" max="8207" width="15" style="2959" customWidth="1"/>
    <col min="8208" max="8208" width="10.625" style="2959" customWidth="1"/>
    <col min="8209" max="8209" width="8.25" style="2959" customWidth="1"/>
    <col min="8210" max="8210" width="10" style="2959" customWidth="1"/>
    <col min="8211" max="8211" width="6.25" style="2959" customWidth="1"/>
    <col min="8212" max="8213" width="7.875" style="2959" customWidth="1"/>
    <col min="8214" max="8448" width="9" style="2959"/>
    <col min="8449" max="8449" width="29" style="2959" customWidth="1"/>
    <col min="8450" max="8450" width="7.875" style="2959" customWidth="1"/>
    <col min="8451" max="8451" width="9.625" style="2959" customWidth="1"/>
    <col min="8452" max="8452" width="6.25" style="2959" customWidth="1"/>
    <col min="8453" max="8453" width="11.5" style="2959" customWidth="1"/>
    <col min="8454" max="8454" width="11.25" style="2959" customWidth="1"/>
    <col min="8455" max="8455" width="11.5" style="2959" customWidth="1"/>
    <col min="8456" max="8456" width="7" style="2959" customWidth="1"/>
    <col min="8457" max="8457" width="12.625" style="2959" customWidth="1"/>
    <col min="8458" max="8458" width="12.875" style="2959" customWidth="1"/>
    <col min="8459" max="8459" width="7.875" style="2959" customWidth="1"/>
    <col min="8460" max="8460" width="9" style="2959" customWidth="1"/>
    <col min="8461" max="8461" width="10.5" style="2959" customWidth="1"/>
    <col min="8462" max="8462" width="7.875" style="2959" customWidth="1"/>
    <col min="8463" max="8463" width="15" style="2959" customWidth="1"/>
    <col min="8464" max="8464" width="10.625" style="2959" customWidth="1"/>
    <col min="8465" max="8465" width="8.25" style="2959" customWidth="1"/>
    <col min="8466" max="8466" width="10" style="2959" customWidth="1"/>
    <col min="8467" max="8467" width="6.25" style="2959" customWidth="1"/>
    <col min="8468" max="8469" width="7.875" style="2959" customWidth="1"/>
    <col min="8470" max="8704" width="9" style="2959"/>
    <col min="8705" max="8705" width="29" style="2959" customWidth="1"/>
    <col min="8706" max="8706" width="7.875" style="2959" customWidth="1"/>
    <col min="8707" max="8707" width="9.625" style="2959" customWidth="1"/>
    <col min="8708" max="8708" width="6.25" style="2959" customWidth="1"/>
    <col min="8709" max="8709" width="11.5" style="2959" customWidth="1"/>
    <col min="8710" max="8710" width="11.25" style="2959" customWidth="1"/>
    <col min="8711" max="8711" width="11.5" style="2959" customWidth="1"/>
    <col min="8712" max="8712" width="7" style="2959" customWidth="1"/>
    <col min="8713" max="8713" width="12.625" style="2959" customWidth="1"/>
    <col min="8714" max="8714" width="12.875" style="2959" customWidth="1"/>
    <col min="8715" max="8715" width="7.875" style="2959" customWidth="1"/>
    <col min="8716" max="8716" width="9" style="2959" customWidth="1"/>
    <col min="8717" max="8717" width="10.5" style="2959" customWidth="1"/>
    <col min="8718" max="8718" width="7.875" style="2959" customWidth="1"/>
    <col min="8719" max="8719" width="15" style="2959" customWidth="1"/>
    <col min="8720" max="8720" width="10.625" style="2959" customWidth="1"/>
    <col min="8721" max="8721" width="8.25" style="2959" customWidth="1"/>
    <col min="8722" max="8722" width="10" style="2959" customWidth="1"/>
    <col min="8723" max="8723" width="6.25" style="2959" customWidth="1"/>
    <col min="8724" max="8725" width="7.875" style="2959" customWidth="1"/>
    <col min="8726" max="8960" width="9" style="2959"/>
    <col min="8961" max="8961" width="29" style="2959" customWidth="1"/>
    <col min="8962" max="8962" width="7.875" style="2959" customWidth="1"/>
    <col min="8963" max="8963" width="9.625" style="2959" customWidth="1"/>
    <col min="8964" max="8964" width="6.25" style="2959" customWidth="1"/>
    <col min="8965" max="8965" width="11.5" style="2959" customWidth="1"/>
    <col min="8966" max="8966" width="11.25" style="2959" customWidth="1"/>
    <col min="8967" max="8967" width="11.5" style="2959" customWidth="1"/>
    <col min="8968" max="8968" width="7" style="2959" customWidth="1"/>
    <col min="8969" max="8969" width="12.625" style="2959" customWidth="1"/>
    <col min="8970" max="8970" width="12.875" style="2959" customWidth="1"/>
    <col min="8971" max="8971" width="7.875" style="2959" customWidth="1"/>
    <col min="8972" max="8972" width="9" style="2959" customWidth="1"/>
    <col min="8973" max="8973" width="10.5" style="2959" customWidth="1"/>
    <col min="8974" max="8974" width="7.875" style="2959" customWidth="1"/>
    <col min="8975" max="8975" width="15" style="2959" customWidth="1"/>
    <col min="8976" max="8976" width="10.625" style="2959" customWidth="1"/>
    <col min="8977" max="8977" width="8.25" style="2959" customWidth="1"/>
    <col min="8978" max="8978" width="10" style="2959" customWidth="1"/>
    <col min="8979" max="8979" width="6.25" style="2959" customWidth="1"/>
    <col min="8980" max="8981" width="7.875" style="2959" customWidth="1"/>
    <col min="8982" max="9216" width="9" style="2959"/>
    <col min="9217" max="9217" width="29" style="2959" customWidth="1"/>
    <col min="9218" max="9218" width="7.875" style="2959" customWidth="1"/>
    <col min="9219" max="9219" width="9.625" style="2959" customWidth="1"/>
    <col min="9220" max="9220" width="6.25" style="2959" customWidth="1"/>
    <col min="9221" max="9221" width="11.5" style="2959" customWidth="1"/>
    <col min="9222" max="9222" width="11.25" style="2959" customWidth="1"/>
    <col min="9223" max="9223" width="11.5" style="2959" customWidth="1"/>
    <col min="9224" max="9224" width="7" style="2959" customWidth="1"/>
    <col min="9225" max="9225" width="12.625" style="2959" customWidth="1"/>
    <col min="9226" max="9226" width="12.875" style="2959" customWidth="1"/>
    <col min="9227" max="9227" width="7.875" style="2959" customWidth="1"/>
    <col min="9228" max="9228" width="9" style="2959" customWidth="1"/>
    <col min="9229" max="9229" width="10.5" style="2959" customWidth="1"/>
    <col min="9230" max="9230" width="7.875" style="2959" customWidth="1"/>
    <col min="9231" max="9231" width="15" style="2959" customWidth="1"/>
    <col min="9232" max="9232" width="10.625" style="2959" customWidth="1"/>
    <col min="9233" max="9233" width="8.25" style="2959" customWidth="1"/>
    <col min="9234" max="9234" width="10" style="2959" customWidth="1"/>
    <col min="9235" max="9235" width="6.25" style="2959" customWidth="1"/>
    <col min="9236" max="9237" width="7.875" style="2959" customWidth="1"/>
    <col min="9238" max="9472" width="9" style="2959"/>
    <col min="9473" max="9473" width="29" style="2959" customWidth="1"/>
    <col min="9474" max="9474" width="7.875" style="2959" customWidth="1"/>
    <col min="9475" max="9475" width="9.625" style="2959" customWidth="1"/>
    <col min="9476" max="9476" width="6.25" style="2959" customWidth="1"/>
    <col min="9477" max="9477" width="11.5" style="2959" customWidth="1"/>
    <col min="9478" max="9478" width="11.25" style="2959" customWidth="1"/>
    <col min="9479" max="9479" width="11.5" style="2959" customWidth="1"/>
    <col min="9480" max="9480" width="7" style="2959" customWidth="1"/>
    <col min="9481" max="9481" width="12.625" style="2959" customWidth="1"/>
    <col min="9482" max="9482" width="12.875" style="2959" customWidth="1"/>
    <col min="9483" max="9483" width="7.875" style="2959" customWidth="1"/>
    <col min="9484" max="9484" width="9" style="2959" customWidth="1"/>
    <col min="9485" max="9485" width="10.5" style="2959" customWidth="1"/>
    <col min="9486" max="9486" width="7.875" style="2959" customWidth="1"/>
    <col min="9487" max="9487" width="15" style="2959" customWidth="1"/>
    <col min="9488" max="9488" width="10.625" style="2959" customWidth="1"/>
    <col min="9489" max="9489" width="8.25" style="2959" customWidth="1"/>
    <col min="9490" max="9490" width="10" style="2959" customWidth="1"/>
    <col min="9491" max="9491" width="6.25" style="2959" customWidth="1"/>
    <col min="9492" max="9493" width="7.875" style="2959" customWidth="1"/>
    <col min="9494" max="9728" width="9" style="2959"/>
    <col min="9729" max="9729" width="29" style="2959" customWidth="1"/>
    <col min="9730" max="9730" width="7.875" style="2959" customWidth="1"/>
    <col min="9731" max="9731" width="9.625" style="2959" customWidth="1"/>
    <col min="9732" max="9732" width="6.25" style="2959" customWidth="1"/>
    <col min="9733" max="9733" width="11.5" style="2959" customWidth="1"/>
    <col min="9734" max="9734" width="11.25" style="2959" customWidth="1"/>
    <col min="9735" max="9735" width="11.5" style="2959" customWidth="1"/>
    <col min="9736" max="9736" width="7" style="2959" customWidth="1"/>
    <col min="9737" max="9737" width="12.625" style="2959" customWidth="1"/>
    <col min="9738" max="9738" width="12.875" style="2959" customWidth="1"/>
    <col min="9739" max="9739" width="7.875" style="2959" customWidth="1"/>
    <col min="9740" max="9740" width="9" style="2959" customWidth="1"/>
    <col min="9741" max="9741" width="10.5" style="2959" customWidth="1"/>
    <col min="9742" max="9742" width="7.875" style="2959" customWidth="1"/>
    <col min="9743" max="9743" width="15" style="2959" customWidth="1"/>
    <col min="9744" max="9744" width="10.625" style="2959" customWidth="1"/>
    <col min="9745" max="9745" width="8.25" style="2959" customWidth="1"/>
    <col min="9746" max="9746" width="10" style="2959" customWidth="1"/>
    <col min="9747" max="9747" width="6.25" style="2959" customWidth="1"/>
    <col min="9748" max="9749" width="7.875" style="2959" customWidth="1"/>
    <col min="9750" max="9984" width="9" style="2959"/>
    <col min="9985" max="9985" width="29" style="2959" customWidth="1"/>
    <col min="9986" max="9986" width="7.875" style="2959" customWidth="1"/>
    <col min="9987" max="9987" width="9.625" style="2959" customWidth="1"/>
    <col min="9988" max="9988" width="6.25" style="2959" customWidth="1"/>
    <col min="9989" max="9989" width="11.5" style="2959" customWidth="1"/>
    <col min="9990" max="9990" width="11.25" style="2959" customWidth="1"/>
    <col min="9991" max="9991" width="11.5" style="2959" customWidth="1"/>
    <col min="9992" max="9992" width="7" style="2959" customWidth="1"/>
    <col min="9993" max="9993" width="12.625" style="2959" customWidth="1"/>
    <col min="9994" max="9994" width="12.875" style="2959" customWidth="1"/>
    <col min="9995" max="9995" width="7.875" style="2959" customWidth="1"/>
    <col min="9996" max="9996" width="9" style="2959" customWidth="1"/>
    <col min="9997" max="9997" width="10.5" style="2959" customWidth="1"/>
    <col min="9998" max="9998" width="7.875" style="2959" customWidth="1"/>
    <col min="9999" max="9999" width="15" style="2959" customWidth="1"/>
    <col min="10000" max="10000" width="10.625" style="2959" customWidth="1"/>
    <col min="10001" max="10001" width="8.25" style="2959" customWidth="1"/>
    <col min="10002" max="10002" width="10" style="2959" customWidth="1"/>
    <col min="10003" max="10003" width="6.25" style="2959" customWidth="1"/>
    <col min="10004" max="10005" width="7.875" style="2959" customWidth="1"/>
    <col min="10006" max="10240" width="9" style="2959"/>
    <col min="10241" max="10241" width="29" style="2959" customWidth="1"/>
    <col min="10242" max="10242" width="7.875" style="2959" customWidth="1"/>
    <col min="10243" max="10243" width="9.625" style="2959" customWidth="1"/>
    <col min="10244" max="10244" width="6.25" style="2959" customWidth="1"/>
    <col min="10245" max="10245" width="11.5" style="2959" customWidth="1"/>
    <col min="10246" max="10246" width="11.25" style="2959" customWidth="1"/>
    <col min="10247" max="10247" width="11.5" style="2959" customWidth="1"/>
    <col min="10248" max="10248" width="7" style="2959" customWidth="1"/>
    <col min="10249" max="10249" width="12.625" style="2959" customWidth="1"/>
    <col min="10250" max="10250" width="12.875" style="2959" customWidth="1"/>
    <col min="10251" max="10251" width="7.875" style="2959" customWidth="1"/>
    <col min="10252" max="10252" width="9" style="2959" customWidth="1"/>
    <col min="10253" max="10253" width="10.5" style="2959" customWidth="1"/>
    <col min="10254" max="10254" width="7.875" style="2959" customWidth="1"/>
    <col min="10255" max="10255" width="15" style="2959" customWidth="1"/>
    <col min="10256" max="10256" width="10.625" style="2959" customWidth="1"/>
    <col min="10257" max="10257" width="8.25" style="2959" customWidth="1"/>
    <col min="10258" max="10258" width="10" style="2959" customWidth="1"/>
    <col min="10259" max="10259" width="6.25" style="2959" customWidth="1"/>
    <col min="10260" max="10261" width="7.875" style="2959" customWidth="1"/>
    <col min="10262" max="10496" width="9" style="2959"/>
    <col min="10497" max="10497" width="29" style="2959" customWidth="1"/>
    <col min="10498" max="10498" width="7.875" style="2959" customWidth="1"/>
    <col min="10499" max="10499" width="9.625" style="2959" customWidth="1"/>
    <col min="10500" max="10500" width="6.25" style="2959" customWidth="1"/>
    <col min="10501" max="10501" width="11.5" style="2959" customWidth="1"/>
    <col min="10502" max="10502" width="11.25" style="2959" customWidth="1"/>
    <col min="10503" max="10503" width="11.5" style="2959" customWidth="1"/>
    <col min="10504" max="10504" width="7" style="2959" customWidth="1"/>
    <col min="10505" max="10505" width="12.625" style="2959" customWidth="1"/>
    <col min="10506" max="10506" width="12.875" style="2959" customWidth="1"/>
    <col min="10507" max="10507" width="7.875" style="2959" customWidth="1"/>
    <col min="10508" max="10508" width="9" style="2959" customWidth="1"/>
    <col min="10509" max="10509" width="10.5" style="2959" customWidth="1"/>
    <col min="10510" max="10510" width="7.875" style="2959" customWidth="1"/>
    <col min="10511" max="10511" width="15" style="2959" customWidth="1"/>
    <col min="10512" max="10512" width="10.625" style="2959" customWidth="1"/>
    <col min="10513" max="10513" width="8.25" style="2959" customWidth="1"/>
    <col min="10514" max="10514" width="10" style="2959" customWidth="1"/>
    <col min="10515" max="10515" width="6.25" style="2959" customWidth="1"/>
    <col min="10516" max="10517" width="7.875" style="2959" customWidth="1"/>
    <col min="10518" max="10752" width="9" style="2959"/>
    <col min="10753" max="10753" width="29" style="2959" customWidth="1"/>
    <col min="10754" max="10754" width="7.875" style="2959" customWidth="1"/>
    <col min="10755" max="10755" width="9.625" style="2959" customWidth="1"/>
    <col min="10756" max="10756" width="6.25" style="2959" customWidth="1"/>
    <col min="10757" max="10757" width="11.5" style="2959" customWidth="1"/>
    <col min="10758" max="10758" width="11.25" style="2959" customWidth="1"/>
    <col min="10759" max="10759" width="11.5" style="2959" customWidth="1"/>
    <col min="10760" max="10760" width="7" style="2959" customWidth="1"/>
    <col min="10761" max="10761" width="12.625" style="2959" customWidth="1"/>
    <col min="10762" max="10762" width="12.875" style="2959" customWidth="1"/>
    <col min="10763" max="10763" width="7.875" style="2959" customWidth="1"/>
    <col min="10764" max="10764" width="9" style="2959" customWidth="1"/>
    <col min="10765" max="10765" width="10.5" style="2959" customWidth="1"/>
    <col min="10766" max="10766" width="7.875" style="2959" customWidth="1"/>
    <col min="10767" max="10767" width="15" style="2959" customWidth="1"/>
    <col min="10768" max="10768" width="10.625" style="2959" customWidth="1"/>
    <col min="10769" max="10769" width="8.25" style="2959" customWidth="1"/>
    <col min="10770" max="10770" width="10" style="2959" customWidth="1"/>
    <col min="10771" max="10771" width="6.25" style="2959" customWidth="1"/>
    <col min="10772" max="10773" width="7.875" style="2959" customWidth="1"/>
    <col min="10774" max="11008" width="9" style="2959"/>
    <col min="11009" max="11009" width="29" style="2959" customWidth="1"/>
    <col min="11010" max="11010" width="7.875" style="2959" customWidth="1"/>
    <col min="11011" max="11011" width="9.625" style="2959" customWidth="1"/>
    <col min="11012" max="11012" width="6.25" style="2959" customWidth="1"/>
    <col min="11013" max="11013" width="11.5" style="2959" customWidth="1"/>
    <col min="11014" max="11014" width="11.25" style="2959" customWidth="1"/>
    <col min="11015" max="11015" width="11.5" style="2959" customWidth="1"/>
    <col min="11016" max="11016" width="7" style="2959" customWidth="1"/>
    <col min="11017" max="11017" width="12.625" style="2959" customWidth="1"/>
    <col min="11018" max="11018" width="12.875" style="2959" customWidth="1"/>
    <col min="11019" max="11019" width="7.875" style="2959" customWidth="1"/>
    <col min="11020" max="11020" width="9" style="2959" customWidth="1"/>
    <col min="11021" max="11021" width="10.5" style="2959" customWidth="1"/>
    <col min="11022" max="11022" width="7.875" style="2959" customWidth="1"/>
    <col min="11023" max="11023" width="15" style="2959" customWidth="1"/>
    <col min="11024" max="11024" width="10.625" style="2959" customWidth="1"/>
    <col min="11025" max="11025" width="8.25" style="2959" customWidth="1"/>
    <col min="11026" max="11026" width="10" style="2959" customWidth="1"/>
    <col min="11027" max="11027" width="6.25" style="2959" customWidth="1"/>
    <col min="11028" max="11029" width="7.875" style="2959" customWidth="1"/>
    <col min="11030" max="11264" width="9" style="2959"/>
    <col min="11265" max="11265" width="29" style="2959" customWidth="1"/>
    <col min="11266" max="11266" width="7.875" style="2959" customWidth="1"/>
    <col min="11267" max="11267" width="9.625" style="2959" customWidth="1"/>
    <col min="11268" max="11268" width="6.25" style="2959" customWidth="1"/>
    <col min="11269" max="11269" width="11.5" style="2959" customWidth="1"/>
    <col min="11270" max="11270" width="11.25" style="2959" customWidth="1"/>
    <col min="11271" max="11271" width="11.5" style="2959" customWidth="1"/>
    <col min="11272" max="11272" width="7" style="2959" customWidth="1"/>
    <col min="11273" max="11273" width="12.625" style="2959" customWidth="1"/>
    <col min="11274" max="11274" width="12.875" style="2959" customWidth="1"/>
    <col min="11275" max="11275" width="7.875" style="2959" customWidth="1"/>
    <col min="11276" max="11276" width="9" style="2959" customWidth="1"/>
    <col min="11277" max="11277" width="10.5" style="2959" customWidth="1"/>
    <col min="11278" max="11278" width="7.875" style="2959" customWidth="1"/>
    <col min="11279" max="11279" width="15" style="2959" customWidth="1"/>
    <col min="11280" max="11280" width="10.625" style="2959" customWidth="1"/>
    <col min="11281" max="11281" width="8.25" style="2959" customWidth="1"/>
    <col min="11282" max="11282" width="10" style="2959" customWidth="1"/>
    <col min="11283" max="11283" width="6.25" style="2959" customWidth="1"/>
    <col min="11284" max="11285" width="7.875" style="2959" customWidth="1"/>
    <col min="11286" max="11520" width="9" style="2959"/>
    <col min="11521" max="11521" width="29" style="2959" customWidth="1"/>
    <col min="11522" max="11522" width="7.875" style="2959" customWidth="1"/>
    <col min="11523" max="11523" width="9.625" style="2959" customWidth="1"/>
    <col min="11524" max="11524" width="6.25" style="2959" customWidth="1"/>
    <col min="11525" max="11525" width="11.5" style="2959" customWidth="1"/>
    <col min="11526" max="11526" width="11.25" style="2959" customWidth="1"/>
    <col min="11527" max="11527" width="11.5" style="2959" customWidth="1"/>
    <col min="11528" max="11528" width="7" style="2959" customWidth="1"/>
    <col min="11529" max="11529" width="12.625" style="2959" customWidth="1"/>
    <col min="11530" max="11530" width="12.875" style="2959" customWidth="1"/>
    <col min="11531" max="11531" width="7.875" style="2959" customWidth="1"/>
    <col min="11532" max="11532" width="9" style="2959" customWidth="1"/>
    <col min="11533" max="11533" width="10.5" style="2959" customWidth="1"/>
    <col min="11534" max="11534" width="7.875" style="2959" customWidth="1"/>
    <col min="11535" max="11535" width="15" style="2959" customWidth="1"/>
    <col min="11536" max="11536" width="10.625" style="2959" customWidth="1"/>
    <col min="11537" max="11537" width="8.25" style="2959" customWidth="1"/>
    <col min="11538" max="11538" width="10" style="2959" customWidth="1"/>
    <col min="11539" max="11539" width="6.25" style="2959" customWidth="1"/>
    <col min="11540" max="11541" width="7.875" style="2959" customWidth="1"/>
    <col min="11542" max="11776" width="9" style="2959"/>
    <col min="11777" max="11777" width="29" style="2959" customWidth="1"/>
    <col min="11778" max="11778" width="7.875" style="2959" customWidth="1"/>
    <col min="11779" max="11779" width="9.625" style="2959" customWidth="1"/>
    <col min="11780" max="11780" width="6.25" style="2959" customWidth="1"/>
    <col min="11781" max="11781" width="11.5" style="2959" customWidth="1"/>
    <col min="11782" max="11782" width="11.25" style="2959" customWidth="1"/>
    <col min="11783" max="11783" width="11.5" style="2959" customWidth="1"/>
    <col min="11784" max="11784" width="7" style="2959" customWidth="1"/>
    <col min="11785" max="11785" width="12.625" style="2959" customWidth="1"/>
    <col min="11786" max="11786" width="12.875" style="2959" customWidth="1"/>
    <col min="11787" max="11787" width="7.875" style="2959" customWidth="1"/>
    <col min="11788" max="11788" width="9" style="2959" customWidth="1"/>
    <col min="11789" max="11789" width="10.5" style="2959" customWidth="1"/>
    <col min="11790" max="11790" width="7.875" style="2959" customWidth="1"/>
    <col min="11791" max="11791" width="15" style="2959" customWidth="1"/>
    <col min="11792" max="11792" width="10.625" style="2959" customWidth="1"/>
    <col min="11793" max="11793" width="8.25" style="2959" customWidth="1"/>
    <col min="11794" max="11794" width="10" style="2959" customWidth="1"/>
    <col min="11795" max="11795" width="6.25" style="2959" customWidth="1"/>
    <col min="11796" max="11797" width="7.875" style="2959" customWidth="1"/>
    <col min="11798" max="12032" width="9" style="2959"/>
    <col min="12033" max="12033" width="29" style="2959" customWidth="1"/>
    <col min="12034" max="12034" width="7.875" style="2959" customWidth="1"/>
    <col min="12035" max="12035" width="9.625" style="2959" customWidth="1"/>
    <col min="12036" max="12036" width="6.25" style="2959" customWidth="1"/>
    <col min="12037" max="12037" width="11.5" style="2959" customWidth="1"/>
    <col min="12038" max="12038" width="11.25" style="2959" customWidth="1"/>
    <col min="12039" max="12039" width="11.5" style="2959" customWidth="1"/>
    <col min="12040" max="12040" width="7" style="2959" customWidth="1"/>
    <col min="12041" max="12041" width="12.625" style="2959" customWidth="1"/>
    <col min="12042" max="12042" width="12.875" style="2959" customWidth="1"/>
    <col min="12043" max="12043" width="7.875" style="2959" customWidth="1"/>
    <col min="12044" max="12044" width="9" style="2959" customWidth="1"/>
    <col min="12045" max="12045" width="10.5" style="2959" customWidth="1"/>
    <col min="12046" max="12046" width="7.875" style="2959" customWidth="1"/>
    <col min="12047" max="12047" width="15" style="2959" customWidth="1"/>
    <col min="12048" max="12048" width="10.625" style="2959" customWidth="1"/>
    <col min="12049" max="12049" width="8.25" style="2959" customWidth="1"/>
    <col min="12050" max="12050" width="10" style="2959" customWidth="1"/>
    <col min="12051" max="12051" width="6.25" style="2959" customWidth="1"/>
    <col min="12052" max="12053" width="7.875" style="2959" customWidth="1"/>
    <col min="12054" max="12288" width="9" style="2959"/>
    <col min="12289" max="12289" width="29" style="2959" customWidth="1"/>
    <col min="12290" max="12290" width="7.875" style="2959" customWidth="1"/>
    <col min="12291" max="12291" width="9.625" style="2959" customWidth="1"/>
    <col min="12292" max="12292" width="6.25" style="2959" customWidth="1"/>
    <col min="12293" max="12293" width="11.5" style="2959" customWidth="1"/>
    <col min="12294" max="12294" width="11.25" style="2959" customWidth="1"/>
    <col min="12295" max="12295" width="11.5" style="2959" customWidth="1"/>
    <col min="12296" max="12296" width="7" style="2959" customWidth="1"/>
    <col min="12297" max="12297" width="12.625" style="2959" customWidth="1"/>
    <col min="12298" max="12298" width="12.875" style="2959" customWidth="1"/>
    <col min="12299" max="12299" width="7.875" style="2959" customWidth="1"/>
    <col min="12300" max="12300" width="9" style="2959" customWidth="1"/>
    <col min="12301" max="12301" width="10.5" style="2959" customWidth="1"/>
    <col min="12302" max="12302" width="7.875" style="2959" customWidth="1"/>
    <col min="12303" max="12303" width="15" style="2959" customWidth="1"/>
    <col min="12304" max="12304" width="10.625" style="2959" customWidth="1"/>
    <col min="12305" max="12305" width="8.25" style="2959" customWidth="1"/>
    <col min="12306" max="12306" width="10" style="2959" customWidth="1"/>
    <col min="12307" max="12307" width="6.25" style="2959" customWidth="1"/>
    <col min="12308" max="12309" width="7.875" style="2959" customWidth="1"/>
    <col min="12310" max="12544" width="9" style="2959"/>
    <col min="12545" max="12545" width="29" style="2959" customWidth="1"/>
    <col min="12546" max="12546" width="7.875" style="2959" customWidth="1"/>
    <col min="12547" max="12547" width="9.625" style="2959" customWidth="1"/>
    <col min="12548" max="12548" width="6.25" style="2959" customWidth="1"/>
    <col min="12549" max="12549" width="11.5" style="2959" customWidth="1"/>
    <col min="12550" max="12550" width="11.25" style="2959" customWidth="1"/>
    <col min="12551" max="12551" width="11.5" style="2959" customWidth="1"/>
    <col min="12552" max="12552" width="7" style="2959" customWidth="1"/>
    <col min="12553" max="12553" width="12.625" style="2959" customWidth="1"/>
    <col min="12554" max="12554" width="12.875" style="2959" customWidth="1"/>
    <col min="12555" max="12555" width="7.875" style="2959" customWidth="1"/>
    <col min="12556" max="12556" width="9" style="2959" customWidth="1"/>
    <col min="12557" max="12557" width="10.5" style="2959" customWidth="1"/>
    <col min="12558" max="12558" width="7.875" style="2959" customWidth="1"/>
    <col min="12559" max="12559" width="15" style="2959" customWidth="1"/>
    <col min="12560" max="12560" width="10.625" style="2959" customWidth="1"/>
    <col min="12561" max="12561" width="8.25" style="2959" customWidth="1"/>
    <col min="12562" max="12562" width="10" style="2959" customWidth="1"/>
    <col min="12563" max="12563" width="6.25" style="2959" customWidth="1"/>
    <col min="12564" max="12565" width="7.875" style="2959" customWidth="1"/>
    <col min="12566" max="12800" width="9" style="2959"/>
    <col min="12801" max="12801" width="29" style="2959" customWidth="1"/>
    <col min="12802" max="12802" width="7.875" style="2959" customWidth="1"/>
    <col min="12803" max="12803" width="9.625" style="2959" customWidth="1"/>
    <col min="12804" max="12804" width="6.25" style="2959" customWidth="1"/>
    <col min="12805" max="12805" width="11.5" style="2959" customWidth="1"/>
    <col min="12806" max="12806" width="11.25" style="2959" customWidth="1"/>
    <col min="12807" max="12807" width="11.5" style="2959" customWidth="1"/>
    <col min="12808" max="12808" width="7" style="2959" customWidth="1"/>
    <col min="12809" max="12809" width="12.625" style="2959" customWidth="1"/>
    <col min="12810" max="12810" width="12.875" style="2959" customWidth="1"/>
    <col min="12811" max="12811" width="7.875" style="2959" customWidth="1"/>
    <col min="12812" max="12812" width="9" style="2959" customWidth="1"/>
    <col min="12813" max="12813" width="10.5" style="2959" customWidth="1"/>
    <col min="12814" max="12814" width="7.875" style="2959" customWidth="1"/>
    <col min="12815" max="12815" width="15" style="2959" customWidth="1"/>
    <col min="12816" max="12816" width="10.625" style="2959" customWidth="1"/>
    <col min="12817" max="12817" width="8.25" style="2959" customWidth="1"/>
    <col min="12818" max="12818" width="10" style="2959" customWidth="1"/>
    <col min="12819" max="12819" width="6.25" style="2959" customWidth="1"/>
    <col min="12820" max="12821" width="7.875" style="2959" customWidth="1"/>
    <col min="12822" max="13056" width="9" style="2959"/>
    <col min="13057" max="13057" width="29" style="2959" customWidth="1"/>
    <col min="13058" max="13058" width="7.875" style="2959" customWidth="1"/>
    <col min="13059" max="13059" width="9.625" style="2959" customWidth="1"/>
    <col min="13060" max="13060" width="6.25" style="2959" customWidth="1"/>
    <col min="13061" max="13061" width="11.5" style="2959" customWidth="1"/>
    <col min="13062" max="13062" width="11.25" style="2959" customWidth="1"/>
    <col min="13063" max="13063" width="11.5" style="2959" customWidth="1"/>
    <col min="13064" max="13064" width="7" style="2959" customWidth="1"/>
    <col min="13065" max="13065" width="12.625" style="2959" customWidth="1"/>
    <col min="13066" max="13066" width="12.875" style="2959" customWidth="1"/>
    <col min="13067" max="13067" width="7.875" style="2959" customWidth="1"/>
    <col min="13068" max="13068" width="9" style="2959" customWidth="1"/>
    <col min="13069" max="13069" width="10.5" style="2959" customWidth="1"/>
    <col min="13070" max="13070" width="7.875" style="2959" customWidth="1"/>
    <col min="13071" max="13071" width="15" style="2959" customWidth="1"/>
    <col min="13072" max="13072" width="10.625" style="2959" customWidth="1"/>
    <col min="13073" max="13073" width="8.25" style="2959" customWidth="1"/>
    <col min="13074" max="13074" width="10" style="2959" customWidth="1"/>
    <col min="13075" max="13075" width="6.25" style="2959" customWidth="1"/>
    <col min="13076" max="13077" width="7.875" style="2959" customWidth="1"/>
    <col min="13078" max="13312" width="9" style="2959"/>
    <col min="13313" max="13313" width="29" style="2959" customWidth="1"/>
    <col min="13314" max="13314" width="7.875" style="2959" customWidth="1"/>
    <col min="13315" max="13315" width="9.625" style="2959" customWidth="1"/>
    <col min="13316" max="13316" width="6.25" style="2959" customWidth="1"/>
    <col min="13317" max="13317" width="11.5" style="2959" customWidth="1"/>
    <col min="13318" max="13318" width="11.25" style="2959" customWidth="1"/>
    <col min="13319" max="13319" width="11.5" style="2959" customWidth="1"/>
    <col min="13320" max="13320" width="7" style="2959" customWidth="1"/>
    <col min="13321" max="13321" width="12.625" style="2959" customWidth="1"/>
    <col min="13322" max="13322" width="12.875" style="2959" customWidth="1"/>
    <col min="13323" max="13323" width="7.875" style="2959" customWidth="1"/>
    <col min="13324" max="13324" width="9" style="2959" customWidth="1"/>
    <col min="13325" max="13325" width="10.5" style="2959" customWidth="1"/>
    <col min="13326" max="13326" width="7.875" style="2959" customWidth="1"/>
    <col min="13327" max="13327" width="15" style="2959" customWidth="1"/>
    <col min="13328" max="13328" width="10.625" style="2959" customWidth="1"/>
    <col min="13329" max="13329" width="8.25" style="2959" customWidth="1"/>
    <col min="13330" max="13330" width="10" style="2959" customWidth="1"/>
    <col min="13331" max="13331" width="6.25" style="2959" customWidth="1"/>
    <col min="13332" max="13333" width="7.875" style="2959" customWidth="1"/>
    <col min="13334" max="13568" width="9" style="2959"/>
    <col min="13569" max="13569" width="29" style="2959" customWidth="1"/>
    <col min="13570" max="13570" width="7.875" style="2959" customWidth="1"/>
    <col min="13571" max="13571" width="9.625" style="2959" customWidth="1"/>
    <col min="13572" max="13572" width="6.25" style="2959" customWidth="1"/>
    <col min="13573" max="13573" width="11.5" style="2959" customWidth="1"/>
    <col min="13574" max="13574" width="11.25" style="2959" customWidth="1"/>
    <col min="13575" max="13575" width="11.5" style="2959" customWidth="1"/>
    <col min="13576" max="13576" width="7" style="2959" customWidth="1"/>
    <col min="13577" max="13577" width="12.625" style="2959" customWidth="1"/>
    <col min="13578" max="13578" width="12.875" style="2959" customWidth="1"/>
    <col min="13579" max="13579" width="7.875" style="2959" customWidth="1"/>
    <col min="13580" max="13580" width="9" style="2959" customWidth="1"/>
    <col min="13581" max="13581" width="10.5" style="2959" customWidth="1"/>
    <col min="13582" max="13582" width="7.875" style="2959" customWidth="1"/>
    <col min="13583" max="13583" width="15" style="2959" customWidth="1"/>
    <col min="13584" max="13584" width="10.625" style="2959" customWidth="1"/>
    <col min="13585" max="13585" width="8.25" style="2959" customWidth="1"/>
    <col min="13586" max="13586" width="10" style="2959" customWidth="1"/>
    <col min="13587" max="13587" width="6.25" style="2959" customWidth="1"/>
    <col min="13588" max="13589" width="7.875" style="2959" customWidth="1"/>
    <col min="13590" max="13824" width="9" style="2959"/>
    <col min="13825" max="13825" width="29" style="2959" customWidth="1"/>
    <col min="13826" max="13826" width="7.875" style="2959" customWidth="1"/>
    <col min="13827" max="13827" width="9.625" style="2959" customWidth="1"/>
    <col min="13828" max="13828" width="6.25" style="2959" customWidth="1"/>
    <col min="13829" max="13829" width="11.5" style="2959" customWidth="1"/>
    <col min="13830" max="13830" width="11.25" style="2959" customWidth="1"/>
    <col min="13831" max="13831" width="11.5" style="2959" customWidth="1"/>
    <col min="13832" max="13832" width="7" style="2959" customWidth="1"/>
    <col min="13833" max="13833" width="12.625" style="2959" customWidth="1"/>
    <col min="13834" max="13834" width="12.875" style="2959" customWidth="1"/>
    <col min="13835" max="13835" width="7.875" style="2959" customWidth="1"/>
    <col min="13836" max="13836" width="9" style="2959" customWidth="1"/>
    <col min="13837" max="13837" width="10.5" style="2959" customWidth="1"/>
    <col min="13838" max="13838" width="7.875" style="2959" customWidth="1"/>
    <col min="13839" max="13839" width="15" style="2959" customWidth="1"/>
    <col min="13840" max="13840" width="10.625" style="2959" customWidth="1"/>
    <col min="13841" max="13841" width="8.25" style="2959" customWidth="1"/>
    <col min="13842" max="13842" width="10" style="2959" customWidth="1"/>
    <col min="13843" max="13843" width="6.25" style="2959" customWidth="1"/>
    <col min="13844" max="13845" width="7.875" style="2959" customWidth="1"/>
    <col min="13846" max="14080" width="9" style="2959"/>
    <col min="14081" max="14081" width="29" style="2959" customWidth="1"/>
    <col min="14082" max="14082" width="7.875" style="2959" customWidth="1"/>
    <col min="14083" max="14083" width="9.625" style="2959" customWidth="1"/>
    <col min="14084" max="14084" width="6.25" style="2959" customWidth="1"/>
    <col min="14085" max="14085" width="11.5" style="2959" customWidth="1"/>
    <col min="14086" max="14086" width="11.25" style="2959" customWidth="1"/>
    <col min="14087" max="14087" width="11.5" style="2959" customWidth="1"/>
    <col min="14088" max="14088" width="7" style="2959" customWidth="1"/>
    <col min="14089" max="14089" width="12.625" style="2959" customWidth="1"/>
    <col min="14090" max="14090" width="12.875" style="2959" customWidth="1"/>
    <col min="14091" max="14091" width="7.875" style="2959" customWidth="1"/>
    <col min="14092" max="14092" width="9" style="2959" customWidth="1"/>
    <col min="14093" max="14093" width="10.5" style="2959" customWidth="1"/>
    <col min="14094" max="14094" width="7.875" style="2959" customWidth="1"/>
    <col min="14095" max="14095" width="15" style="2959" customWidth="1"/>
    <col min="14096" max="14096" width="10.625" style="2959" customWidth="1"/>
    <col min="14097" max="14097" width="8.25" style="2959" customWidth="1"/>
    <col min="14098" max="14098" width="10" style="2959" customWidth="1"/>
    <col min="14099" max="14099" width="6.25" style="2959" customWidth="1"/>
    <col min="14100" max="14101" width="7.875" style="2959" customWidth="1"/>
    <col min="14102" max="14336" width="9" style="2959"/>
    <col min="14337" max="14337" width="29" style="2959" customWidth="1"/>
    <col min="14338" max="14338" width="7.875" style="2959" customWidth="1"/>
    <col min="14339" max="14339" width="9.625" style="2959" customWidth="1"/>
    <col min="14340" max="14340" width="6.25" style="2959" customWidth="1"/>
    <col min="14341" max="14341" width="11.5" style="2959" customWidth="1"/>
    <col min="14342" max="14342" width="11.25" style="2959" customWidth="1"/>
    <col min="14343" max="14343" width="11.5" style="2959" customWidth="1"/>
    <col min="14344" max="14344" width="7" style="2959" customWidth="1"/>
    <col min="14345" max="14345" width="12.625" style="2959" customWidth="1"/>
    <col min="14346" max="14346" width="12.875" style="2959" customWidth="1"/>
    <col min="14347" max="14347" width="7.875" style="2959" customWidth="1"/>
    <col min="14348" max="14348" width="9" style="2959" customWidth="1"/>
    <col min="14349" max="14349" width="10.5" style="2959" customWidth="1"/>
    <col min="14350" max="14350" width="7.875" style="2959" customWidth="1"/>
    <col min="14351" max="14351" width="15" style="2959" customWidth="1"/>
    <col min="14352" max="14352" width="10.625" style="2959" customWidth="1"/>
    <col min="14353" max="14353" width="8.25" style="2959" customWidth="1"/>
    <col min="14354" max="14354" width="10" style="2959" customWidth="1"/>
    <col min="14355" max="14355" width="6.25" style="2959" customWidth="1"/>
    <col min="14356" max="14357" width="7.875" style="2959" customWidth="1"/>
    <col min="14358" max="14592" width="9" style="2959"/>
    <col min="14593" max="14593" width="29" style="2959" customWidth="1"/>
    <col min="14594" max="14594" width="7.875" style="2959" customWidth="1"/>
    <col min="14595" max="14595" width="9.625" style="2959" customWidth="1"/>
    <col min="14596" max="14596" width="6.25" style="2959" customWidth="1"/>
    <col min="14597" max="14597" width="11.5" style="2959" customWidth="1"/>
    <col min="14598" max="14598" width="11.25" style="2959" customWidth="1"/>
    <col min="14599" max="14599" width="11.5" style="2959" customWidth="1"/>
    <col min="14600" max="14600" width="7" style="2959" customWidth="1"/>
    <col min="14601" max="14601" width="12.625" style="2959" customWidth="1"/>
    <col min="14602" max="14602" width="12.875" style="2959" customWidth="1"/>
    <col min="14603" max="14603" width="7.875" style="2959" customWidth="1"/>
    <col min="14604" max="14604" width="9" style="2959" customWidth="1"/>
    <col min="14605" max="14605" width="10.5" style="2959" customWidth="1"/>
    <col min="14606" max="14606" width="7.875" style="2959" customWidth="1"/>
    <col min="14607" max="14607" width="15" style="2959" customWidth="1"/>
    <col min="14608" max="14608" width="10.625" style="2959" customWidth="1"/>
    <col min="14609" max="14609" width="8.25" style="2959" customWidth="1"/>
    <col min="14610" max="14610" width="10" style="2959" customWidth="1"/>
    <col min="14611" max="14611" width="6.25" style="2959" customWidth="1"/>
    <col min="14612" max="14613" width="7.875" style="2959" customWidth="1"/>
    <col min="14614" max="14848" width="9" style="2959"/>
    <col min="14849" max="14849" width="29" style="2959" customWidth="1"/>
    <col min="14850" max="14850" width="7.875" style="2959" customWidth="1"/>
    <col min="14851" max="14851" width="9.625" style="2959" customWidth="1"/>
    <col min="14852" max="14852" width="6.25" style="2959" customWidth="1"/>
    <col min="14853" max="14853" width="11.5" style="2959" customWidth="1"/>
    <col min="14854" max="14854" width="11.25" style="2959" customWidth="1"/>
    <col min="14855" max="14855" width="11.5" style="2959" customWidth="1"/>
    <col min="14856" max="14856" width="7" style="2959" customWidth="1"/>
    <col min="14857" max="14857" width="12.625" style="2959" customWidth="1"/>
    <col min="14858" max="14858" width="12.875" style="2959" customWidth="1"/>
    <col min="14859" max="14859" width="7.875" style="2959" customWidth="1"/>
    <col min="14860" max="14860" width="9" style="2959" customWidth="1"/>
    <col min="14861" max="14861" width="10.5" style="2959" customWidth="1"/>
    <col min="14862" max="14862" width="7.875" style="2959" customWidth="1"/>
    <col min="14863" max="14863" width="15" style="2959" customWidth="1"/>
    <col min="14864" max="14864" width="10.625" style="2959" customWidth="1"/>
    <col min="14865" max="14865" width="8.25" style="2959" customWidth="1"/>
    <col min="14866" max="14866" width="10" style="2959" customWidth="1"/>
    <col min="14867" max="14867" width="6.25" style="2959" customWidth="1"/>
    <col min="14868" max="14869" width="7.875" style="2959" customWidth="1"/>
    <col min="14870" max="15104" width="9" style="2959"/>
    <col min="15105" max="15105" width="29" style="2959" customWidth="1"/>
    <col min="15106" max="15106" width="7.875" style="2959" customWidth="1"/>
    <col min="15107" max="15107" width="9.625" style="2959" customWidth="1"/>
    <col min="15108" max="15108" width="6.25" style="2959" customWidth="1"/>
    <col min="15109" max="15109" width="11.5" style="2959" customWidth="1"/>
    <col min="15110" max="15110" width="11.25" style="2959" customWidth="1"/>
    <col min="15111" max="15111" width="11.5" style="2959" customWidth="1"/>
    <col min="15112" max="15112" width="7" style="2959" customWidth="1"/>
    <col min="15113" max="15113" width="12.625" style="2959" customWidth="1"/>
    <col min="15114" max="15114" width="12.875" style="2959" customWidth="1"/>
    <col min="15115" max="15115" width="7.875" style="2959" customWidth="1"/>
    <col min="15116" max="15116" width="9" style="2959" customWidth="1"/>
    <col min="15117" max="15117" width="10.5" style="2959" customWidth="1"/>
    <col min="15118" max="15118" width="7.875" style="2959" customWidth="1"/>
    <col min="15119" max="15119" width="15" style="2959" customWidth="1"/>
    <col min="15120" max="15120" width="10.625" style="2959" customWidth="1"/>
    <col min="15121" max="15121" width="8.25" style="2959" customWidth="1"/>
    <col min="15122" max="15122" width="10" style="2959" customWidth="1"/>
    <col min="15123" max="15123" width="6.25" style="2959" customWidth="1"/>
    <col min="15124" max="15125" width="7.875" style="2959" customWidth="1"/>
    <col min="15126" max="15360" width="9" style="2959"/>
    <col min="15361" max="15361" width="29" style="2959" customWidth="1"/>
    <col min="15362" max="15362" width="7.875" style="2959" customWidth="1"/>
    <col min="15363" max="15363" width="9.625" style="2959" customWidth="1"/>
    <col min="15364" max="15364" width="6.25" style="2959" customWidth="1"/>
    <col min="15365" max="15365" width="11.5" style="2959" customWidth="1"/>
    <col min="15366" max="15366" width="11.25" style="2959" customWidth="1"/>
    <col min="15367" max="15367" width="11.5" style="2959" customWidth="1"/>
    <col min="15368" max="15368" width="7" style="2959" customWidth="1"/>
    <col min="15369" max="15369" width="12.625" style="2959" customWidth="1"/>
    <col min="15370" max="15370" width="12.875" style="2959" customWidth="1"/>
    <col min="15371" max="15371" width="7.875" style="2959" customWidth="1"/>
    <col min="15372" max="15372" width="9" style="2959" customWidth="1"/>
    <col min="15373" max="15373" width="10.5" style="2959" customWidth="1"/>
    <col min="15374" max="15374" width="7.875" style="2959" customWidth="1"/>
    <col min="15375" max="15375" width="15" style="2959" customWidth="1"/>
    <col min="15376" max="15376" width="10.625" style="2959" customWidth="1"/>
    <col min="15377" max="15377" width="8.25" style="2959" customWidth="1"/>
    <col min="15378" max="15378" width="10" style="2959" customWidth="1"/>
    <col min="15379" max="15379" width="6.25" style="2959" customWidth="1"/>
    <col min="15380" max="15381" width="7.875" style="2959" customWidth="1"/>
    <col min="15382" max="15616" width="9" style="2959"/>
    <col min="15617" max="15617" width="29" style="2959" customWidth="1"/>
    <col min="15618" max="15618" width="7.875" style="2959" customWidth="1"/>
    <col min="15619" max="15619" width="9.625" style="2959" customWidth="1"/>
    <col min="15620" max="15620" width="6.25" style="2959" customWidth="1"/>
    <col min="15621" max="15621" width="11.5" style="2959" customWidth="1"/>
    <col min="15622" max="15622" width="11.25" style="2959" customWidth="1"/>
    <col min="15623" max="15623" width="11.5" style="2959" customWidth="1"/>
    <col min="15624" max="15624" width="7" style="2959" customWidth="1"/>
    <col min="15625" max="15625" width="12.625" style="2959" customWidth="1"/>
    <col min="15626" max="15626" width="12.875" style="2959" customWidth="1"/>
    <col min="15627" max="15627" width="7.875" style="2959" customWidth="1"/>
    <col min="15628" max="15628" width="9" style="2959" customWidth="1"/>
    <col min="15629" max="15629" width="10.5" style="2959" customWidth="1"/>
    <col min="15630" max="15630" width="7.875" style="2959" customWidth="1"/>
    <col min="15631" max="15631" width="15" style="2959" customWidth="1"/>
    <col min="15632" max="15632" width="10.625" style="2959" customWidth="1"/>
    <col min="15633" max="15633" width="8.25" style="2959" customWidth="1"/>
    <col min="15634" max="15634" width="10" style="2959" customWidth="1"/>
    <col min="15635" max="15635" width="6.25" style="2959" customWidth="1"/>
    <col min="15636" max="15637" width="7.875" style="2959" customWidth="1"/>
    <col min="15638" max="15872" width="9" style="2959"/>
    <col min="15873" max="15873" width="29" style="2959" customWidth="1"/>
    <col min="15874" max="15874" width="7.875" style="2959" customWidth="1"/>
    <col min="15875" max="15875" width="9.625" style="2959" customWidth="1"/>
    <col min="15876" max="15876" width="6.25" style="2959" customWidth="1"/>
    <col min="15877" max="15877" width="11.5" style="2959" customWidth="1"/>
    <col min="15878" max="15878" width="11.25" style="2959" customWidth="1"/>
    <col min="15879" max="15879" width="11.5" style="2959" customWidth="1"/>
    <col min="15880" max="15880" width="7" style="2959" customWidth="1"/>
    <col min="15881" max="15881" width="12.625" style="2959" customWidth="1"/>
    <col min="15882" max="15882" width="12.875" style="2959" customWidth="1"/>
    <col min="15883" max="15883" width="7.875" style="2959" customWidth="1"/>
    <col min="15884" max="15884" width="9" style="2959" customWidth="1"/>
    <col min="15885" max="15885" width="10.5" style="2959" customWidth="1"/>
    <col min="15886" max="15886" width="7.875" style="2959" customWidth="1"/>
    <col min="15887" max="15887" width="15" style="2959" customWidth="1"/>
    <col min="15888" max="15888" width="10.625" style="2959" customWidth="1"/>
    <col min="15889" max="15889" width="8.25" style="2959" customWidth="1"/>
    <col min="15890" max="15890" width="10" style="2959" customWidth="1"/>
    <col min="15891" max="15891" width="6.25" style="2959" customWidth="1"/>
    <col min="15892" max="15893" width="7.875" style="2959" customWidth="1"/>
    <col min="15894" max="16128" width="9" style="2959"/>
    <col min="16129" max="16129" width="29" style="2959" customWidth="1"/>
    <col min="16130" max="16130" width="7.875" style="2959" customWidth="1"/>
    <col min="16131" max="16131" width="9.625" style="2959" customWidth="1"/>
    <col min="16132" max="16132" width="6.25" style="2959" customWidth="1"/>
    <col min="16133" max="16133" width="11.5" style="2959" customWidth="1"/>
    <col min="16134" max="16134" width="11.25" style="2959" customWidth="1"/>
    <col min="16135" max="16135" width="11.5" style="2959" customWidth="1"/>
    <col min="16136" max="16136" width="7" style="2959" customWidth="1"/>
    <col min="16137" max="16137" width="12.625" style="2959" customWidth="1"/>
    <col min="16138" max="16138" width="12.875" style="2959" customWidth="1"/>
    <col min="16139" max="16139" width="7.875" style="2959" customWidth="1"/>
    <col min="16140" max="16140" width="9" style="2959" customWidth="1"/>
    <col min="16141" max="16141" width="10.5" style="2959" customWidth="1"/>
    <col min="16142" max="16142" width="7.875" style="2959" customWidth="1"/>
    <col min="16143" max="16143" width="15" style="2959" customWidth="1"/>
    <col min="16144" max="16144" width="10.625" style="2959" customWidth="1"/>
    <col min="16145" max="16145" width="8.25" style="2959" customWidth="1"/>
    <col min="16146" max="16146" width="10" style="2959" customWidth="1"/>
    <col min="16147" max="16147" width="6.25" style="2959" customWidth="1"/>
    <col min="16148" max="16149" width="7.875" style="2959" customWidth="1"/>
    <col min="16150" max="16384" width="9" style="2959"/>
  </cols>
  <sheetData>
    <row r="1" spans="1:22">
      <c r="A1" s="2959" t="s">
        <v>3104</v>
      </c>
      <c r="B1" s="2959" t="s">
        <v>3105</v>
      </c>
      <c r="C1" s="2959" t="s">
        <v>3106</v>
      </c>
      <c r="D1" s="2959" t="s">
        <v>3107</v>
      </c>
      <c r="E1" s="2959" t="s">
        <v>3108</v>
      </c>
      <c r="F1" s="2959" t="s">
        <v>3109</v>
      </c>
      <c r="G1" s="2959" t="s">
        <v>3110</v>
      </c>
      <c r="H1" s="2959" t="s">
        <v>3111</v>
      </c>
      <c r="I1" s="2959" t="s">
        <v>3112</v>
      </c>
      <c r="J1" s="2959" t="s">
        <v>3113</v>
      </c>
      <c r="K1" s="2959" t="s">
        <v>3114</v>
      </c>
      <c r="L1" s="2959" t="s">
        <v>3115</v>
      </c>
      <c r="M1" s="2959" t="s">
        <v>3116</v>
      </c>
      <c r="N1" s="2959" t="s">
        <v>3117</v>
      </c>
      <c r="O1" s="2959" t="s">
        <v>3118</v>
      </c>
      <c r="P1" s="2959" t="s">
        <v>3119</v>
      </c>
      <c r="Q1" s="2959" t="s">
        <v>3120</v>
      </c>
      <c r="R1" s="2959" t="s">
        <v>3121</v>
      </c>
      <c r="S1" s="2959" t="s">
        <v>3122</v>
      </c>
      <c r="T1" s="2959" t="s">
        <v>3123</v>
      </c>
      <c r="U1" s="2959" t="s">
        <v>3124</v>
      </c>
    </row>
    <row r="2" spans="1:22" s="2961" customFormat="1">
      <c r="A2" s="2963" t="s">
        <v>3309</v>
      </c>
      <c r="B2" s="2961" t="s">
        <v>3125</v>
      </c>
      <c r="C2" s="2961" t="s">
        <v>3126</v>
      </c>
      <c r="D2" s="2961" t="s">
        <v>3127</v>
      </c>
      <c r="E2" s="2961" t="s">
        <v>3128</v>
      </c>
      <c r="F2" s="2961">
        <v>46011.01</v>
      </c>
      <c r="G2" s="2961">
        <v>115027.53</v>
      </c>
      <c r="H2" s="2961">
        <v>2.5</v>
      </c>
      <c r="I2" s="2961" t="s">
        <v>3129</v>
      </c>
      <c r="J2" s="2961" t="s">
        <v>3130</v>
      </c>
      <c r="K2" s="2961" t="s">
        <v>3131</v>
      </c>
      <c r="L2" s="2961" t="s">
        <v>3132</v>
      </c>
      <c r="M2" s="2961" t="s">
        <v>3133</v>
      </c>
      <c r="N2" s="2961" t="s">
        <v>3134</v>
      </c>
      <c r="O2" s="2961" t="s">
        <v>3050</v>
      </c>
      <c r="P2" s="2961">
        <v>19250</v>
      </c>
      <c r="Q2" s="2961">
        <v>278.92</v>
      </c>
      <c r="R2" s="2961">
        <v>1673.5</v>
      </c>
      <c r="S2" s="2961">
        <v>0</v>
      </c>
      <c r="T2" s="2961" t="s">
        <v>3135</v>
      </c>
      <c r="U2" s="2961" t="s">
        <v>3136</v>
      </c>
      <c r="V2" s="2961">
        <f>ROUND(P2*10000/F2,0)</f>
        <v>4184</v>
      </c>
    </row>
    <row r="3" spans="1:22" s="2961" customFormat="1">
      <c r="A3" s="2961" t="s">
        <v>3137</v>
      </c>
      <c r="B3" s="2961" t="s">
        <v>3125</v>
      </c>
      <c r="C3" s="2961" t="s">
        <v>3126</v>
      </c>
      <c r="D3" s="2961" t="s">
        <v>3127</v>
      </c>
      <c r="E3" s="2961" t="s">
        <v>3138</v>
      </c>
      <c r="F3" s="2961">
        <v>21049.89</v>
      </c>
      <c r="G3" s="2961">
        <v>52624.73</v>
      </c>
      <c r="H3" s="2961">
        <v>2.5</v>
      </c>
      <c r="I3" s="2961" t="s">
        <v>3129</v>
      </c>
      <c r="J3" s="2961" t="s">
        <v>3130</v>
      </c>
      <c r="K3" s="2961" t="s">
        <v>3131</v>
      </c>
      <c r="L3" s="2961" t="s">
        <v>3132</v>
      </c>
      <c r="M3" s="2961" t="s">
        <v>3133</v>
      </c>
      <c r="N3" s="2961" t="s">
        <v>3134</v>
      </c>
      <c r="O3" s="2961" t="s">
        <v>3050</v>
      </c>
      <c r="P3" s="2961">
        <v>8160</v>
      </c>
      <c r="Q3" s="2961">
        <v>258.43</v>
      </c>
      <c r="R3" s="2961">
        <v>1550.59</v>
      </c>
      <c r="S3" s="2961">
        <v>0</v>
      </c>
      <c r="T3" s="2961" t="s">
        <v>3135</v>
      </c>
      <c r="U3" s="2961" t="s">
        <v>3136</v>
      </c>
      <c r="V3" s="2961">
        <f t="shared" ref="V3:V4" si="0">ROUND(P3*10000/F3,0)</f>
        <v>3877</v>
      </c>
    </row>
    <row r="4" spans="1:22" s="2961" customFormat="1">
      <c r="A4" s="2961" t="s">
        <v>3139</v>
      </c>
      <c r="B4" s="2961" t="s">
        <v>3125</v>
      </c>
      <c r="C4" s="2961" t="s">
        <v>3126</v>
      </c>
      <c r="D4" s="2961" t="s">
        <v>3127</v>
      </c>
      <c r="E4" s="2961" t="s">
        <v>3128</v>
      </c>
      <c r="F4" s="2961">
        <v>41891.339999999997</v>
      </c>
      <c r="G4" s="2961">
        <v>104728.35</v>
      </c>
      <c r="H4" s="2961">
        <v>2.5</v>
      </c>
      <c r="I4" s="2961" t="s">
        <v>3129</v>
      </c>
      <c r="J4" s="2961" t="s">
        <v>3130</v>
      </c>
      <c r="K4" s="2961" t="s">
        <v>3131</v>
      </c>
      <c r="L4" s="2961" t="s">
        <v>3132</v>
      </c>
      <c r="M4" s="2961" t="s">
        <v>3133</v>
      </c>
      <c r="N4" s="2961" t="s">
        <v>3134</v>
      </c>
      <c r="O4" s="2961" t="s">
        <v>3050</v>
      </c>
      <c r="P4" s="2961">
        <v>17520</v>
      </c>
      <c r="Q4" s="2961">
        <v>278.82</v>
      </c>
      <c r="R4" s="2961">
        <v>1672.9</v>
      </c>
      <c r="S4" s="2961">
        <v>0</v>
      </c>
      <c r="T4" s="2961" t="s">
        <v>3135</v>
      </c>
      <c r="U4" s="2961" t="s">
        <v>3136</v>
      </c>
      <c r="V4" s="2961">
        <f t="shared" si="0"/>
        <v>4182</v>
      </c>
    </row>
    <row r="6" spans="1:22">
      <c r="A6" s="2959" t="s">
        <v>3104</v>
      </c>
      <c r="B6" s="2959" t="s">
        <v>3105</v>
      </c>
      <c r="C6" s="2959" t="s">
        <v>3106</v>
      </c>
      <c r="D6" s="2959" t="s">
        <v>3107</v>
      </c>
      <c r="E6" s="2959" t="s">
        <v>3108</v>
      </c>
      <c r="F6" s="2959" t="s">
        <v>3109</v>
      </c>
      <c r="G6" s="2959" t="s">
        <v>3110</v>
      </c>
      <c r="H6" s="2959" t="s">
        <v>3111</v>
      </c>
      <c r="I6" s="2959" t="s">
        <v>3112</v>
      </c>
      <c r="J6" s="2959" t="s">
        <v>3113</v>
      </c>
      <c r="K6" s="2959" t="s">
        <v>3114</v>
      </c>
      <c r="L6" s="2959" t="s">
        <v>3115</v>
      </c>
      <c r="M6" s="2959" t="s">
        <v>3116</v>
      </c>
      <c r="N6" s="2959" t="s">
        <v>3117</v>
      </c>
      <c r="O6" s="2959" t="s">
        <v>3118</v>
      </c>
      <c r="P6" s="2959" t="s">
        <v>3119</v>
      </c>
      <c r="Q6" s="2959" t="s">
        <v>3120</v>
      </c>
      <c r="R6" s="2959" t="s">
        <v>3121</v>
      </c>
      <c r="S6" s="2959" t="s">
        <v>3122</v>
      </c>
      <c r="T6" s="2959" t="s">
        <v>3123</v>
      </c>
      <c r="U6" s="2959" t="s">
        <v>3124</v>
      </c>
      <c r="V6" s="2964" t="s">
        <v>3311</v>
      </c>
    </row>
    <row r="7" spans="1:22" s="2961" customFormat="1">
      <c r="A7" s="2963" t="s">
        <v>3309</v>
      </c>
      <c r="B7" s="2961" t="s">
        <v>3125</v>
      </c>
      <c r="C7" s="2961" t="s">
        <v>3126</v>
      </c>
      <c r="D7" s="2961" t="s">
        <v>3127</v>
      </c>
      <c r="E7" s="2961" t="s">
        <v>3128</v>
      </c>
      <c r="F7" s="2961">
        <v>46011.01</v>
      </c>
      <c r="G7" s="2961">
        <v>115027.53</v>
      </c>
      <c r="H7" s="2961">
        <v>2.5</v>
      </c>
      <c r="I7" s="2961" t="s">
        <v>3129</v>
      </c>
      <c r="J7" s="2961" t="s">
        <v>3130</v>
      </c>
      <c r="K7" s="2961" t="s">
        <v>3131</v>
      </c>
      <c r="L7" s="2961" t="s">
        <v>3132</v>
      </c>
      <c r="M7" s="2961" t="s">
        <v>3133</v>
      </c>
      <c r="N7" s="2961" t="s">
        <v>3134</v>
      </c>
      <c r="O7" s="2961" t="s">
        <v>3050</v>
      </c>
      <c r="P7" s="2961">
        <v>19250</v>
      </c>
      <c r="Q7" s="2961">
        <v>278.92</v>
      </c>
      <c r="R7" s="2961">
        <v>1673.5</v>
      </c>
      <c r="S7" s="2961">
        <v>0</v>
      </c>
      <c r="T7" s="2961" t="s">
        <v>3135</v>
      </c>
      <c r="U7" s="2961" t="s">
        <v>3136</v>
      </c>
      <c r="V7" s="2961">
        <f>ROUND(P7*10000/F7,0)</f>
        <v>4184</v>
      </c>
    </row>
    <row r="8" spans="1:22" s="2961" customFormat="1">
      <c r="A8" s="2961" t="s">
        <v>3137</v>
      </c>
      <c r="B8" s="2961" t="s">
        <v>3125</v>
      </c>
      <c r="C8" s="2961" t="s">
        <v>3126</v>
      </c>
      <c r="D8" s="2961" t="s">
        <v>3127</v>
      </c>
      <c r="E8" s="2961" t="s">
        <v>3138</v>
      </c>
      <c r="F8" s="2961">
        <v>21049.89</v>
      </c>
      <c r="G8" s="2961">
        <v>52624.73</v>
      </c>
      <c r="H8" s="2961">
        <v>2.5</v>
      </c>
      <c r="I8" s="2961" t="s">
        <v>3129</v>
      </c>
      <c r="J8" s="2961" t="s">
        <v>3130</v>
      </c>
      <c r="K8" s="2961" t="s">
        <v>3131</v>
      </c>
      <c r="L8" s="2961" t="s">
        <v>3132</v>
      </c>
      <c r="M8" s="2961" t="s">
        <v>3133</v>
      </c>
      <c r="N8" s="2961" t="s">
        <v>3134</v>
      </c>
      <c r="O8" s="2961" t="s">
        <v>3050</v>
      </c>
      <c r="P8" s="2961">
        <v>8160</v>
      </c>
      <c r="Q8" s="2961">
        <v>258.43</v>
      </c>
      <c r="R8" s="2961">
        <v>1550.59</v>
      </c>
      <c r="S8" s="2961">
        <v>0</v>
      </c>
      <c r="T8" s="2961" t="s">
        <v>3135</v>
      </c>
      <c r="U8" s="2961" t="s">
        <v>3136</v>
      </c>
      <c r="V8" s="2961">
        <f t="shared" ref="V8:V21" si="1">ROUND(P8*10000/F8,0)</f>
        <v>3877</v>
      </c>
    </row>
    <row r="9" spans="1:22" s="2961" customFormat="1">
      <c r="A9" s="2961" t="s">
        <v>3139</v>
      </c>
      <c r="B9" s="2961" t="s">
        <v>3125</v>
      </c>
      <c r="C9" s="2961" t="s">
        <v>3126</v>
      </c>
      <c r="D9" s="2961" t="s">
        <v>3127</v>
      </c>
      <c r="E9" s="2961" t="s">
        <v>3128</v>
      </c>
      <c r="F9" s="2961">
        <v>41891.339999999997</v>
      </c>
      <c r="G9" s="2961">
        <v>104728.35</v>
      </c>
      <c r="H9" s="2961">
        <v>2.5</v>
      </c>
      <c r="I9" s="2961" t="s">
        <v>3129</v>
      </c>
      <c r="J9" s="2961" t="s">
        <v>3130</v>
      </c>
      <c r="K9" s="2961" t="s">
        <v>3131</v>
      </c>
      <c r="L9" s="2961" t="s">
        <v>3132</v>
      </c>
      <c r="M9" s="2961" t="s">
        <v>3133</v>
      </c>
      <c r="N9" s="2961" t="s">
        <v>3134</v>
      </c>
      <c r="O9" s="2961" t="s">
        <v>3050</v>
      </c>
      <c r="P9" s="2961">
        <v>17520</v>
      </c>
      <c r="Q9" s="2961">
        <v>278.82</v>
      </c>
      <c r="R9" s="2961">
        <v>1672.9</v>
      </c>
      <c r="S9" s="2961">
        <v>0</v>
      </c>
      <c r="T9" s="2961" t="s">
        <v>3135</v>
      </c>
      <c r="U9" s="2961" t="s">
        <v>3136</v>
      </c>
      <c r="V9" s="2961">
        <f t="shared" si="1"/>
        <v>4182</v>
      </c>
    </row>
    <row r="10" spans="1:22" s="2960" customFormat="1">
      <c r="A10" s="2962" t="s">
        <v>3310</v>
      </c>
      <c r="B10" s="2960" t="s">
        <v>3125</v>
      </c>
      <c r="C10" s="2960" t="s">
        <v>3126</v>
      </c>
      <c r="D10" s="2960" t="s">
        <v>3127</v>
      </c>
      <c r="E10" s="2960" t="s">
        <v>3138</v>
      </c>
      <c r="F10" s="2960">
        <v>43581.46</v>
      </c>
      <c r="G10" s="2960">
        <v>52297.75</v>
      </c>
      <c r="H10" s="2960">
        <v>1.2</v>
      </c>
      <c r="I10" s="2960" t="s">
        <v>3141</v>
      </c>
      <c r="J10" s="2960" t="s">
        <v>3142</v>
      </c>
      <c r="K10" s="2960" t="s">
        <v>3131</v>
      </c>
      <c r="L10" s="2960" t="s">
        <v>3143</v>
      </c>
      <c r="M10" s="2960" t="s">
        <v>3144</v>
      </c>
      <c r="N10" s="2960" t="s">
        <v>3134</v>
      </c>
      <c r="O10" s="2960" t="s">
        <v>3145</v>
      </c>
      <c r="P10" s="2960">
        <v>5930</v>
      </c>
      <c r="Q10" s="2960">
        <v>90.71</v>
      </c>
      <c r="R10" s="2960">
        <v>1133.8900000000001</v>
      </c>
      <c r="S10" s="2960">
        <v>0</v>
      </c>
      <c r="T10" s="2960" t="s">
        <v>3135</v>
      </c>
      <c r="U10" s="2960" t="s">
        <v>3136</v>
      </c>
      <c r="V10" s="2961">
        <f t="shared" si="1"/>
        <v>1361</v>
      </c>
    </row>
    <row r="11" spans="1:22" s="2960" customFormat="1">
      <c r="A11" s="2960" t="s">
        <v>3140</v>
      </c>
      <c r="B11" s="2960" t="s">
        <v>3125</v>
      </c>
      <c r="C11" s="2960" t="s">
        <v>3126</v>
      </c>
      <c r="D11" s="2960" t="s">
        <v>3127</v>
      </c>
      <c r="E11" s="2960" t="s">
        <v>3138</v>
      </c>
      <c r="F11" s="2960">
        <v>278479.57</v>
      </c>
      <c r="G11" s="2960">
        <v>334175.48</v>
      </c>
      <c r="H11" s="2960">
        <v>1.2</v>
      </c>
      <c r="I11" s="2960" t="s">
        <v>3146</v>
      </c>
      <c r="J11" s="2960" t="s">
        <v>3142</v>
      </c>
      <c r="K11" s="2960" t="s">
        <v>3131</v>
      </c>
      <c r="L11" s="2960" t="s">
        <v>3143</v>
      </c>
      <c r="M11" s="2960" t="s">
        <v>3144</v>
      </c>
      <c r="N11" s="2960" t="s">
        <v>3134</v>
      </c>
      <c r="O11" s="2960" t="s">
        <v>3145</v>
      </c>
      <c r="P11" s="2960">
        <v>37960</v>
      </c>
      <c r="Q11" s="2960">
        <v>90.87</v>
      </c>
      <c r="R11" s="2960">
        <v>1135.93</v>
      </c>
      <c r="S11" s="2960">
        <v>0</v>
      </c>
      <c r="T11" s="2960" t="s">
        <v>3135</v>
      </c>
      <c r="U11" s="2960" t="s">
        <v>3136</v>
      </c>
      <c r="V11" s="2961">
        <f t="shared" si="1"/>
        <v>1363</v>
      </c>
    </row>
    <row r="12" spans="1:22" s="2960" customFormat="1">
      <c r="A12" s="2960" t="s">
        <v>3147</v>
      </c>
      <c r="B12" s="2960" t="s">
        <v>3125</v>
      </c>
      <c r="C12" s="2960" t="s">
        <v>3126</v>
      </c>
      <c r="D12" s="2960" t="s">
        <v>3127</v>
      </c>
      <c r="E12" s="2960" t="s">
        <v>3138</v>
      </c>
      <c r="F12" s="2960">
        <v>16532</v>
      </c>
      <c r="G12" s="2960">
        <v>4959.6000000000004</v>
      </c>
      <c r="H12" s="2960">
        <v>0.3</v>
      </c>
      <c r="I12" s="2960" t="s">
        <v>3148</v>
      </c>
      <c r="J12" s="2960" t="s">
        <v>3149</v>
      </c>
      <c r="K12" s="2960" t="s">
        <v>3131</v>
      </c>
      <c r="L12" s="2960" t="s">
        <v>3150</v>
      </c>
      <c r="M12" s="2960" t="s">
        <v>3151</v>
      </c>
      <c r="N12" s="2960" t="s">
        <v>3134</v>
      </c>
      <c r="O12" s="2960" t="s">
        <v>3152</v>
      </c>
      <c r="P12" s="2960">
        <v>1980</v>
      </c>
      <c r="Q12" s="2960">
        <v>79.849999999999994</v>
      </c>
      <c r="R12" s="2960">
        <v>3992.26</v>
      </c>
      <c r="S12" s="2960">
        <v>1.02</v>
      </c>
      <c r="T12" s="2960" t="s">
        <v>3135</v>
      </c>
      <c r="U12" s="2960" t="s">
        <v>3153</v>
      </c>
      <c r="V12" s="2961">
        <f t="shared" si="1"/>
        <v>1198</v>
      </c>
    </row>
    <row r="13" spans="1:22" s="2961" customFormat="1">
      <c r="A13" s="2961" t="s">
        <v>3154</v>
      </c>
      <c r="B13" s="2961" t="s">
        <v>3125</v>
      </c>
      <c r="C13" s="2961" t="s">
        <v>3126</v>
      </c>
      <c r="D13" s="2961" t="s">
        <v>3127</v>
      </c>
      <c r="E13" s="2961" t="s">
        <v>3128</v>
      </c>
      <c r="F13" s="2961">
        <v>50978.65</v>
      </c>
      <c r="G13" s="2961">
        <v>127446.6</v>
      </c>
      <c r="H13" s="2961">
        <v>2.5</v>
      </c>
      <c r="I13" s="2961" t="s">
        <v>3155</v>
      </c>
      <c r="J13" s="2961" t="s">
        <v>3156</v>
      </c>
      <c r="K13" s="2961" t="s">
        <v>3131</v>
      </c>
      <c r="L13" s="2961" t="s">
        <v>3150</v>
      </c>
      <c r="M13" s="2961" t="s">
        <v>3151</v>
      </c>
      <c r="N13" s="2961" t="s">
        <v>3134</v>
      </c>
      <c r="O13" s="2961" t="s">
        <v>3050</v>
      </c>
      <c r="P13" s="2961">
        <v>18470</v>
      </c>
      <c r="Q13" s="2961">
        <v>241.54</v>
      </c>
      <c r="R13" s="2961">
        <v>1449.23</v>
      </c>
      <c r="S13" s="2961">
        <v>0.54</v>
      </c>
      <c r="T13" s="2961" t="s">
        <v>3135</v>
      </c>
      <c r="U13" s="2961" t="s">
        <v>3136</v>
      </c>
      <c r="V13" s="2961">
        <f t="shared" si="1"/>
        <v>3623</v>
      </c>
    </row>
    <row r="14" spans="1:22" s="2960" customFormat="1">
      <c r="A14" s="2960" t="s">
        <v>3157</v>
      </c>
      <c r="B14" s="2960" t="s">
        <v>3125</v>
      </c>
      <c r="C14" s="2960" t="s">
        <v>3126</v>
      </c>
      <c r="D14" s="2960" t="s">
        <v>3127</v>
      </c>
      <c r="E14" s="2960" t="s">
        <v>3138</v>
      </c>
      <c r="F14" s="2960">
        <v>28286</v>
      </c>
      <c r="G14" s="2960">
        <v>16971.599999999999</v>
      </c>
      <c r="H14" s="2960">
        <v>0.6</v>
      </c>
      <c r="I14" s="2960" t="s">
        <v>1327</v>
      </c>
      <c r="J14" s="2960" t="s">
        <v>1327</v>
      </c>
      <c r="K14" s="2960" t="s">
        <v>3131</v>
      </c>
      <c r="L14" s="2960" t="s">
        <v>3150</v>
      </c>
      <c r="M14" s="2960" t="s">
        <v>3158</v>
      </c>
      <c r="N14" s="2960" t="s">
        <v>3134</v>
      </c>
      <c r="O14" s="2960" t="s">
        <v>3152</v>
      </c>
      <c r="P14" s="2960">
        <v>3820</v>
      </c>
      <c r="Q14" s="2960">
        <v>90.03</v>
      </c>
      <c r="R14" s="2960">
        <v>2250.8200000000002</v>
      </c>
      <c r="S14" s="2960">
        <v>0.53</v>
      </c>
      <c r="T14" s="2960" t="s">
        <v>3135</v>
      </c>
      <c r="U14" s="2960" t="s">
        <v>3136</v>
      </c>
      <c r="V14" s="2961">
        <f t="shared" si="1"/>
        <v>1350</v>
      </c>
    </row>
    <row r="15" spans="1:22" s="2960" customFormat="1">
      <c r="A15" s="2960" t="s">
        <v>3159</v>
      </c>
      <c r="B15" s="2960" t="s">
        <v>3125</v>
      </c>
      <c r="C15" s="2960" t="s">
        <v>3126</v>
      </c>
      <c r="D15" s="2960" t="s">
        <v>3127</v>
      </c>
      <c r="E15" s="2960" t="s">
        <v>3138</v>
      </c>
      <c r="F15" s="2960">
        <v>18978</v>
      </c>
      <c r="G15" s="2960">
        <v>9489</v>
      </c>
      <c r="H15" s="2960">
        <v>0.5</v>
      </c>
      <c r="I15" s="2960">
        <v>0.3</v>
      </c>
      <c r="J15" s="2960" t="s">
        <v>3160</v>
      </c>
      <c r="K15" s="2960" t="s">
        <v>3131</v>
      </c>
      <c r="L15" s="2960" t="s">
        <v>3150</v>
      </c>
      <c r="M15" s="2960" t="s">
        <v>3151</v>
      </c>
      <c r="N15" s="2960" t="s">
        <v>3134</v>
      </c>
      <c r="O15" s="2960" t="s">
        <v>3152</v>
      </c>
      <c r="P15" s="2960">
        <v>2490</v>
      </c>
      <c r="Q15" s="2960">
        <v>87.47</v>
      </c>
      <c r="R15" s="2960">
        <v>2624.09</v>
      </c>
      <c r="S15" s="2960">
        <v>0.81</v>
      </c>
      <c r="T15" s="2960" t="s">
        <v>3135</v>
      </c>
      <c r="U15" s="2960" t="s">
        <v>3153</v>
      </c>
      <c r="V15" s="2961">
        <f t="shared" si="1"/>
        <v>1312</v>
      </c>
    </row>
    <row r="16" spans="1:22" s="2960" customFormat="1">
      <c r="A16" s="2960" t="s">
        <v>3161</v>
      </c>
      <c r="B16" s="2960" t="s">
        <v>3125</v>
      </c>
      <c r="C16" s="2960" t="s">
        <v>3126</v>
      </c>
      <c r="D16" s="2960" t="s">
        <v>3127</v>
      </c>
      <c r="E16" s="2960" t="s">
        <v>3138</v>
      </c>
      <c r="F16" s="2960">
        <v>20170</v>
      </c>
      <c r="G16" s="2960">
        <v>20170</v>
      </c>
      <c r="H16" s="2960">
        <v>1</v>
      </c>
      <c r="I16" s="2960">
        <v>0.3</v>
      </c>
      <c r="J16" s="2960" t="s">
        <v>3162</v>
      </c>
      <c r="K16" s="2960" t="s">
        <v>3131</v>
      </c>
      <c r="L16" s="2960" t="s">
        <v>3150</v>
      </c>
      <c r="M16" s="2960" t="s">
        <v>3151</v>
      </c>
      <c r="N16" s="2960" t="s">
        <v>3134</v>
      </c>
      <c r="O16" s="2960" t="s">
        <v>3152</v>
      </c>
      <c r="P16" s="2960">
        <v>2320</v>
      </c>
      <c r="Q16" s="2960">
        <v>76.680000000000007</v>
      </c>
      <c r="R16" s="2960">
        <v>1150.22</v>
      </c>
      <c r="S16" s="2960">
        <v>0.87</v>
      </c>
      <c r="T16" s="2960" t="s">
        <v>3135</v>
      </c>
      <c r="U16" s="2960" t="s">
        <v>3153</v>
      </c>
      <c r="V16" s="2961">
        <f t="shared" si="1"/>
        <v>1150</v>
      </c>
    </row>
    <row r="17" spans="1:22" s="2961" customFormat="1">
      <c r="A17" s="2961" t="s">
        <v>3163</v>
      </c>
      <c r="B17" s="2961" t="s">
        <v>3125</v>
      </c>
      <c r="C17" s="2961" t="s">
        <v>3126</v>
      </c>
      <c r="D17" s="2961" t="s">
        <v>3127</v>
      </c>
      <c r="E17" s="2961" t="s">
        <v>3128</v>
      </c>
      <c r="F17" s="2961">
        <v>39506.519999999997</v>
      </c>
      <c r="G17" s="2961">
        <v>98766.3</v>
      </c>
      <c r="H17" s="2961">
        <v>2.5</v>
      </c>
      <c r="I17" s="2961" t="s">
        <v>3148</v>
      </c>
      <c r="J17" s="2961" t="s">
        <v>3156</v>
      </c>
      <c r="K17" s="2961" t="s">
        <v>3131</v>
      </c>
      <c r="L17" s="2961" t="s">
        <v>3150</v>
      </c>
      <c r="M17" s="2961" t="s">
        <v>3151</v>
      </c>
      <c r="N17" s="2961" t="s">
        <v>3134</v>
      </c>
      <c r="O17" s="2961" t="s">
        <v>3050</v>
      </c>
      <c r="P17" s="2961">
        <v>15690</v>
      </c>
      <c r="Q17" s="2961">
        <v>264.77</v>
      </c>
      <c r="R17" s="2961">
        <v>1588.59</v>
      </c>
      <c r="S17" s="2961">
        <v>0.64</v>
      </c>
      <c r="T17" s="2961" t="s">
        <v>3135</v>
      </c>
      <c r="U17" s="2961" t="s">
        <v>3136</v>
      </c>
      <c r="V17" s="2961">
        <f t="shared" si="1"/>
        <v>3971</v>
      </c>
    </row>
    <row r="18" spans="1:22" s="2960" customFormat="1">
      <c r="A18" s="2960" t="s">
        <v>3164</v>
      </c>
      <c r="B18" s="2960" t="s">
        <v>3125</v>
      </c>
      <c r="C18" s="2960" t="s">
        <v>3126</v>
      </c>
      <c r="D18" s="2960" t="s">
        <v>3127</v>
      </c>
      <c r="E18" s="2960" t="s">
        <v>3138</v>
      </c>
      <c r="F18" s="2960">
        <v>25306</v>
      </c>
      <c r="G18" s="2960">
        <v>10122.4</v>
      </c>
      <c r="H18" s="2960">
        <v>0.4</v>
      </c>
      <c r="I18" s="2960">
        <v>0.3</v>
      </c>
      <c r="J18" s="2960" t="s">
        <v>3165</v>
      </c>
      <c r="K18" s="2960" t="s">
        <v>3131</v>
      </c>
      <c r="L18" s="2960" t="s">
        <v>3150</v>
      </c>
      <c r="M18" s="2960" t="s">
        <v>3151</v>
      </c>
      <c r="N18" s="2960" t="s">
        <v>3134</v>
      </c>
      <c r="O18" s="2960" t="s">
        <v>3152</v>
      </c>
      <c r="P18" s="2960">
        <v>3220</v>
      </c>
      <c r="Q18" s="2960">
        <v>84.83</v>
      </c>
      <c r="R18" s="2960">
        <v>3181.05</v>
      </c>
      <c r="S18" s="2960">
        <v>0.63</v>
      </c>
      <c r="T18" s="2960" t="s">
        <v>3135</v>
      </c>
      <c r="U18" s="2960" t="s">
        <v>3136</v>
      </c>
      <c r="V18" s="2961">
        <f t="shared" si="1"/>
        <v>1272</v>
      </c>
    </row>
    <row r="19" spans="1:22" s="2960" customFormat="1">
      <c r="A19" s="2960" t="s">
        <v>3166</v>
      </c>
      <c r="B19" s="2960" t="s">
        <v>3125</v>
      </c>
      <c r="C19" s="2960" t="s">
        <v>3126</v>
      </c>
      <c r="D19" s="2960" t="s">
        <v>3127</v>
      </c>
      <c r="E19" s="2960" t="s">
        <v>3138</v>
      </c>
      <c r="F19" s="2960">
        <v>26825.01</v>
      </c>
      <c r="G19" s="2960">
        <v>18777.509999999998</v>
      </c>
      <c r="H19" s="2960">
        <v>0.7</v>
      </c>
      <c r="I19" s="2960" t="s">
        <v>3167</v>
      </c>
      <c r="J19" s="2960" t="s">
        <v>3168</v>
      </c>
      <c r="K19" s="2960" t="s">
        <v>3131</v>
      </c>
      <c r="L19" s="2960" t="s">
        <v>3150</v>
      </c>
      <c r="M19" s="2960" t="s">
        <v>3169</v>
      </c>
      <c r="N19" s="2960" t="s">
        <v>3134</v>
      </c>
      <c r="O19" s="2960" t="s">
        <v>3170</v>
      </c>
      <c r="P19" s="2960">
        <v>8500</v>
      </c>
      <c r="Q19" s="2960">
        <v>211.25</v>
      </c>
      <c r="R19" s="2960">
        <v>4526.68</v>
      </c>
      <c r="S19" s="2960">
        <v>0</v>
      </c>
      <c r="T19" s="2960" t="s">
        <v>3135</v>
      </c>
      <c r="U19" s="2960" t="s">
        <v>3136</v>
      </c>
      <c r="V19" s="2961">
        <f t="shared" si="1"/>
        <v>3169</v>
      </c>
    </row>
    <row r="20" spans="1:22" s="2960" customFormat="1">
      <c r="A20" s="2960" t="s">
        <v>3161</v>
      </c>
      <c r="B20" s="2960" t="s">
        <v>3125</v>
      </c>
      <c r="C20" s="2960" t="s">
        <v>3126</v>
      </c>
      <c r="D20" s="2960" t="s">
        <v>3127</v>
      </c>
      <c r="E20" s="2960" t="s">
        <v>3138</v>
      </c>
      <c r="F20" s="2960">
        <v>144089</v>
      </c>
      <c r="G20" s="2960">
        <v>43226.7</v>
      </c>
      <c r="H20" s="2960">
        <v>0.3</v>
      </c>
      <c r="I20" s="2960">
        <v>0.3</v>
      </c>
      <c r="J20" s="2960" t="s">
        <v>3160</v>
      </c>
      <c r="K20" s="2960" t="s">
        <v>3131</v>
      </c>
      <c r="L20" s="2960" t="s">
        <v>3150</v>
      </c>
      <c r="M20" s="2960" t="s">
        <v>3151</v>
      </c>
      <c r="N20" s="2960" t="s">
        <v>3134</v>
      </c>
      <c r="O20" s="2960" t="s">
        <v>3152</v>
      </c>
      <c r="P20" s="2960">
        <v>17620</v>
      </c>
      <c r="Q20" s="2960">
        <v>81.52</v>
      </c>
      <c r="R20" s="2960">
        <v>4076.17</v>
      </c>
      <c r="S20" s="2960">
        <v>0.56999999999999995</v>
      </c>
      <c r="T20" s="2960" t="s">
        <v>3135</v>
      </c>
      <c r="U20" s="2960" t="s">
        <v>3153</v>
      </c>
      <c r="V20" s="2961">
        <f t="shared" si="1"/>
        <v>1223</v>
      </c>
    </row>
    <row r="21" spans="1:22" s="2960" customFormat="1">
      <c r="A21" s="2960" t="s">
        <v>3171</v>
      </c>
      <c r="B21" s="2960" t="s">
        <v>3125</v>
      </c>
      <c r="C21" s="2960" t="s">
        <v>3126</v>
      </c>
      <c r="D21" s="2960" t="s">
        <v>3127</v>
      </c>
      <c r="E21" s="2960" t="s">
        <v>3172</v>
      </c>
      <c r="F21" s="2960">
        <v>3729.73</v>
      </c>
      <c r="G21" s="2960">
        <v>1864.87</v>
      </c>
      <c r="H21" s="2960">
        <v>0.5</v>
      </c>
      <c r="I21" s="2960" t="s">
        <v>3167</v>
      </c>
      <c r="J21" s="2960" t="s">
        <v>3149</v>
      </c>
      <c r="K21" s="2960" t="s">
        <v>3131</v>
      </c>
      <c r="L21" s="2960" t="s">
        <v>3173</v>
      </c>
      <c r="M21" s="2960" t="s">
        <v>3174</v>
      </c>
      <c r="N21" s="2960" t="s">
        <v>3134</v>
      </c>
      <c r="O21" s="2960" t="s">
        <v>3175</v>
      </c>
      <c r="P21" s="2960">
        <v>760</v>
      </c>
      <c r="Q21" s="2960">
        <v>135.85</v>
      </c>
      <c r="R21" s="2960">
        <v>4075.34</v>
      </c>
      <c r="S21" s="2960">
        <v>1.33</v>
      </c>
      <c r="T21" s="2960" t="s">
        <v>3135</v>
      </c>
      <c r="U21" s="2960" t="s">
        <v>3136</v>
      </c>
      <c r="V21" s="2961">
        <f t="shared" si="1"/>
        <v>2038</v>
      </c>
    </row>
    <row r="22" spans="1:22">
      <c r="A22" s="2959" t="s">
        <v>3176</v>
      </c>
      <c r="B22" s="2959" t="s">
        <v>3125</v>
      </c>
      <c r="C22" s="2959" t="s">
        <v>3126</v>
      </c>
      <c r="D22" s="2959" t="s">
        <v>3127</v>
      </c>
      <c r="E22" s="2959" t="s">
        <v>3138</v>
      </c>
      <c r="F22" s="2959">
        <v>9191.4699999999993</v>
      </c>
      <c r="G22" s="2959">
        <v>55148.82</v>
      </c>
      <c r="H22" s="2959">
        <v>6</v>
      </c>
      <c r="I22" s="2959" t="s">
        <v>3177</v>
      </c>
      <c r="J22" s="2959" t="s">
        <v>3178</v>
      </c>
      <c r="K22" s="2959" t="s">
        <v>3179</v>
      </c>
      <c r="L22" s="2959" t="s">
        <v>3180</v>
      </c>
      <c r="M22" s="2959" t="s">
        <v>3181</v>
      </c>
      <c r="N22" s="2959" t="s">
        <v>3134</v>
      </c>
      <c r="O22" s="2959" t="s">
        <v>3182</v>
      </c>
      <c r="P22" s="2959">
        <v>6011</v>
      </c>
      <c r="Q22" s="2959">
        <v>435.98</v>
      </c>
      <c r="R22" s="2959">
        <v>1089.96</v>
      </c>
      <c r="S22" s="2959">
        <v>1.69</v>
      </c>
      <c r="T22" s="2959" t="s">
        <v>3135</v>
      </c>
      <c r="U22" s="2959" t="s">
        <v>3136</v>
      </c>
    </row>
    <row r="23" spans="1:22">
      <c r="A23" s="2959" t="s">
        <v>3183</v>
      </c>
      <c r="B23" s="2959" t="s">
        <v>3125</v>
      </c>
      <c r="C23" s="2959" t="s">
        <v>3126</v>
      </c>
      <c r="D23" s="2959" t="s">
        <v>3127</v>
      </c>
      <c r="E23" s="2959" t="s">
        <v>3138</v>
      </c>
      <c r="F23" s="2959">
        <v>18063.52</v>
      </c>
      <c r="G23" s="2959">
        <v>18063.52</v>
      </c>
      <c r="H23" s="2959">
        <v>1</v>
      </c>
      <c r="I23" s="2959" t="s">
        <v>3177</v>
      </c>
      <c r="J23" s="2959" t="s">
        <v>3184</v>
      </c>
      <c r="K23" s="2959" t="s">
        <v>3179</v>
      </c>
      <c r="L23" s="2959" t="s">
        <v>3180</v>
      </c>
      <c r="M23" s="2959" t="s">
        <v>3185</v>
      </c>
      <c r="N23" s="2959" t="s">
        <v>3134</v>
      </c>
      <c r="O23" s="2959" t="s">
        <v>3182</v>
      </c>
      <c r="P23" s="2959">
        <v>8678</v>
      </c>
      <c r="Q23" s="2959">
        <v>320.27999999999997</v>
      </c>
      <c r="R23" s="2959">
        <v>4804.1499999999996</v>
      </c>
      <c r="S23" s="2959">
        <v>1.17</v>
      </c>
      <c r="T23" s="2959" t="s">
        <v>3135</v>
      </c>
      <c r="U23" s="2959" t="s">
        <v>3136</v>
      </c>
    </row>
    <row r="24" spans="1:22">
      <c r="A24" s="2959" t="s">
        <v>3176</v>
      </c>
      <c r="B24" s="2959" t="s">
        <v>3125</v>
      </c>
      <c r="C24" s="2959" t="s">
        <v>3126</v>
      </c>
      <c r="D24" s="2959" t="s">
        <v>3127</v>
      </c>
      <c r="E24" s="2959" t="s">
        <v>3138</v>
      </c>
      <c r="F24" s="2959">
        <v>13427.4</v>
      </c>
      <c r="G24" s="2959">
        <v>40282.199999999997</v>
      </c>
      <c r="H24" s="2959">
        <v>3</v>
      </c>
      <c r="I24" s="2959" t="s">
        <v>3177</v>
      </c>
      <c r="J24" s="2959" t="s">
        <v>3184</v>
      </c>
      <c r="K24" s="2959" t="s">
        <v>3179</v>
      </c>
      <c r="L24" s="2959" t="s">
        <v>3180</v>
      </c>
      <c r="M24" s="2959" t="s">
        <v>3186</v>
      </c>
      <c r="N24" s="2959" t="s">
        <v>3134</v>
      </c>
      <c r="O24" s="2959" t="s">
        <v>3182</v>
      </c>
      <c r="P24" s="2959">
        <v>8055</v>
      </c>
      <c r="Q24" s="2959">
        <v>399.93</v>
      </c>
      <c r="R24" s="2959">
        <v>1999.64</v>
      </c>
      <c r="S24" s="2959">
        <v>1.26</v>
      </c>
      <c r="T24" s="2959" t="s">
        <v>3135</v>
      </c>
      <c r="U24" s="2959" t="s">
        <v>3136</v>
      </c>
    </row>
    <row r="25" spans="1:22">
      <c r="A25" s="2959" t="s">
        <v>3183</v>
      </c>
      <c r="B25" s="2959" t="s">
        <v>3125</v>
      </c>
      <c r="C25" s="2959" t="s">
        <v>3126</v>
      </c>
      <c r="D25" s="2959" t="s">
        <v>3127</v>
      </c>
      <c r="E25" s="2959" t="s">
        <v>3138</v>
      </c>
      <c r="F25" s="2959">
        <v>16057.07</v>
      </c>
      <c r="G25" s="2959">
        <v>80285.350000000006</v>
      </c>
      <c r="H25" s="2959">
        <v>5</v>
      </c>
      <c r="I25" s="2959" t="s">
        <v>3177</v>
      </c>
      <c r="J25" s="2959" t="s">
        <v>3187</v>
      </c>
      <c r="K25" s="2959" t="s">
        <v>3179</v>
      </c>
      <c r="L25" s="2959" t="s">
        <v>3180</v>
      </c>
      <c r="M25" s="2959" t="s">
        <v>3188</v>
      </c>
      <c r="N25" s="2959" t="s">
        <v>3134</v>
      </c>
      <c r="O25" s="2959" t="s">
        <v>3182</v>
      </c>
      <c r="P25" s="2959">
        <v>9502</v>
      </c>
      <c r="Q25" s="2959">
        <v>394.51</v>
      </c>
      <c r="R25" s="2959">
        <v>1183.52</v>
      </c>
      <c r="S25" s="2959">
        <v>1.06</v>
      </c>
      <c r="T25" s="2959" t="s">
        <v>3135</v>
      </c>
      <c r="U25" s="2959" t="s">
        <v>3136</v>
      </c>
    </row>
    <row r="26" spans="1:22">
      <c r="A26" s="2959" t="s">
        <v>3189</v>
      </c>
      <c r="B26" s="2959" t="s">
        <v>3125</v>
      </c>
      <c r="C26" s="2959" t="s">
        <v>3126</v>
      </c>
      <c r="D26" s="2959" t="s">
        <v>3127</v>
      </c>
      <c r="E26" s="2959" t="s">
        <v>3190</v>
      </c>
      <c r="F26" s="2959">
        <v>54926.58</v>
      </c>
      <c r="G26" s="2959">
        <v>109853.2</v>
      </c>
      <c r="H26" s="2959">
        <v>2</v>
      </c>
      <c r="I26" s="2959" t="s">
        <v>3191</v>
      </c>
      <c r="J26" s="2959" t="s">
        <v>3192</v>
      </c>
      <c r="K26" s="2959" t="s">
        <v>3193</v>
      </c>
      <c r="L26" s="2959" t="s">
        <v>3194</v>
      </c>
      <c r="M26" s="2959" t="s">
        <v>3195</v>
      </c>
      <c r="N26" s="2959" t="s">
        <v>3134</v>
      </c>
      <c r="O26" s="2959" t="s">
        <v>3196</v>
      </c>
      <c r="P26" s="2959">
        <v>8238</v>
      </c>
      <c r="Q26" s="2959">
        <v>99.99</v>
      </c>
      <c r="R26" s="2959">
        <v>749.9</v>
      </c>
      <c r="S26" s="2959">
        <v>0.37</v>
      </c>
      <c r="T26" s="2959" t="s">
        <v>3135</v>
      </c>
      <c r="U26" s="2959" t="s">
        <v>3136</v>
      </c>
    </row>
    <row r="27" spans="1:22">
      <c r="A27" s="2959" t="s">
        <v>3197</v>
      </c>
      <c r="B27" s="2959" t="s">
        <v>3125</v>
      </c>
      <c r="C27" s="2959" t="s">
        <v>3126</v>
      </c>
      <c r="D27" s="2959" t="s">
        <v>3127</v>
      </c>
      <c r="E27" s="2959" t="s">
        <v>3128</v>
      </c>
      <c r="F27" s="2959">
        <v>20000</v>
      </c>
      <c r="G27" s="2959">
        <v>50000</v>
      </c>
      <c r="H27" s="2959">
        <v>2.5</v>
      </c>
      <c r="I27" s="2959" t="s">
        <v>3167</v>
      </c>
      <c r="J27" s="2959" t="s">
        <v>3198</v>
      </c>
      <c r="K27" s="2959" t="s">
        <v>3193</v>
      </c>
      <c r="L27" s="2959" t="s">
        <v>3199</v>
      </c>
      <c r="M27" s="2959" t="s">
        <v>3200</v>
      </c>
      <c r="N27" s="2959" t="s">
        <v>3134</v>
      </c>
      <c r="O27" s="2959" t="s">
        <v>3201</v>
      </c>
      <c r="P27" s="2959">
        <v>3896</v>
      </c>
      <c r="Q27" s="2959">
        <v>129.87</v>
      </c>
      <c r="R27" s="2959">
        <v>779.2</v>
      </c>
      <c r="S27" s="2959">
        <v>0.26</v>
      </c>
      <c r="T27" s="2959" t="s">
        <v>3135</v>
      </c>
      <c r="U27" s="2959" t="s">
        <v>3136</v>
      </c>
    </row>
    <row r="28" spans="1:22">
      <c r="A28" s="2959" t="s">
        <v>3202</v>
      </c>
      <c r="B28" s="2959" t="s">
        <v>3125</v>
      </c>
      <c r="C28" s="2959" t="s">
        <v>3126</v>
      </c>
      <c r="D28" s="2959" t="s">
        <v>3127</v>
      </c>
      <c r="E28" s="2959" t="s">
        <v>3190</v>
      </c>
      <c r="F28" s="2959">
        <v>3333.35</v>
      </c>
      <c r="G28" s="2959">
        <v>1666.68</v>
      </c>
      <c r="H28" s="2959">
        <v>0.5</v>
      </c>
      <c r="I28" s="2959" t="s">
        <v>3203</v>
      </c>
      <c r="J28" s="2959" t="s">
        <v>3204</v>
      </c>
      <c r="K28" s="2959" t="s">
        <v>3193</v>
      </c>
      <c r="L28" s="2959" t="s">
        <v>3199</v>
      </c>
      <c r="M28" s="2959" t="s">
        <v>3205</v>
      </c>
      <c r="N28" s="2959" t="s">
        <v>3134</v>
      </c>
      <c r="O28" s="2959" t="s">
        <v>3206</v>
      </c>
      <c r="P28" s="2959">
        <v>509</v>
      </c>
      <c r="Q28" s="2959">
        <v>101.8</v>
      </c>
      <c r="R28" s="2959">
        <v>3053.98</v>
      </c>
      <c r="S28" s="2959">
        <v>2</v>
      </c>
      <c r="T28" s="2959" t="s">
        <v>3135</v>
      </c>
      <c r="U28" s="2959" t="s">
        <v>3136</v>
      </c>
    </row>
    <row r="29" spans="1:22">
      <c r="A29" s="2959" t="s">
        <v>3207</v>
      </c>
      <c r="B29" s="2959" t="s">
        <v>3125</v>
      </c>
      <c r="C29" s="2959" t="s">
        <v>3126</v>
      </c>
      <c r="D29" s="2959" t="s">
        <v>3127</v>
      </c>
      <c r="E29" s="2959" t="s">
        <v>3128</v>
      </c>
      <c r="F29" s="2959">
        <v>7371.02</v>
      </c>
      <c r="G29" s="2959">
        <v>18427.55</v>
      </c>
      <c r="H29" s="2959">
        <v>2.5</v>
      </c>
      <c r="I29" s="2959" t="s">
        <v>3208</v>
      </c>
      <c r="J29" s="2959" t="s">
        <v>3209</v>
      </c>
      <c r="K29" s="2959" t="s">
        <v>3193</v>
      </c>
      <c r="L29" s="2959" t="s">
        <v>3199</v>
      </c>
      <c r="M29" s="2959" t="s">
        <v>3210</v>
      </c>
      <c r="N29" s="2959" t="s">
        <v>3134</v>
      </c>
      <c r="O29" s="2959" t="s">
        <v>3211</v>
      </c>
      <c r="P29" s="2959">
        <v>1434</v>
      </c>
      <c r="Q29" s="2959">
        <v>129.69999999999999</v>
      </c>
      <c r="R29" s="2959">
        <v>778.17</v>
      </c>
      <c r="S29" s="2959">
        <v>0.7</v>
      </c>
      <c r="T29" s="2959" t="s">
        <v>3135</v>
      </c>
      <c r="U29" s="2959" t="s">
        <v>3136</v>
      </c>
    </row>
    <row r="30" spans="1:22">
      <c r="A30" s="2959" t="s">
        <v>3212</v>
      </c>
      <c r="B30" s="2959" t="s">
        <v>3125</v>
      </c>
      <c r="C30" s="2959" t="s">
        <v>3126</v>
      </c>
      <c r="D30" s="2959" t="s">
        <v>3127</v>
      </c>
      <c r="E30" s="2959" t="s">
        <v>3128</v>
      </c>
      <c r="F30" s="2959">
        <v>86216.16</v>
      </c>
      <c r="G30" s="2959">
        <v>258648.5</v>
      </c>
      <c r="H30" s="2959">
        <v>3</v>
      </c>
      <c r="I30" s="2959" t="s">
        <v>3167</v>
      </c>
      <c r="J30" s="2959" t="s">
        <v>3213</v>
      </c>
      <c r="K30" s="2959" t="s">
        <v>3193</v>
      </c>
      <c r="L30" s="2959" t="s">
        <v>3214</v>
      </c>
      <c r="M30" s="2959" t="s">
        <v>3215</v>
      </c>
      <c r="N30" s="2959" t="s">
        <v>3134</v>
      </c>
      <c r="O30" s="2959" t="s">
        <v>3050</v>
      </c>
      <c r="P30" s="2959">
        <v>38595</v>
      </c>
      <c r="Q30" s="2959">
        <v>298.44</v>
      </c>
      <c r="R30" s="2959">
        <v>1492.18</v>
      </c>
      <c r="S30" s="2959">
        <v>0.26</v>
      </c>
      <c r="T30" s="2959" t="s">
        <v>3135</v>
      </c>
      <c r="U30" s="2959" t="s">
        <v>3136</v>
      </c>
    </row>
    <row r="31" spans="1:22">
      <c r="A31" s="2959" t="s">
        <v>3216</v>
      </c>
      <c r="B31" s="2959" t="s">
        <v>3125</v>
      </c>
      <c r="C31" s="2959" t="s">
        <v>3126</v>
      </c>
      <c r="D31" s="2959" t="s">
        <v>3127</v>
      </c>
      <c r="E31" s="2959" t="s">
        <v>3128</v>
      </c>
      <c r="F31" s="2959">
        <v>52793.33</v>
      </c>
      <c r="G31" s="2959">
        <v>105586.7</v>
      </c>
      <c r="H31" s="2959">
        <v>2</v>
      </c>
      <c r="I31" s="2959" t="s">
        <v>3208</v>
      </c>
      <c r="J31" s="2959" t="s">
        <v>3217</v>
      </c>
      <c r="K31" s="2959" t="s">
        <v>3193</v>
      </c>
      <c r="L31" s="2959" t="s">
        <v>3218</v>
      </c>
      <c r="M31" s="2959" t="s">
        <v>3219</v>
      </c>
      <c r="N31" s="2959" t="s">
        <v>3134</v>
      </c>
      <c r="O31" s="2959" t="s">
        <v>3220</v>
      </c>
      <c r="P31" s="2959">
        <v>9909</v>
      </c>
      <c r="Q31" s="2959">
        <v>125.13</v>
      </c>
      <c r="R31" s="2959">
        <v>938.47</v>
      </c>
      <c r="S31" s="2959">
        <v>0.1</v>
      </c>
      <c r="T31" s="2959" t="s">
        <v>3135</v>
      </c>
      <c r="U31" s="2959" t="s">
        <v>3136</v>
      </c>
    </row>
    <row r="32" spans="1:22">
      <c r="A32" s="2959" t="s">
        <v>3221</v>
      </c>
      <c r="B32" s="2959" t="s">
        <v>3125</v>
      </c>
      <c r="C32" s="2959" t="s">
        <v>3126</v>
      </c>
      <c r="D32" s="2959" t="s">
        <v>3127</v>
      </c>
      <c r="E32" s="2959" t="s">
        <v>3128</v>
      </c>
      <c r="F32" s="2959">
        <v>7245.08</v>
      </c>
      <c r="G32" s="2959">
        <v>34776.379999999997</v>
      </c>
      <c r="H32" s="2959">
        <v>4.8</v>
      </c>
      <c r="I32" s="2959" t="s">
        <v>3177</v>
      </c>
      <c r="J32" s="2959">
        <v>100</v>
      </c>
      <c r="K32" s="2959" t="s">
        <v>3193</v>
      </c>
      <c r="L32" s="2959" t="s">
        <v>3222</v>
      </c>
      <c r="M32" s="2959" t="s">
        <v>3223</v>
      </c>
      <c r="N32" s="2959" t="s">
        <v>3134</v>
      </c>
      <c r="O32" s="2959" t="s">
        <v>3224</v>
      </c>
      <c r="P32" s="2959">
        <v>728</v>
      </c>
      <c r="Q32" s="2959">
        <v>66.989999999999995</v>
      </c>
      <c r="R32" s="2959">
        <v>209.34</v>
      </c>
      <c r="S32" s="2959">
        <v>1.39</v>
      </c>
      <c r="T32" s="2959" t="s">
        <v>3135</v>
      </c>
      <c r="U32" s="2959" t="s">
        <v>3136</v>
      </c>
    </row>
    <row r="33" spans="1:21">
      <c r="A33" s="2959" t="s">
        <v>3225</v>
      </c>
      <c r="B33" s="2959" t="s">
        <v>3125</v>
      </c>
      <c r="C33" s="2959" t="s">
        <v>3126</v>
      </c>
      <c r="D33" s="2959" t="s">
        <v>3127</v>
      </c>
      <c r="E33" s="2959" t="s">
        <v>3128</v>
      </c>
      <c r="F33" s="2959">
        <v>111686.7</v>
      </c>
      <c r="G33" s="2959">
        <v>223373.3</v>
      </c>
      <c r="H33" s="2959">
        <v>2</v>
      </c>
      <c r="I33" s="2959" t="s">
        <v>3226</v>
      </c>
      <c r="J33" s="2959" t="s">
        <v>3227</v>
      </c>
      <c r="K33" s="2959" t="s">
        <v>3193</v>
      </c>
      <c r="L33" s="2959" t="s">
        <v>3222</v>
      </c>
      <c r="M33" s="2959" t="s">
        <v>3228</v>
      </c>
      <c r="N33" s="2959" t="s">
        <v>3134</v>
      </c>
      <c r="O33" s="2959" t="s">
        <v>3229</v>
      </c>
      <c r="P33" s="2959">
        <v>11067</v>
      </c>
      <c r="Q33" s="2959">
        <v>66.06</v>
      </c>
      <c r="R33" s="2959">
        <v>495.44</v>
      </c>
      <c r="S33" s="2959">
        <v>0.09</v>
      </c>
      <c r="T33" s="2959" t="s">
        <v>3135</v>
      </c>
      <c r="U33" s="2959" t="s">
        <v>3136</v>
      </c>
    </row>
    <row r="34" spans="1:21">
      <c r="A34" s="2959" t="s">
        <v>3230</v>
      </c>
      <c r="B34" s="2959" t="s">
        <v>3125</v>
      </c>
      <c r="C34" s="2959" t="s">
        <v>3126</v>
      </c>
      <c r="D34" s="2959" t="s">
        <v>3127</v>
      </c>
      <c r="E34" s="2959" t="s">
        <v>3128</v>
      </c>
      <c r="F34" s="2959">
        <v>6666.67</v>
      </c>
      <c r="G34" s="2959">
        <v>16666.68</v>
      </c>
      <c r="H34" s="2959">
        <v>2.5</v>
      </c>
      <c r="I34" s="2959" t="s">
        <v>3231</v>
      </c>
      <c r="J34" s="2959" t="s">
        <v>3227</v>
      </c>
      <c r="K34" s="2959" t="s">
        <v>3193</v>
      </c>
      <c r="L34" s="2959" t="s">
        <v>3222</v>
      </c>
      <c r="M34" s="2959" t="s">
        <v>3232</v>
      </c>
      <c r="N34" s="2959" t="s">
        <v>3134</v>
      </c>
      <c r="O34" s="2959" t="s">
        <v>3233</v>
      </c>
      <c r="P34" s="2959">
        <v>670</v>
      </c>
      <c r="Q34" s="2959">
        <v>67</v>
      </c>
      <c r="R34" s="2959">
        <v>402</v>
      </c>
      <c r="S34" s="2959">
        <v>1.52</v>
      </c>
      <c r="T34" s="2959" t="s">
        <v>3135</v>
      </c>
      <c r="U34" s="2959" t="s">
        <v>3136</v>
      </c>
    </row>
    <row r="35" spans="1:21">
      <c r="A35" s="2959" t="s">
        <v>3234</v>
      </c>
      <c r="B35" s="2959" t="s">
        <v>3125</v>
      </c>
      <c r="C35" s="2959" t="s">
        <v>3126</v>
      </c>
      <c r="D35" s="2959" t="s">
        <v>3127</v>
      </c>
      <c r="E35" s="2959" t="s">
        <v>3128</v>
      </c>
      <c r="F35" s="2959">
        <v>46666.67</v>
      </c>
      <c r="G35" s="2959">
        <v>116666.7</v>
      </c>
      <c r="H35" s="2959">
        <v>2.5</v>
      </c>
      <c r="I35" s="2959" t="s">
        <v>3235</v>
      </c>
      <c r="J35" s="2959" t="s">
        <v>3227</v>
      </c>
      <c r="K35" s="2959" t="s">
        <v>3193</v>
      </c>
      <c r="L35" s="2959" t="s">
        <v>3222</v>
      </c>
      <c r="M35" s="2959" t="s">
        <v>3236</v>
      </c>
      <c r="N35" s="2959" t="s">
        <v>3134</v>
      </c>
      <c r="O35" s="2959" t="s">
        <v>3237</v>
      </c>
      <c r="P35" s="2959">
        <v>7360</v>
      </c>
      <c r="Q35" s="2959">
        <v>105.14</v>
      </c>
      <c r="R35" s="2959">
        <v>630.86</v>
      </c>
      <c r="S35" s="2959">
        <v>0.14000000000000001</v>
      </c>
      <c r="T35" s="2959" t="s">
        <v>3135</v>
      </c>
      <c r="U35" s="2959" t="s">
        <v>3136</v>
      </c>
    </row>
    <row r="36" spans="1:21">
      <c r="A36" s="2959" t="s">
        <v>3238</v>
      </c>
      <c r="B36" s="2959" t="s">
        <v>3125</v>
      </c>
      <c r="C36" s="2959" t="s">
        <v>3126</v>
      </c>
      <c r="D36" s="2959" t="s">
        <v>3127</v>
      </c>
      <c r="E36" s="2959" t="s">
        <v>3128</v>
      </c>
      <c r="F36" s="2959">
        <v>20000</v>
      </c>
      <c r="G36" s="2959">
        <v>50000</v>
      </c>
      <c r="H36" s="2959">
        <v>2.5</v>
      </c>
      <c r="I36" s="2959" t="s">
        <v>3239</v>
      </c>
      <c r="J36" s="2959" t="s">
        <v>3227</v>
      </c>
      <c r="K36" s="2959" t="s">
        <v>3193</v>
      </c>
      <c r="L36" s="2959" t="s">
        <v>3222</v>
      </c>
      <c r="M36" s="2959" t="s">
        <v>3240</v>
      </c>
      <c r="N36" s="2959" t="s">
        <v>3134</v>
      </c>
      <c r="O36" s="2959" t="s">
        <v>3241</v>
      </c>
      <c r="P36" s="2959">
        <v>3340</v>
      </c>
      <c r="Q36" s="2959">
        <v>111.33</v>
      </c>
      <c r="R36" s="2959">
        <v>668</v>
      </c>
      <c r="S36" s="2959">
        <v>0.3</v>
      </c>
      <c r="T36" s="2959" t="s">
        <v>3135</v>
      </c>
      <c r="U36" s="2959" t="s">
        <v>3136</v>
      </c>
    </row>
    <row r="37" spans="1:21">
      <c r="A37" s="2959" t="s">
        <v>3242</v>
      </c>
      <c r="B37" s="2959" t="s">
        <v>3125</v>
      </c>
      <c r="C37" s="2959" t="s">
        <v>3126</v>
      </c>
      <c r="D37" s="2959" t="s">
        <v>3127</v>
      </c>
      <c r="E37" s="2959" t="s">
        <v>3128</v>
      </c>
      <c r="F37" s="2959">
        <v>19413.330000000002</v>
      </c>
      <c r="G37" s="2959">
        <v>38826.660000000003</v>
      </c>
      <c r="H37" s="2959">
        <v>2</v>
      </c>
      <c r="I37" s="2959" t="s">
        <v>3226</v>
      </c>
      <c r="J37" s="2959" t="s">
        <v>3227</v>
      </c>
      <c r="K37" s="2959" t="s">
        <v>3193</v>
      </c>
      <c r="L37" s="2959" t="s">
        <v>3222</v>
      </c>
      <c r="M37" s="2959" t="s">
        <v>3243</v>
      </c>
      <c r="N37" s="2959" t="s">
        <v>3134</v>
      </c>
      <c r="O37" s="2959" t="s">
        <v>3244</v>
      </c>
      <c r="P37" s="2959">
        <v>1932</v>
      </c>
      <c r="Q37" s="2959">
        <v>66.349999999999994</v>
      </c>
      <c r="R37" s="2959">
        <v>497.6</v>
      </c>
      <c r="S37" s="2959">
        <v>0.52</v>
      </c>
      <c r="T37" s="2959" t="s">
        <v>3135</v>
      </c>
      <c r="U37" s="2959" t="s">
        <v>3136</v>
      </c>
    </row>
    <row r="38" spans="1:21">
      <c r="A38" s="2959" t="s">
        <v>3245</v>
      </c>
      <c r="B38" s="2959" t="s">
        <v>3125</v>
      </c>
      <c r="C38" s="2959" t="s">
        <v>3126</v>
      </c>
      <c r="D38" s="2959" t="s">
        <v>3127</v>
      </c>
      <c r="E38" s="2959" t="s">
        <v>3128</v>
      </c>
      <c r="F38" s="2959">
        <v>14235.03</v>
      </c>
      <c r="G38" s="2959">
        <v>35587.58</v>
      </c>
      <c r="H38" s="2959">
        <v>2.5</v>
      </c>
      <c r="I38" s="2959" t="s">
        <v>3226</v>
      </c>
      <c r="J38" s="2959" t="s">
        <v>3187</v>
      </c>
      <c r="K38" s="2959" t="s">
        <v>3193</v>
      </c>
      <c r="L38" s="2959" t="s">
        <v>3222</v>
      </c>
      <c r="M38" s="2959" t="s">
        <v>3246</v>
      </c>
      <c r="N38" s="2959" t="s">
        <v>3134</v>
      </c>
      <c r="O38" s="2959" t="s">
        <v>3211</v>
      </c>
      <c r="P38" s="2959">
        <v>2572</v>
      </c>
      <c r="Q38" s="2959">
        <v>120.45</v>
      </c>
      <c r="R38" s="2959">
        <v>722.72</v>
      </c>
      <c r="S38" s="2959">
        <v>0.39</v>
      </c>
      <c r="T38" s="2959" t="s">
        <v>3135</v>
      </c>
      <c r="U38" s="2959" t="s">
        <v>3136</v>
      </c>
    </row>
    <row r="39" spans="1:21">
      <c r="A39" s="2959" t="s">
        <v>3247</v>
      </c>
      <c r="B39" s="2959" t="s">
        <v>3125</v>
      </c>
      <c r="C39" s="2959" t="s">
        <v>3126</v>
      </c>
      <c r="D39" s="2959" t="s">
        <v>3127</v>
      </c>
      <c r="E39" s="2959" t="s">
        <v>3128</v>
      </c>
      <c r="F39" s="2959">
        <v>44521.54</v>
      </c>
      <c r="G39" s="2959">
        <v>89043.08</v>
      </c>
      <c r="H39" s="2959">
        <v>2</v>
      </c>
      <c r="I39" s="2959" t="s">
        <v>3235</v>
      </c>
      <c r="J39" s="2959" t="s">
        <v>3187</v>
      </c>
      <c r="K39" s="2959" t="s">
        <v>3193</v>
      </c>
      <c r="L39" s="2959" t="s">
        <v>3248</v>
      </c>
      <c r="M39" s="2959" t="s">
        <v>3249</v>
      </c>
      <c r="N39" s="2959" t="s">
        <v>3134</v>
      </c>
      <c r="O39" s="2959" t="s">
        <v>3250</v>
      </c>
      <c r="P39" s="2959">
        <v>6789</v>
      </c>
      <c r="Q39" s="2959">
        <v>101.66</v>
      </c>
      <c r="R39" s="2959">
        <v>762.44</v>
      </c>
      <c r="S39" s="2959">
        <v>0.15</v>
      </c>
      <c r="T39" s="2959" t="s">
        <v>3135</v>
      </c>
      <c r="U39" s="2959" t="s">
        <v>3136</v>
      </c>
    </row>
    <row r="40" spans="1:21">
      <c r="A40" s="2959" t="s">
        <v>3251</v>
      </c>
      <c r="B40" s="2959" t="s">
        <v>3125</v>
      </c>
      <c r="C40" s="2959" t="s">
        <v>3126</v>
      </c>
      <c r="D40" s="2959" t="s">
        <v>3127</v>
      </c>
      <c r="E40" s="2959" t="s">
        <v>3190</v>
      </c>
      <c r="F40" s="2959">
        <v>4000</v>
      </c>
      <c r="G40" s="2959">
        <v>12000</v>
      </c>
      <c r="H40" s="2959">
        <v>3</v>
      </c>
      <c r="I40" s="2959" t="s">
        <v>3226</v>
      </c>
      <c r="J40" s="2959" t="s">
        <v>3177</v>
      </c>
      <c r="K40" s="2959" t="s">
        <v>3193</v>
      </c>
      <c r="L40" s="2959" t="s">
        <v>3248</v>
      </c>
      <c r="M40" s="2959" t="s">
        <v>3252</v>
      </c>
      <c r="N40" s="2959" t="s">
        <v>3134</v>
      </c>
      <c r="O40" s="2959" t="s">
        <v>3253</v>
      </c>
      <c r="P40" s="2959">
        <v>599</v>
      </c>
      <c r="Q40" s="2959">
        <v>99.83</v>
      </c>
      <c r="R40" s="2959">
        <v>499.17</v>
      </c>
      <c r="S40" s="2959">
        <v>1.7</v>
      </c>
      <c r="T40" s="2959" t="s">
        <v>3135</v>
      </c>
      <c r="U40" s="2959" t="s">
        <v>3136</v>
      </c>
    </row>
    <row r="41" spans="1:21">
      <c r="A41" s="2959" t="s">
        <v>3254</v>
      </c>
      <c r="B41" s="2959" t="s">
        <v>3125</v>
      </c>
      <c r="C41" s="2959" t="s">
        <v>3126</v>
      </c>
      <c r="D41" s="2959" t="s">
        <v>3127</v>
      </c>
      <c r="E41" s="2959" t="s">
        <v>3138</v>
      </c>
      <c r="F41" s="2959">
        <v>85873.33</v>
      </c>
      <c r="G41" s="2959">
        <v>171746.7</v>
      </c>
      <c r="H41" s="2959">
        <v>2</v>
      </c>
      <c r="I41" s="2959" t="s">
        <v>3226</v>
      </c>
      <c r="J41" s="2959" t="s">
        <v>3227</v>
      </c>
      <c r="K41" s="2959" t="s">
        <v>3193</v>
      </c>
      <c r="L41" s="2959" t="s">
        <v>3248</v>
      </c>
      <c r="M41" s="2959" t="s">
        <v>3255</v>
      </c>
      <c r="N41" s="2959" t="s">
        <v>3134</v>
      </c>
      <c r="O41" s="2959" t="s">
        <v>3229</v>
      </c>
      <c r="P41" s="2959">
        <v>8576</v>
      </c>
      <c r="Q41" s="2959">
        <v>66.58</v>
      </c>
      <c r="R41" s="2959">
        <v>499.33</v>
      </c>
      <c r="S41" s="2959">
        <v>0.12</v>
      </c>
      <c r="T41" s="2959" t="s">
        <v>3135</v>
      </c>
      <c r="U41" s="2959" t="s">
        <v>3136</v>
      </c>
    </row>
    <row r="42" spans="1:21">
      <c r="A42" s="2959" t="s">
        <v>3256</v>
      </c>
      <c r="B42" s="2959" t="s">
        <v>3125</v>
      </c>
      <c r="C42" s="2959" t="s">
        <v>3126</v>
      </c>
      <c r="D42" s="2959" t="s">
        <v>3127</v>
      </c>
      <c r="E42" s="2959" t="s">
        <v>3138</v>
      </c>
      <c r="F42" s="2959">
        <v>16940</v>
      </c>
      <c r="G42" s="2959">
        <v>33880</v>
      </c>
      <c r="H42" s="2959">
        <v>2</v>
      </c>
      <c r="I42" s="2959" t="s">
        <v>3257</v>
      </c>
      <c r="J42" s="2959" t="s">
        <v>3227</v>
      </c>
      <c r="K42" s="2959" t="s">
        <v>3193</v>
      </c>
      <c r="L42" s="2959" t="s">
        <v>3248</v>
      </c>
      <c r="M42" s="2959" t="s">
        <v>3258</v>
      </c>
      <c r="N42" s="2959" t="s">
        <v>3134</v>
      </c>
      <c r="O42" s="2959" t="s">
        <v>3229</v>
      </c>
      <c r="P42" s="2959">
        <v>1688</v>
      </c>
      <c r="Q42" s="2959">
        <v>66.430000000000007</v>
      </c>
      <c r="R42" s="2959">
        <v>498.23</v>
      </c>
      <c r="S42" s="2959">
        <v>0.6</v>
      </c>
      <c r="T42" s="2959" t="s">
        <v>3135</v>
      </c>
      <c r="U42" s="2959" t="s">
        <v>3136</v>
      </c>
    </row>
    <row r="43" spans="1:21">
      <c r="A43" s="2959" t="s">
        <v>3259</v>
      </c>
      <c r="B43" s="2959" t="s">
        <v>3125</v>
      </c>
      <c r="C43" s="2959" t="s">
        <v>3126</v>
      </c>
      <c r="D43" s="2959" t="s">
        <v>3127</v>
      </c>
      <c r="E43" s="2959" t="s">
        <v>3128</v>
      </c>
      <c r="F43" s="2959">
        <v>13333.33</v>
      </c>
      <c r="G43" s="2959">
        <v>33333.33</v>
      </c>
      <c r="H43" s="2959">
        <v>2.5</v>
      </c>
      <c r="I43" s="2959" t="s">
        <v>3226</v>
      </c>
      <c r="J43" s="2959" t="s">
        <v>3227</v>
      </c>
      <c r="K43" s="2959" t="s">
        <v>3193</v>
      </c>
      <c r="L43" s="2959" t="s">
        <v>3260</v>
      </c>
      <c r="M43" s="2959" t="s">
        <v>3261</v>
      </c>
      <c r="N43" s="2959" t="s">
        <v>3134</v>
      </c>
      <c r="O43" s="2959" t="s">
        <v>3050</v>
      </c>
      <c r="P43" s="2959">
        <v>3740</v>
      </c>
      <c r="Q43" s="2959">
        <v>187</v>
      </c>
      <c r="R43" s="2959">
        <v>1122</v>
      </c>
      <c r="S43" s="2959">
        <v>3.89</v>
      </c>
      <c r="T43" s="2959" t="s">
        <v>3135</v>
      </c>
      <c r="U43" s="2959" t="s">
        <v>3136</v>
      </c>
    </row>
    <row r="44" spans="1:21">
      <c r="A44" s="2959" t="s">
        <v>3262</v>
      </c>
      <c r="B44" s="2959" t="s">
        <v>3125</v>
      </c>
      <c r="C44" s="2959" t="s">
        <v>3126</v>
      </c>
      <c r="D44" s="2959" t="s">
        <v>3127</v>
      </c>
      <c r="E44" s="2959" t="s">
        <v>3128</v>
      </c>
      <c r="F44" s="2959">
        <v>35126.519999999997</v>
      </c>
      <c r="G44" s="2959">
        <v>105379.6</v>
      </c>
      <c r="H44" s="2959">
        <v>3</v>
      </c>
      <c r="I44" s="2959" t="s">
        <v>3226</v>
      </c>
      <c r="J44" s="2959" t="s">
        <v>3227</v>
      </c>
      <c r="K44" s="2959" t="s">
        <v>3193</v>
      </c>
      <c r="L44" s="2959" t="s">
        <v>3260</v>
      </c>
      <c r="M44" s="2959" t="s">
        <v>3263</v>
      </c>
      <c r="N44" s="2959" t="s">
        <v>3134</v>
      </c>
      <c r="O44" s="2959" t="s">
        <v>3050</v>
      </c>
      <c r="P44" s="2959">
        <v>8968</v>
      </c>
      <c r="Q44" s="2959">
        <v>170.2</v>
      </c>
      <c r="R44" s="2959">
        <v>851.01</v>
      </c>
      <c r="S44" s="2959">
        <v>0.11</v>
      </c>
      <c r="T44" s="2959" t="s">
        <v>3135</v>
      </c>
      <c r="U44" s="2959" t="s">
        <v>3264</v>
      </c>
    </row>
    <row r="45" spans="1:21">
      <c r="A45" s="2959" t="s">
        <v>3265</v>
      </c>
      <c r="B45" s="2959" t="s">
        <v>3125</v>
      </c>
      <c r="C45" s="2959" t="s">
        <v>3126</v>
      </c>
      <c r="D45" s="2959" t="s">
        <v>3127</v>
      </c>
      <c r="E45" s="2959" t="s">
        <v>3138</v>
      </c>
      <c r="F45" s="2959">
        <v>22190.720000000001</v>
      </c>
      <c r="G45" s="2959">
        <v>55476.800000000003</v>
      </c>
      <c r="H45" s="2959">
        <v>2.5</v>
      </c>
      <c r="I45" s="2959" t="s">
        <v>3167</v>
      </c>
      <c r="J45" s="2959" t="s">
        <v>3227</v>
      </c>
      <c r="K45" s="2959" t="s">
        <v>3193</v>
      </c>
      <c r="L45" s="2959" t="s">
        <v>3266</v>
      </c>
      <c r="M45" s="2959" t="s">
        <v>3267</v>
      </c>
      <c r="N45" s="2959" t="s">
        <v>3134</v>
      </c>
      <c r="O45" s="2959" t="s">
        <v>3268</v>
      </c>
      <c r="P45" s="2959">
        <v>1710</v>
      </c>
      <c r="Q45" s="2959">
        <v>51.37</v>
      </c>
      <c r="R45" s="2959">
        <v>308.24</v>
      </c>
      <c r="S45" s="2959">
        <v>0.59</v>
      </c>
      <c r="T45" s="2959" t="s">
        <v>3135</v>
      </c>
      <c r="U45" s="2959" t="s">
        <v>3136</v>
      </c>
    </row>
    <row r="46" spans="1:21">
      <c r="A46" s="2959" t="s">
        <v>3269</v>
      </c>
      <c r="B46" s="2959" t="s">
        <v>3125</v>
      </c>
      <c r="C46" s="2959" t="s">
        <v>3126</v>
      </c>
      <c r="D46" s="2959" t="s">
        <v>3127</v>
      </c>
      <c r="E46" s="2959" t="s">
        <v>3138</v>
      </c>
      <c r="F46" s="2959">
        <v>17333</v>
      </c>
      <c r="G46" s="2959">
        <v>43332.5</v>
      </c>
      <c r="H46" s="2959">
        <v>2.5</v>
      </c>
      <c r="I46" s="2959" t="s">
        <v>3148</v>
      </c>
      <c r="J46" s="2959" t="s">
        <v>3227</v>
      </c>
      <c r="K46" s="2959" t="s">
        <v>3193</v>
      </c>
      <c r="L46" s="2959" t="s">
        <v>3266</v>
      </c>
      <c r="M46" s="2959" t="s">
        <v>3270</v>
      </c>
      <c r="N46" s="2959" t="s">
        <v>3134</v>
      </c>
      <c r="O46" s="2959" t="s">
        <v>3271</v>
      </c>
      <c r="P46" s="2959">
        <v>1350</v>
      </c>
      <c r="Q46" s="2959">
        <v>51.92</v>
      </c>
      <c r="R46" s="2959">
        <v>311.54000000000002</v>
      </c>
      <c r="S46" s="2959">
        <v>0.75</v>
      </c>
      <c r="T46" s="2959" t="s">
        <v>3135</v>
      </c>
      <c r="U46" s="2959" t="s">
        <v>3136</v>
      </c>
    </row>
    <row r="47" spans="1:21">
      <c r="A47" s="2959" t="s">
        <v>3272</v>
      </c>
      <c r="B47" s="2959" t="s">
        <v>3125</v>
      </c>
      <c r="C47" s="2959" t="s">
        <v>3126</v>
      </c>
      <c r="D47" s="2959" t="s">
        <v>3127</v>
      </c>
      <c r="E47" s="2959" t="s">
        <v>3190</v>
      </c>
      <c r="F47" s="2959">
        <v>4453.8</v>
      </c>
      <c r="G47" s="2959">
        <v>2226.9</v>
      </c>
      <c r="H47" s="2959">
        <v>0.5</v>
      </c>
      <c r="I47" s="2959" t="s">
        <v>3273</v>
      </c>
      <c r="J47" s="2959" t="s">
        <v>3274</v>
      </c>
      <c r="K47" s="2959" t="s">
        <v>3193</v>
      </c>
      <c r="L47" s="2959" t="s">
        <v>3266</v>
      </c>
      <c r="M47" s="2959" t="s">
        <v>3275</v>
      </c>
      <c r="N47" s="2959" t="s">
        <v>3134</v>
      </c>
      <c r="O47" s="2959" t="s">
        <v>3276</v>
      </c>
      <c r="P47" s="2959">
        <v>451</v>
      </c>
      <c r="Q47" s="2959">
        <v>67.510000000000005</v>
      </c>
      <c r="R47" s="2959">
        <v>2025.24</v>
      </c>
      <c r="S47" s="2959">
        <v>2.27</v>
      </c>
      <c r="T47" s="2959" t="s">
        <v>3135</v>
      </c>
      <c r="U47" s="2959" t="s">
        <v>3136</v>
      </c>
    </row>
    <row r="48" spans="1:21">
      <c r="A48" s="2959" t="s">
        <v>3277</v>
      </c>
      <c r="B48" s="2959" t="s">
        <v>3125</v>
      </c>
      <c r="C48" s="2959" t="s">
        <v>3126</v>
      </c>
      <c r="D48" s="2959" t="s">
        <v>3127</v>
      </c>
      <c r="E48" s="2959" t="s">
        <v>3128</v>
      </c>
      <c r="F48" s="2959">
        <v>19693.78</v>
      </c>
      <c r="G48" s="2959">
        <v>59081.34</v>
      </c>
      <c r="H48" s="2959">
        <v>3</v>
      </c>
      <c r="I48" s="2959" t="s">
        <v>3208</v>
      </c>
      <c r="J48" s="2959" t="s">
        <v>3227</v>
      </c>
      <c r="K48" s="2959" t="s">
        <v>3193</v>
      </c>
      <c r="L48" s="2959" t="s">
        <v>3266</v>
      </c>
      <c r="M48" s="2959" t="s">
        <v>3278</v>
      </c>
      <c r="N48" s="2959" t="s">
        <v>3134</v>
      </c>
      <c r="O48" s="2959" t="s">
        <v>3279</v>
      </c>
      <c r="P48" s="2959">
        <v>2137</v>
      </c>
      <c r="Q48" s="2959">
        <v>72.34</v>
      </c>
      <c r="R48" s="2959">
        <v>361.69</v>
      </c>
      <c r="S48" s="2959">
        <v>0.47</v>
      </c>
      <c r="T48" s="2959" t="s">
        <v>3135</v>
      </c>
      <c r="U48" s="2959" t="s">
        <v>3136</v>
      </c>
    </row>
    <row r="49" spans="1:21">
      <c r="A49" s="2959" t="s">
        <v>3280</v>
      </c>
      <c r="B49" s="2959" t="s">
        <v>3125</v>
      </c>
      <c r="C49" s="2959" t="s">
        <v>3126</v>
      </c>
      <c r="D49" s="2959" t="s">
        <v>3127</v>
      </c>
      <c r="E49" s="2959" t="s">
        <v>3128</v>
      </c>
      <c r="F49" s="2959">
        <v>20086</v>
      </c>
      <c r="G49" s="2959">
        <v>50215</v>
      </c>
      <c r="H49" s="2959">
        <v>2.5</v>
      </c>
      <c r="I49" s="2959" t="s">
        <v>3208</v>
      </c>
      <c r="J49" s="2959" t="s">
        <v>3187</v>
      </c>
      <c r="K49" s="2959" t="s">
        <v>3193</v>
      </c>
      <c r="L49" s="2959" t="s">
        <v>3266</v>
      </c>
      <c r="M49" s="2959" t="s">
        <v>3281</v>
      </c>
      <c r="N49" s="2959" t="s">
        <v>3134</v>
      </c>
      <c r="O49" s="2959" t="s">
        <v>3279</v>
      </c>
      <c r="P49" s="2959">
        <v>2180</v>
      </c>
      <c r="Q49" s="2959">
        <v>72.36</v>
      </c>
      <c r="R49" s="2959">
        <v>434.12</v>
      </c>
      <c r="S49" s="2959">
        <v>0.46</v>
      </c>
      <c r="T49" s="2959" t="s">
        <v>3135</v>
      </c>
      <c r="U49" s="2959" t="s">
        <v>3264</v>
      </c>
    </row>
    <row r="50" spans="1:21">
      <c r="A50" s="2959" t="s">
        <v>3282</v>
      </c>
      <c r="B50" s="2959" t="s">
        <v>3125</v>
      </c>
      <c r="C50" s="2959" t="s">
        <v>3126</v>
      </c>
      <c r="D50" s="2959" t="s">
        <v>3127</v>
      </c>
      <c r="E50" s="2959" t="s">
        <v>3128</v>
      </c>
      <c r="F50" s="2959">
        <v>3335.93</v>
      </c>
      <c r="G50" s="2959">
        <v>6671.86</v>
      </c>
      <c r="H50" s="2959">
        <v>2</v>
      </c>
      <c r="I50" s="2959" t="s">
        <v>3208</v>
      </c>
      <c r="J50" s="2959" t="s">
        <v>3227</v>
      </c>
      <c r="K50" s="2959" t="s">
        <v>3193</v>
      </c>
      <c r="L50" s="2959" t="s">
        <v>3266</v>
      </c>
      <c r="M50" s="2959" t="s">
        <v>3283</v>
      </c>
      <c r="N50" s="2959" t="s">
        <v>3134</v>
      </c>
      <c r="O50" s="2959" t="s">
        <v>3284</v>
      </c>
      <c r="P50" s="2959">
        <v>329</v>
      </c>
      <c r="Q50" s="2959">
        <v>65.75</v>
      </c>
      <c r="R50" s="2959">
        <v>493.12</v>
      </c>
      <c r="S50" s="2959">
        <v>3.13</v>
      </c>
      <c r="T50" s="2959" t="s">
        <v>3135</v>
      </c>
      <c r="U50" s="2959" t="s">
        <v>3136</v>
      </c>
    </row>
    <row r="51" spans="1:21">
      <c r="A51" s="2959" t="s">
        <v>3285</v>
      </c>
      <c r="B51" s="2959" t="s">
        <v>3125</v>
      </c>
      <c r="C51" s="2959" t="s">
        <v>3126</v>
      </c>
      <c r="D51" s="2959" t="s">
        <v>3127</v>
      </c>
      <c r="E51" s="2959" t="s">
        <v>3128</v>
      </c>
      <c r="F51" s="2959">
        <v>9408</v>
      </c>
      <c r="G51" s="2959">
        <v>14112</v>
      </c>
      <c r="H51" s="2959">
        <v>1.5</v>
      </c>
      <c r="I51" s="2959" t="s">
        <v>3148</v>
      </c>
      <c r="J51" s="2959" t="s">
        <v>3227</v>
      </c>
      <c r="K51" s="2959" t="s">
        <v>3193</v>
      </c>
      <c r="L51" s="2959" t="s">
        <v>3266</v>
      </c>
      <c r="M51" s="2959" t="s">
        <v>3286</v>
      </c>
      <c r="N51" s="2959" t="s">
        <v>3134</v>
      </c>
      <c r="O51" s="2959" t="s">
        <v>3287</v>
      </c>
      <c r="P51" s="2959">
        <v>5700</v>
      </c>
      <c r="Q51" s="2959">
        <v>403.91</v>
      </c>
      <c r="R51" s="2959">
        <v>4039.11</v>
      </c>
      <c r="S51" s="2959">
        <v>0.18</v>
      </c>
      <c r="T51" s="2959" t="s">
        <v>3135</v>
      </c>
      <c r="U51" s="2959" t="s">
        <v>3136</v>
      </c>
    </row>
    <row r="52" spans="1:21">
      <c r="A52" s="2959" t="s">
        <v>3288</v>
      </c>
      <c r="B52" s="2959" t="s">
        <v>3125</v>
      </c>
      <c r="C52" s="2959" t="s">
        <v>3126</v>
      </c>
      <c r="D52" s="2959" t="s">
        <v>3127</v>
      </c>
      <c r="E52" s="2959" t="s">
        <v>3289</v>
      </c>
      <c r="F52" s="2959">
        <v>15621.84</v>
      </c>
      <c r="G52" s="2959">
        <v>23432.76</v>
      </c>
      <c r="H52" s="2959">
        <v>1.5</v>
      </c>
      <c r="I52" s="2959" t="s">
        <v>3290</v>
      </c>
      <c r="J52" s="2959" t="s">
        <v>3291</v>
      </c>
      <c r="K52" s="2959" t="s">
        <v>3193</v>
      </c>
      <c r="L52" s="2959" t="s">
        <v>3292</v>
      </c>
      <c r="M52" s="2959" t="s">
        <v>3293</v>
      </c>
      <c r="N52" s="2959" t="s">
        <v>3134</v>
      </c>
      <c r="O52" s="2959" t="s">
        <v>3294</v>
      </c>
      <c r="P52" s="2959">
        <v>3540</v>
      </c>
      <c r="Q52" s="2959">
        <v>151.07</v>
      </c>
      <c r="R52" s="2959">
        <v>1510.71</v>
      </c>
      <c r="S52" s="2959">
        <v>0.56999999999999995</v>
      </c>
      <c r="T52" s="2959" t="s">
        <v>3135</v>
      </c>
      <c r="U52" s="2959" t="s">
        <v>3136</v>
      </c>
    </row>
    <row r="53" spans="1:21">
      <c r="A53" s="2959" t="s">
        <v>3295</v>
      </c>
      <c r="B53" s="2959" t="s">
        <v>3125</v>
      </c>
      <c r="C53" s="2959" t="s">
        <v>3126</v>
      </c>
      <c r="D53" s="2959" t="s">
        <v>3127</v>
      </c>
      <c r="E53" s="2959" t="s">
        <v>3128</v>
      </c>
      <c r="F53" s="2959">
        <v>40121</v>
      </c>
      <c r="G53" s="2959">
        <v>80242</v>
      </c>
      <c r="H53" s="2959">
        <v>2</v>
      </c>
      <c r="I53" s="2959" t="s">
        <v>3296</v>
      </c>
      <c r="J53" s="2959" t="s">
        <v>3297</v>
      </c>
      <c r="K53" s="2959" t="s">
        <v>3193</v>
      </c>
      <c r="L53" s="2959" t="s">
        <v>3298</v>
      </c>
      <c r="M53" s="2959" t="s">
        <v>1327</v>
      </c>
      <c r="N53" s="2959" t="s">
        <v>3134</v>
      </c>
      <c r="O53" s="2959" t="s">
        <v>3299</v>
      </c>
      <c r="P53" s="2959">
        <v>1880</v>
      </c>
      <c r="Q53" s="2959">
        <v>31.24</v>
      </c>
      <c r="R53" s="2959">
        <v>234.28</v>
      </c>
      <c r="S53" s="2959">
        <v>0.53</v>
      </c>
      <c r="T53" s="2959" t="s">
        <v>3135</v>
      </c>
      <c r="U53" s="2959" t="s">
        <v>3136</v>
      </c>
    </row>
    <row r="54" spans="1:21">
      <c r="A54" s="2959" t="s">
        <v>3300</v>
      </c>
      <c r="B54" s="2959" t="s">
        <v>3125</v>
      </c>
      <c r="C54" s="2959" t="s">
        <v>3126</v>
      </c>
      <c r="D54" s="2959" t="s">
        <v>3127</v>
      </c>
      <c r="E54" s="2959" t="s">
        <v>3128</v>
      </c>
      <c r="F54" s="2959">
        <v>15110.81</v>
      </c>
      <c r="G54" s="2959">
        <v>52887.839999999997</v>
      </c>
      <c r="H54" s="2959">
        <v>3.5</v>
      </c>
      <c r="I54" s="2959" t="s">
        <v>3296</v>
      </c>
      <c r="J54" s="2959" t="s">
        <v>3301</v>
      </c>
      <c r="K54" s="2959" t="s">
        <v>3193</v>
      </c>
      <c r="L54" s="2959" t="s">
        <v>3298</v>
      </c>
      <c r="M54" s="2959" t="s">
        <v>1327</v>
      </c>
      <c r="N54" s="2959" t="s">
        <v>3134</v>
      </c>
      <c r="O54" s="2959" t="s">
        <v>3302</v>
      </c>
      <c r="P54" s="2959">
        <v>1214</v>
      </c>
      <c r="Q54" s="2959">
        <v>53.56</v>
      </c>
      <c r="R54" s="2959">
        <v>229.53</v>
      </c>
      <c r="S54" s="2959">
        <v>0.83</v>
      </c>
      <c r="T54" s="2959" t="s">
        <v>3135</v>
      </c>
      <c r="U54" s="2959" t="s">
        <v>3136</v>
      </c>
    </row>
    <row r="55" spans="1:21">
      <c r="A55" s="2959" t="s">
        <v>3303</v>
      </c>
      <c r="B55" s="2959" t="s">
        <v>3125</v>
      </c>
      <c r="C55" s="2959" t="s">
        <v>3126</v>
      </c>
      <c r="D55" s="2959" t="s">
        <v>3127</v>
      </c>
      <c r="E55" s="2959" t="s">
        <v>3128</v>
      </c>
      <c r="F55" s="2959">
        <v>14651.42</v>
      </c>
      <c r="G55" s="2959">
        <v>51279.97</v>
      </c>
      <c r="H55" s="2959">
        <v>3.5</v>
      </c>
      <c r="I55" s="2959" t="s">
        <v>3296</v>
      </c>
      <c r="J55" s="2959" t="s">
        <v>3301</v>
      </c>
      <c r="K55" s="2959" t="s">
        <v>3193</v>
      </c>
      <c r="L55" s="2959" t="s">
        <v>3298</v>
      </c>
      <c r="M55" s="2959" t="s">
        <v>1327</v>
      </c>
      <c r="N55" s="2959" t="s">
        <v>3134</v>
      </c>
      <c r="O55" s="2959" t="s">
        <v>3304</v>
      </c>
      <c r="P55" s="2959">
        <v>973</v>
      </c>
      <c r="Q55" s="2959">
        <v>44.27</v>
      </c>
      <c r="R55" s="2959">
        <v>189.74</v>
      </c>
      <c r="S55" s="2959">
        <v>1.04</v>
      </c>
      <c r="T55" s="2959" t="s">
        <v>3135</v>
      </c>
      <c r="U55" s="2959" t="s">
        <v>3136</v>
      </c>
    </row>
    <row r="56" spans="1:21">
      <c r="A56" s="2959" t="s">
        <v>3305</v>
      </c>
      <c r="B56" s="2959" t="s">
        <v>3125</v>
      </c>
      <c r="C56" s="2959" t="s">
        <v>3126</v>
      </c>
      <c r="D56" s="2959" t="s">
        <v>3127</v>
      </c>
      <c r="E56" s="2959" t="s">
        <v>3128</v>
      </c>
      <c r="F56" s="2959">
        <v>5780.35</v>
      </c>
      <c r="G56" s="2959">
        <v>14450.88</v>
      </c>
      <c r="H56" s="2959">
        <v>2.5</v>
      </c>
      <c r="I56" s="2959" t="s">
        <v>3306</v>
      </c>
      <c r="J56" s="2959" t="s">
        <v>3307</v>
      </c>
      <c r="K56" s="2959" t="s">
        <v>3193</v>
      </c>
      <c r="L56" s="2959" t="s">
        <v>3298</v>
      </c>
      <c r="M56" s="2959" t="s">
        <v>1327</v>
      </c>
      <c r="N56" s="2959" t="s">
        <v>3134</v>
      </c>
      <c r="O56" s="2959" t="s">
        <v>3308</v>
      </c>
      <c r="P56" s="2959">
        <v>591</v>
      </c>
      <c r="Q56" s="2959">
        <v>68.16</v>
      </c>
      <c r="R56" s="2959">
        <v>408.97</v>
      </c>
      <c r="S56" s="2959">
        <v>1.72</v>
      </c>
      <c r="T56" s="2959" t="s">
        <v>3135</v>
      </c>
      <c r="U56" s="2959" t="s">
        <v>3136</v>
      </c>
    </row>
  </sheetData>
  <phoneticPr fontId="143" type="noConversion"/>
  <pageMargins left="0.75" right="0.75" top="1" bottom="1" header="0.5" footer="0.5"/>
  <pageSetup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22980</v>
      </c>
      <c r="C2" s="2" t="s">
        <v>133</v>
      </c>
      <c r="D2" s="243"/>
      <c r="E2" s="243"/>
      <c r="F2" s="243"/>
      <c r="G2" s="243"/>
    </row>
    <row r="3" spans="1:7" s="244" customFormat="1" ht="18" customHeight="1" thickBot="1">
      <c r="A3" s="247" t="s">
        <v>85</v>
      </c>
      <c r="B3" s="248">
        <f ca="1">ROUND(B2*10000/'数据-汇总表'!E3,0)</f>
        <v>4311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213</v>
      </c>
      <c r="D9" s="1032">
        <f>'数据-汇总表'!E5</f>
        <v>42645.120000000003</v>
      </c>
      <c r="E9" s="269">
        <f>'数据-取费表'!B27</f>
        <v>50</v>
      </c>
      <c r="F9" s="265"/>
      <c r="G9" s="270"/>
    </row>
    <row r="10" spans="1:7" s="258" customFormat="1" ht="13.5" customHeight="1">
      <c r="A10" s="950" t="s">
        <v>801</v>
      </c>
      <c r="B10" s="268" t="s">
        <v>94</v>
      </c>
      <c r="C10" s="269">
        <f>ROUND(D10*E10/10000,0)</f>
        <v>53</v>
      </c>
      <c r="D10" s="1032">
        <f>'数据-汇总表'!E6</f>
        <v>10661.279999999999</v>
      </c>
      <c r="E10" s="269">
        <f>'数据-取费表'!B28</f>
        <v>50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267</v>
      </c>
      <c r="D19" s="1036">
        <f>'数据-汇总表'!E3</f>
        <v>53306.400000000001</v>
      </c>
      <c r="E19" s="255">
        <f>'数据-取费表'!B31</f>
        <v>50</v>
      </c>
      <c r="F19" s="275"/>
      <c r="G19" s="1" t="s">
        <v>1071</v>
      </c>
    </row>
    <row r="20" spans="1:7" s="258" customFormat="1" ht="13.5" customHeight="1">
      <c r="A20" s="948" t="s">
        <v>1054</v>
      </c>
      <c r="B20" s="254" t="s">
        <v>104</v>
      </c>
      <c r="C20" s="276">
        <f>ROUND((C5+C19)*F20,0)</f>
        <v>418</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0</v>
      </c>
      <c r="D22" s="279">
        <f ca="1">C26</f>
        <v>0</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0</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1055</v>
      </c>
      <c r="C25" s="1355">
        <f ca="1">ROUND(IF('数据-取费表'!B22&lt;=1,C20*F22*'数据-取费表'!B23/2,C20*(POWER((1+F22),'数据-取费表'!B23/2)-1)),0)</f>
        <v>0</v>
      </c>
      <c r="D25" s="282"/>
      <c r="E25" s="285"/>
      <c r="F25" s="283"/>
      <c r="G25" s="286" t="s">
        <v>110</v>
      </c>
    </row>
    <row r="26" spans="1:7" s="258" customFormat="1">
      <c r="A26" s="951" t="s">
        <v>795</v>
      </c>
      <c r="B26" s="259" t="s">
        <v>1057</v>
      </c>
      <c r="C26" s="282">
        <f ca="1">ROUND(IF('数据-取费表'!B22&lt;=1,F21*F22*'数据-取费表'!B23/2,F21*(POWER((1+F22),'数据-取费表'!B23/2)-1)),4)</f>
        <v>0</v>
      </c>
      <c r="D26" s="282"/>
      <c r="E26" s="285"/>
      <c r="F26" s="283"/>
      <c r="G26" s="287"/>
    </row>
    <row r="27" spans="1:7" s="258" customFormat="1" ht="24.75">
      <c r="A27" s="948" t="s">
        <v>787</v>
      </c>
      <c r="B27" s="288" t="s">
        <v>112</v>
      </c>
      <c r="C27" s="289">
        <f>C28</f>
        <v>0</v>
      </c>
      <c r="D27" s="279">
        <f>C29</f>
        <v>0</v>
      </c>
      <c r="E27" s="280" t="s">
        <v>126</v>
      </c>
      <c r="F27" s="290">
        <f>'数据-取费表'!Q16</f>
        <v>0.1</v>
      </c>
      <c r="G27" s="291" t="s">
        <v>1066</v>
      </c>
    </row>
    <row r="28" spans="1:7" s="258" customFormat="1" ht="13.5" customHeight="1">
      <c r="A28" s="951" t="s">
        <v>794</v>
      </c>
      <c r="B28" s="292" t="s">
        <v>1059</v>
      </c>
      <c r="C28" s="293">
        <f>ROUND((C5+C19+C20)*F27*'数据-取费表'!B21/'数据-取费表'!B20,0)</f>
        <v>0</v>
      </c>
      <c r="D28" s="279"/>
      <c r="E28" s="280"/>
      <c r="F28" s="290"/>
      <c r="G28" s="291"/>
    </row>
    <row r="29" spans="1:7" s="258" customFormat="1" ht="13.5" customHeight="1">
      <c r="A29" s="951" t="s">
        <v>792</v>
      </c>
      <c r="B29" s="292" t="s">
        <v>1060</v>
      </c>
      <c r="C29" s="282">
        <f>ROUND(C21*F27*'数据-取费表'!B21/'数据-取费表'!B20,4)</f>
        <v>0</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22980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0</v>
      </c>
      <c r="D34" s="261"/>
      <c r="E34" s="264"/>
      <c r="F34" s="301">
        <f>IF('数据-取费表'!B24=0,1,'数据-取费表'!N16)</f>
        <v>0</v>
      </c>
      <c r="G34" s="263" t="s">
        <v>116</v>
      </c>
    </row>
    <row r="35" spans="1:7" ht="13.5" customHeight="1">
      <c r="A35" s="951" t="s">
        <v>796</v>
      </c>
      <c r="B35" s="259" t="s">
        <v>60</v>
      </c>
      <c r="C35" s="264">
        <f>ROUND(C34*F35,0)</f>
        <v>0</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0</v>
      </c>
      <c r="D37" s="261">
        <f>'数据-汇总表'!E3</f>
        <v>53306.400000000001</v>
      </c>
      <c r="E37" s="293">
        <f>'数据-取费表'!B35</f>
        <v>150</v>
      </c>
      <c r="F37" s="303"/>
      <c r="G37" s="305" t="s">
        <v>119</v>
      </c>
    </row>
    <row r="38" spans="1:7" ht="13.5" customHeight="1">
      <c r="A38" s="951" t="s">
        <v>799</v>
      </c>
      <c r="B38" s="259" t="s">
        <v>63</v>
      </c>
      <c r="C38" s="264">
        <f>ROUND(C34*F38,0)</f>
        <v>0</v>
      </c>
      <c r="D38" s="264"/>
      <c r="E38" s="264"/>
      <c r="F38" s="303">
        <f>'数据-取费表'!B36</f>
        <v>1.4999999999999999E-2</v>
      </c>
      <c r="G38" s="263" t="s">
        <v>117</v>
      </c>
    </row>
    <row r="39" spans="1:7" s="258" customFormat="1" ht="13.5" customHeight="1">
      <c r="A39" s="948" t="s">
        <v>783</v>
      </c>
      <c r="B39" s="254" t="s">
        <v>104</v>
      </c>
      <c r="C39" s="276">
        <f>ROUND(C33*F20,0)</f>
        <v>0</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0</v>
      </c>
      <c r="D41" s="279">
        <f ca="1">C44</f>
        <v>0</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0</v>
      </c>
      <c r="D42" s="282"/>
      <c r="E42" s="282"/>
      <c r="F42" s="283"/>
      <c r="G42" s="3207" t="s">
        <v>121</v>
      </c>
    </row>
    <row r="43" spans="1:7" ht="13.5" customHeight="1">
      <c r="A43" s="951" t="s">
        <v>792</v>
      </c>
      <c r="B43" s="259" t="s">
        <v>1061</v>
      </c>
      <c r="C43" s="282">
        <f ca="1">ROUND(IF('数据-取费表'!B22&lt;=1,C39*F22*'数据-取费表'!B21/2,C39*(POWER((1+F22),'数据-取费表'!B21/2)-1)),0)</f>
        <v>0</v>
      </c>
      <c r="D43" s="282"/>
      <c r="E43" s="282"/>
      <c r="F43" s="283"/>
      <c r="G43" s="3208"/>
    </row>
    <row r="44" spans="1:7" ht="13.5" customHeight="1">
      <c r="A44" s="951" t="s">
        <v>793</v>
      </c>
      <c r="B44" s="259" t="s">
        <v>1063</v>
      </c>
      <c r="C44" s="282">
        <f ca="1">ROUND(IF('数据-取费表'!B22&lt;=1,C40*F22*'数据-取费表'!B21/2,C40*(POWER((1+F22),'数据-取费表'!B21/2)-1)),4)</f>
        <v>0</v>
      </c>
      <c r="D44" s="282"/>
      <c r="E44" s="282"/>
      <c r="F44" s="283"/>
      <c r="G44" s="3209"/>
    </row>
    <row r="45" spans="1:7" s="258" customFormat="1" ht="13.5" customHeight="1">
      <c r="A45" s="948" t="s">
        <v>786</v>
      </c>
      <c r="B45" s="288" t="s">
        <v>112</v>
      </c>
      <c r="C45" s="289">
        <f>C46</f>
        <v>0</v>
      </c>
      <c r="D45" s="279">
        <f>C47</f>
        <v>2E-3</v>
      </c>
      <c r="E45" s="280" t="s">
        <v>129</v>
      </c>
      <c r="F45" s="290"/>
      <c r="G45" s="291" t="s">
        <v>1069</v>
      </c>
    </row>
    <row r="46" spans="1:7" s="258" customFormat="1" ht="13.5" customHeight="1">
      <c r="A46" s="951" t="s">
        <v>794</v>
      </c>
      <c r="B46" s="292" t="s">
        <v>1062</v>
      </c>
      <c r="C46" s="293">
        <f>ROUND((C33+C39)*F27,0)</f>
        <v>0</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0</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0</v>
      </c>
      <c r="D51" s="276"/>
      <c r="E51" s="276"/>
      <c r="F51" s="308"/>
      <c r="G51" s="278" t="s">
        <v>64</v>
      </c>
    </row>
    <row r="52" spans="1:7" s="252" customFormat="1" ht="16.5" thickBot="1">
      <c r="A52" s="309" t="s">
        <v>65</v>
      </c>
      <c r="B52" s="310"/>
      <c r="C52" s="311">
        <f ca="1">C31+C51</f>
        <v>22980</v>
      </c>
      <c r="D52" s="310"/>
      <c r="E52" s="310"/>
      <c r="F52" s="310"/>
      <c r="G52" s="312"/>
    </row>
    <row r="55" spans="1:7" ht="15">
      <c r="B55" s="314" t="s">
        <v>66</v>
      </c>
      <c r="C55" s="315"/>
    </row>
    <row r="56" spans="1:7">
      <c r="B56" s="317" t="s">
        <v>67</v>
      </c>
      <c r="C56" s="318">
        <f ca="1">ROUND(C51/C52,3)</f>
        <v>0</v>
      </c>
    </row>
    <row r="57" spans="1:7">
      <c r="B57" s="317" t="s">
        <v>68</v>
      </c>
      <c r="C57" s="31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54" t="s">
        <v>156</v>
      </c>
      <c r="B1" s="3354"/>
      <c r="C1" s="3354"/>
      <c r="D1" s="3354"/>
      <c r="E1" s="3354"/>
      <c r="F1" s="335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55" t="s">
        <v>169</v>
      </c>
      <c r="B2" s="3355"/>
      <c r="C2" s="3355"/>
      <c r="D2" s="3355"/>
      <c r="E2" s="3355"/>
      <c r="F2" s="335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5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54" t="s">
        <v>868</v>
      </c>
      <c r="B1" s="3354"/>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44018</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0" zoomScaleNormal="70" workbookViewId="0">
      <selection activeCell="U46" sqref="U46"/>
    </sheetView>
  </sheetViews>
  <sheetFormatPr defaultRowHeight="13.5"/>
  <sheetData/>
  <phoneticPr fontId="143" type="noConversion"/>
  <pageMargins left="0.7" right="0.7" top="0.75" bottom="0.75" header="0.3" footer="0.3"/>
  <pageSetup paperSize="9"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workbookViewId="0">
      <selection activeCell="AD32" sqref="AD32"/>
    </sheetView>
  </sheetViews>
  <sheetFormatPr defaultRowHeight="13.5"/>
  <cols>
    <col min="1" max="1" width="39.875" style="1634" customWidth="1"/>
    <col min="2" max="2" width="7.875" style="1634" hidden="1" customWidth="1"/>
    <col min="3" max="3" width="13.875" style="1634" hidden="1" customWidth="1"/>
    <col min="4" max="4" width="6.25" style="1634" hidden="1" customWidth="1"/>
    <col min="5" max="5" width="4.625" style="1634" hidden="1" customWidth="1"/>
    <col min="6" max="6" width="62" style="1634" hidden="1" customWidth="1"/>
    <col min="7" max="7" width="7.875" style="1634" hidden="1" customWidth="1"/>
    <col min="8" max="8" width="37" style="1634" hidden="1" customWidth="1"/>
    <col min="9" max="9" width="14.25" style="1634" customWidth="1"/>
    <col min="10" max="11" width="13.875" style="1634" customWidth="1"/>
    <col min="12" max="12" width="19.125" style="1634" customWidth="1"/>
    <col min="13" max="13" width="7.875" style="1634" hidden="1" customWidth="1"/>
    <col min="14" max="15" width="11.25" style="1634" hidden="1" customWidth="1"/>
    <col min="16" max="16" width="10" style="1634" hidden="1" customWidth="1"/>
    <col min="17" max="18" width="15.5" style="1634" hidden="1" customWidth="1"/>
    <col min="19" max="19" width="12.875" style="1634" hidden="1" customWidth="1"/>
    <col min="20" max="21" width="11.25" style="1634" hidden="1" customWidth="1"/>
    <col min="22" max="22" width="17.875" style="1634" hidden="1" customWidth="1"/>
    <col min="23" max="23" width="7.875" style="1634" hidden="1" customWidth="1"/>
    <col min="24" max="26" width="9" style="1634" hidden="1" customWidth="1"/>
    <col min="27" max="27" width="9" style="1634" customWidth="1"/>
    <col min="28" max="28" width="26.625" style="1634" hidden="1" customWidth="1"/>
    <col min="29" max="29" width="7.875" style="1634" hidden="1" customWidth="1"/>
    <col min="30" max="30" width="24.75" style="1634" customWidth="1"/>
    <col min="31" max="32" width="10.625" style="1634" hidden="1" customWidth="1"/>
    <col min="33" max="33" width="10.625" style="1634" customWidth="1"/>
    <col min="34" max="34" width="16" style="1634" hidden="1" customWidth="1"/>
    <col min="35" max="35" width="9.875" style="1634" customWidth="1"/>
    <col min="36" max="36" width="14.375" style="1634" hidden="1" customWidth="1"/>
    <col min="37" max="37" width="12.875" style="1634" customWidth="1"/>
    <col min="38" max="39" width="21.875" style="1634" hidden="1" customWidth="1"/>
    <col min="40" max="40" width="6.25" style="1634" customWidth="1"/>
    <col min="41" max="41" width="8.875" style="1634" customWidth="1"/>
    <col min="42" max="42" width="16.875" style="1634" customWidth="1"/>
    <col min="43" max="44" width="20.125" style="1634" customWidth="1"/>
    <col min="45" max="45" width="7.875" style="1634" customWidth="1"/>
    <col min="46" max="256" width="9" style="1634"/>
    <col min="257" max="257" width="62" style="1634" customWidth="1"/>
    <col min="258" max="258" width="7.875" style="1634" customWidth="1"/>
    <col min="259" max="259" width="13.875" style="1634" customWidth="1"/>
    <col min="260" max="260" width="6.25" style="1634" customWidth="1"/>
    <col min="261" max="261" width="4.625" style="1634" customWidth="1"/>
    <col min="262" max="262" width="62" style="1634" customWidth="1"/>
    <col min="263" max="263" width="7.875" style="1634" customWidth="1"/>
    <col min="264" max="264" width="37" style="1634" customWidth="1"/>
    <col min="265" max="265" width="29.375" style="1634" customWidth="1"/>
    <col min="266" max="267" width="13.875" style="1634" customWidth="1"/>
    <col min="268" max="268" width="19.125" style="1634" customWidth="1"/>
    <col min="269" max="269" width="7.875" style="1634" customWidth="1"/>
    <col min="270" max="271" width="11.25" style="1634" customWidth="1"/>
    <col min="272" max="272" width="10" style="1634" customWidth="1"/>
    <col min="273" max="274" width="15.5" style="1634" customWidth="1"/>
    <col min="275" max="275" width="12.875" style="1634" customWidth="1"/>
    <col min="276" max="277" width="11.25" style="1634" customWidth="1"/>
    <col min="278" max="278" width="17.875" style="1634" customWidth="1"/>
    <col min="279" max="279" width="7.875" style="1634" customWidth="1"/>
    <col min="280" max="283" width="9" style="1634" customWidth="1"/>
    <col min="284" max="284" width="26.625" style="1634" customWidth="1"/>
    <col min="285" max="285" width="7.875" style="1634" customWidth="1"/>
    <col min="286" max="286" width="34.375" style="1634" customWidth="1"/>
    <col min="287" max="289" width="10.625" style="1634" customWidth="1"/>
    <col min="290" max="291" width="16" style="1634" customWidth="1"/>
    <col min="292" max="293" width="14.375" style="1634" customWidth="1"/>
    <col min="294" max="295" width="21.875" style="1634" customWidth="1"/>
    <col min="296" max="296" width="6.25" style="1634" customWidth="1"/>
    <col min="297" max="297" width="38.125" style="1634" customWidth="1"/>
    <col min="298" max="298" width="16.875" style="1634" customWidth="1"/>
    <col min="299" max="300" width="20.125" style="1634" customWidth="1"/>
    <col min="301" max="301" width="7.875" style="1634" customWidth="1"/>
    <col min="302" max="512" width="9" style="1634"/>
    <col min="513" max="513" width="62" style="1634" customWidth="1"/>
    <col min="514" max="514" width="7.875" style="1634" customWidth="1"/>
    <col min="515" max="515" width="13.875" style="1634" customWidth="1"/>
    <col min="516" max="516" width="6.25" style="1634" customWidth="1"/>
    <col min="517" max="517" width="4.625" style="1634" customWidth="1"/>
    <col min="518" max="518" width="62" style="1634" customWidth="1"/>
    <col min="519" max="519" width="7.875" style="1634" customWidth="1"/>
    <col min="520" max="520" width="37" style="1634" customWidth="1"/>
    <col min="521" max="521" width="29.375" style="1634" customWidth="1"/>
    <col min="522" max="523" width="13.875" style="1634" customWidth="1"/>
    <col min="524" max="524" width="19.125" style="1634" customWidth="1"/>
    <col min="525" max="525" width="7.875" style="1634" customWidth="1"/>
    <col min="526" max="527" width="11.25" style="1634" customWidth="1"/>
    <col min="528" max="528" width="10" style="1634" customWidth="1"/>
    <col min="529" max="530" width="15.5" style="1634" customWidth="1"/>
    <col min="531" max="531" width="12.875" style="1634" customWidth="1"/>
    <col min="532" max="533" width="11.25" style="1634" customWidth="1"/>
    <col min="534" max="534" width="17.875" style="1634" customWidth="1"/>
    <col min="535" max="535" width="7.875" style="1634" customWidth="1"/>
    <col min="536" max="539" width="9" style="1634" customWidth="1"/>
    <col min="540" max="540" width="26.625" style="1634" customWidth="1"/>
    <col min="541" max="541" width="7.875" style="1634" customWidth="1"/>
    <col min="542" max="542" width="34.375" style="1634" customWidth="1"/>
    <col min="543" max="545" width="10.625" style="1634" customWidth="1"/>
    <col min="546" max="547" width="16" style="1634" customWidth="1"/>
    <col min="548" max="549" width="14.375" style="1634" customWidth="1"/>
    <col min="550" max="551" width="21.875" style="1634" customWidth="1"/>
    <col min="552" max="552" width="6.25" style="1634" customWidth="1"/>
    <col min="553" max="553" width="38.125" style="1634" customWidth="1"/>
    <col min="554" max="554" width="16.875" style="1634" customWidth="1"/>
    <col min="555" max="556" width="20.125" style="1634" customWidth="1"/>
    <col min="557" max="557" width="7.875" style="1634" customWidth="1"/>
    <col min="558" max="768" width="9" style="1634"/>
    <col min="769" max="769" width="62" style="1634" customWidth="1"/>
    <col min="770" max="770" width="7.875" style="1634" customWidth="1"/>
    <col min="771" max="771" width="13.875" style="1634" customWidth="1"/>
    <col min="772" max="772" width="6.25" style="1634" customWidth="1"/>
    <col min="773" max="773" width="4.625" style="1634" customWidth="1"/>
    <col min="774" max="774" width="62" style="1634" customWidth="1"/>
    <col min="775" max="775" width="7.875" style="1634" customWidth="1"/>
    <col min="776" max="776" width="37" style="1634" customWidth="1"/>
    <col min="777" max="777" width="29.375" style="1634" customWidth="1"/>
    <col min="778" max="779" width="13.875" style="1634" customWidth="1"/>
    <col min="780" max="780" width="19.125" style="1634" customWidth="1"/>
    <col min="781" max="781" width="7.875" style="1634" customWidth="1"/>
    <col min="782" max="783" width="11.25" style="1634" customWidth="1"/>
    <col min="784" max="784" width="10" style="1634" customWidth="1"/>
    <col min="785" max="786" width="15.5" style="1634" customWidth="1"/>
    <col min="787" max="787" width="12.875" style="1634" customWidth="1"/>
    <col min="788" max="789" width="11.25" style="1634" customWidth="1"/>
    <col min="790" max="790" width="17.875" style="1634" customWidth="1"/>
    <col min="791" max="791" width="7.875" style="1634" customWidth="1"/>
    <col min="792" max="795" width="9" style="1634" customWidth="1"/>
    <col min="796" max="796" width="26.625" style="1634" customWidth="1"/>
    <col min="797" max="797" width="7.875" style="1634" customWidth="1"/>
    <col min="798" max="798" width="34.375" style="1634" customWidth="1"/>
    <col min="799" max="801" width="10.625" style="1634" customWidth="1"/>
    <col min="802" max="803" width="16" style="1634" customWidth="1"/>
    <col min="804" max="805" width="14.375" style="1634" customWidth="1"/>
    <col min="806" max="807" width="21.875" style="1634" customWidth="1"/>
    <col min="808" max="808" width="6.25" style="1634" customWidth="1"/>
    <col min="809" max="809" width="38.125" style="1634" customWidth="1"/>
    <col min="810" max="810" width="16.875" style="1634" customWidth="1"/>
    <col min="811" max="812" width="20.125" style="1634" customWidth="1"/>
    <col min="813" max="813" width="7.875" style="1634" customWidth="1"/>
    <col min="814" max="1024" width="9" style="1634"/>
    <col min="1025" max="1025" width="62" style="1634" customWidth="1"/>
    <col min="1026" max="1026" width="7.875" style="1634" customWidth="1"/>
    <col min="1027" max="1027" width="13.875" style="1634" customWidth="1"/>
    <col min="1028" max="1028" width="6.25" style="1634" customWidth="1"/>
    <col min="1029" max="1029" width="4.625" style="1634" customWidth="1"/>
    <col min="1030" max="1030" width="62" style="1634" customWidth="1"/>
    <col min="1031" max="1031" width="7.875" style="1634" customWidth="1"/>
    <col min="1032" max="1032" width="37" style="1634" customWidth="1"/>
    <col min="1033" max="1033" width="29.375" style="1634" customWidth="1"/>
    <col min="1034" max="1035" width="13.875" style="1634" customWidth="1"/>
    <col min="1036" max="1036" width="19.125" style="1634" customWidth="1"/>
    <col min="1037" max="1037" width="7.875" style="1634" customWidth="1"/>
    <col min="1038" max="1039" width="11.25" style="1634" customWidth="1"/>
    <col min="1040" max="1040" width="10" style="1634" customWidth="1"/>
    <col min="1041" max="1042" width="15.5" style="1634" customWidth="1"/>
    <col min="1043" max="1043" width="12.875" style="1634" customWidth="1"/>
    <col min="1044" max="1045" width="11.25" style="1634" customWidth="1"/>
    <col min="1046" max="1046" width="17.875" style="1634" customWidth="1"/>
    <col min="1047" max="1047" width="7.875" style="1634" customWidth="1"/>
    <col min="1048" max="1051" width="9" style="1634" customWidth="1"/>
    <col min="1052" max="1052" width="26.625" style="1634" customWidth="1"/>
    <col min="1053" max="1053" width="7.875" style="1634" customWidth="1"/>
    <col min="1054" max="1054" width="34.375" style="1634" customWidth="1"/>
    <col min="1055" max="1057" width="10.625" style="1634" customWidth="1"/>
    <col min="1058" max="1059" width="16" style="1634" customWidth="1"/>
    <col min="1060" max="1061" width="14.375" style="1634" customWidth="1"/>
    <col min="1062" max="1063" width="21.875" style="1634" customWidth="1"/>
    <col min="1064" max="1064" width="6.25" style="1634" customWidth="1"/>
    <col min="1065" max="1065" width="38.125" style="1634" customWidth="1"/>
    <col min="1066" max="1066" width="16.875" style="1634" customWidth="1"/>
    <col min="1067" max="1068" width="20.125" style="1634" customWidth="1"/>
    <col min="1069" max="1069" width="7.875" style="1634" customWidth="1"/>
    <col min="1070" max="1280" width="9" style="1634"/>
    <col min="1281" max="1281" width="62" style="1634" customWidth="1"/>
    <col min="1282" max="1282" width="7.875" style="1634" customWidth="1"/>
    <col min="1283" max="1283" width="13.875" style="1634" customWidth="1"/>
    <col min="1284" max="1284" width="6.25" style="1634" customWidth="1"/>
    <col min="1285" max="1285" width="4.625" style="1634" customWidth="1"/>
    <col min="1286" max="1286" width="62" style="1634" customWidth="1"/>
    <col min="1287" max="1287" width="7.875" style="1634" customWidth="1"/>
    <col min="1288" max="1288" width="37" style="1634" customWidth="1"/>
    <col min="1289" max="1289" width="29.375" style="1634" customWidth="1"/>
    <col min="1290" max="1291" width="13.875" style="1634" customWidth="1"/>
    <col min="1292" max="1292" width="19.125" style="1634" customWidth="1"/>
    <col min="1293" max="1293" width="7.875" style="1634" customWidth="1"/>
    <col min="1294" max="1295" width="11.25" style="1634" customWidth="1"/>
    <col min="1296" max="1296" width="10" style="1634" customWidth="1"/>
    <col min="1297" max="1298" width="15.5" style="1634" customWidth="1"/>
    <col min="1299" max="1299" width="12.875" style="1634" customWidth="1"/>
    <col min="1300" max="1301" width="11.25" style="1634" customWidth="1"/>
    <col min="1302" max="1302" width="17.875" style="1634" customWidth="1"/>
    <col min="1303" max="1303" width="7.875" style="1634" customWidth="1"/>
    <col min="1304" max="1307" width="9" style="1634" customWidth="1"/>
    <col min="1308" max="1308" width="26.625" style="1634" customWidth="1"/>
    <col min="1309" max="1309" width="7.875" style="1634" customWidth="1"/>
    <col min="1310" max="1310" width="34.375" style="1634" customWidth="1"/>
    <col min="1311" max="1313" width="10.625" style="1634" customWidth="1"/>
    <col min="1314" max="1315" width="16" style="1634" customWidth="1"/>
    <col min="1316" max="1317" width="14.375" style="1634" customWidth="1"/>
    <col min="1318" max="1319" width="21.875" style="1634" customWidth="1"/>
    <col min="1320" max="1320" width="6.25" style="1634" customWidth="1"/>
    <col min="1321" max="1321" width="38.125" style="1634" customWidth="1"/>
    <col min="1322" max="1322" width="16.875" style="1634" customWidth="1"/>
    <col min="1323" max="1324" width="20.125" style="1634" customWidth="1"/>
    <col min="1325" max="1325" width="7.875" style="1634" customWidth="1"/>
    <col min="1326" max="1536" width="9" style="1634"/>
    <col min="1537" max="1537" width="62" style="1634" customWidth="1"/>
    <col min="1538" max="1538" width="7.875" style="1634" customWidth="1"/>
    <col min="1539" max="1539" width="13.875" style="1634" customWidth="1"/>
    <col min="1540" max="1540" width="6.25" style="1634" customWidth="1"/>
    <col min="1541" max="1541" width="4.625" style="1634" customWidth="1"/>
    <col min="1542" max="1542" width="62" style="1634" customWidth="1"/>
    <col min="1543" max="1543" width="7.875" style="1634" customWidth="1"/>
    <col min="1544" max="1544" width="37" style="1634" customWidth="1"/>
    <col min="1545" max="1545" width="29.375" style="1634" customWidth="1"/>
    <col min="1546" max="1547" width="13.875" style="1634" customWidth="1"/>
    <col min="1548" max="1548" width="19.125" style="1634" customWidth="1"/>
    <col min="1549" max="1549" width="7.875" style="1634" customWidth="1"/>
    <col min="1550" max="1551" width="11.25" style="1634" customWidth="1"/>
    <col min="1552" max="1552" width="10" style="1634" customWidth="1"/>
    <col min="1553" max="1554" width="15.5" style="1634" customWidth="1"/>
    <col min="1555" max="1555" width="12.875" style="1634" customWidth="1"/>
    <col min="1556" max="1557" width="11.25" style="1634" customWidth="1"/>
    <col min="1558" max="1558" width="17.875" style="1634" customWidth="1"/>
    <col min="1559" max="1559" width="7.875" style="1634" customWidth="1"/>
    <col min="1560" max="1563" width="9" style="1634" customWidth="1"/>
    <col min="1564" max="1564" width="26.625" style="1634" customWidth="1"/>
    <col min="1565" max="1565" width="7.875" style="1634" customWidth="1"/>
    <col min="1566" max="1566" width="34.375" style="1634" customWidth="1"/>
    <col min="1567" max="1569" width="10.625" style="1634" customWidth="1"/>
    <col min="1570" max="1571" width="16" style="1634" customWidth="1"/>
    <col min="1572" max="1573" width="14.375" style="1634" customWidth="1"/>
    <col min="1574" max="1575" width="21.875" style="1634" customWidth="1"/>
    <col min="1576" max="1576" width="6.25" style="1634" customWidth="1"/>
    <col min="1577" max="1577" width="38.125" style="1634" customWidth="1"/>
    <col min="1578" max="1578" width="16.875" style="1634" customWidth="1"/>
    <col min="1579" max="1580" width="20.125" style="1634" customWidth="1"/>
    <col min="1581" max="1581" width="7.875" style="1634" customWidth="1"/>
    <col min="1582" max="1792" width="9" style="1634"/>
    <col min="1793" max="1793" width="62" style="1634" customWidth="1"/>
    <col min="1794" max="1794" width="7.875" style="1634" customWidth="1"/>
    <col min="1795" max="1795" width="13.875" style="1634" customWidth="1"/>
    <col min="1796" max="1796" width="6.25" style="1634" customWidth="1"/>
    <col min="1797" max="1797" width="4.625" style="1634" customWidth="1"/>
    <col min="1798" max="1798" width="62" style="1634" customWidth="1"/>
    <col min="1799" max="1799" width="7.875" style="1634" customWidth="1"/>
    <col min="1800" max="1800" width="37" style="1634" customWidth="1"/>
    <col min="1801" max="1801" width="29.375" style="1634" customWidth="1"/>
    <col min="1802" max="1803" width="13.875" style="1634" customWidth="1"/>
    <col min="1804" max="1804" width="19.125" style="1634" customWidth="1"/>
    <col min="1805" max="1805" width="7.875" style="1634" customWidth="1"/>
    <col min="1806" max="1807" width="11.25" style="1634" customWidth="1"/>
    <col min="1808" max="1808" width="10" style="1634" customWidth="1"/>
    <col min="1809" max="1810" width="15.5" style="1634" customWidth="1"/>
    <col min="1811" max="1811" width="12.875" style="1634" customWidth="1"/>
    <col min="1812" max="1813" width="11.25" style="1634" customWidth="1"/>
    <col min="1814" max="1814" width="17.875" style="1634" customWidth="1"/>
    <col min="1815" max="1815" width="7.875" style="1634" customWidth="1"/>
    <col min="1816" max="1819" width="9" style="1634" customWidth="1"/>
    <col min="1820" max="1820" width="26.625" style="1634" customWidth="1"/>
    <col min="1821" max="1821" width="7.875" style="1634" customWidth="1"/>
    <col min="1822" max="1822" width="34.375" style="1634" customWidth="1"/>
    <col min="1823" max="1825" width="10.625" style="1634" customWidth="1"/>
    <col min="1826" max="1827" width="16" style="1634" customWidth="1"/>
    <col min="1828" max="1829" width="14.375" style="1634" customWidth="1"/>
    <col min="1830" max="1831" width="21.875" style="1634" customWidth="1"/>
    <col min="1832" max="1832" width="6.25" style="1634" customWidth="1"/>
    <col min="1833" max="1833" width="38.125" style="1634" customWidth="1"/>
    <col min="1834" max="1834" width="16.875" style="1634" customWidth="1"/>
    <col min="1835" max="1836" width="20.125" style="1634" customWidth="1"/>
    <col min="1837" max="1837" width="7.875" style="1634" customWidth="1"/>
    <col min="1838" max="2048" width="9" style="1634"/>
    <col min="2049" max="2049" width="62" style="1634" customWidth="1"/>
    <col min="2050" max="2050" width="7.875" style="1634" customWidth="1"/>
    <col min="2051" max="2051" width="13.875" style="1634" customWidth="1"/>
    <col min="2052" max="2052" width="6.25" style="1634" customWidth="1"/>
    <col min="2053" max="2053" width="4.625" style="1634" customWidth="1"/>
    <col min="2054" max="2054" width="62" style="1634" customWidth="1"/>
    <col min="2055" max="2055" width="7.875" style="1634" customWidth="1"/>
    <col min="2056" max="2056" width="37" style="1634" customWidth="1"/>
    <col min="2057" max="2057" width="29.375" style="1634" customWidth="1"/>
    <col min="2058" max="2059" width="13.875" style="1634" customWidth="1"/>
    <col min="2060" max="2060" width="19.125" style="1634" customWidth="1"/>
    <col min="2061" max="2061" width="7.875" style="1634" customWidth="1"/>
    <col min="2062" max="2063" width="11.25" style="1634" customWidth="1"/>
    <col min="2064" max="2064" width="10" style="1634" customWidth="1"/>
    <col min="2065" max="2066" width="15.5" style="1634" customWidth="1"/>
    <col min="2067" max="2067" width="12.875" style="1634" customWidth="1"/>
    <col min="2068" max="2069" width="11.25" style="1634" customWidth="1"/>
    <col min="2070" max="2070" width="17.875" style="1634" customWidth="1"/>
    <col min="2071" max="2071" width="7.875" style="1634" customWidth="1"/>
    <col min="2072" max="2075" width="9" style="1634" customWidth="1"/>
    <col min="2076" max="2076" width="26.625" style="1634" customWidth="1"/>
    <col min="2077" max="2077" width="7.875" style="1634" customWidth="1"/>
    <col min="2078" max="2078" width="34.375" style="1634" customWidth="1"/>
    <col min="2079" max="2081" width="10.625" style="1634" customWidth="1"/>
    <col min="2082" max="2083" width="16" style="1634" customWidth="1"/>
    <col min="2084" max="2085" width="14.375" style="1634" customWidth="1"/>
    <col min="2086" max="2087" width="21.875" style="1634" customWidth="1"/>
    <col min="2088" max="2088" width="6.25" style="1634" customWidth="1"/>
    <col min="2089" max="2089" width="38.125" style="1634" customWidth="1"/>
    <col min="2090" max="2090" width="16.875" style="1634" customWidth="1"/>
    <col min="2091" max="2092" width="20.125" style="1634" customWidth="1"/>
    <col min="2093" max="2093" width="7.875" style="1634" customWidth="1"/>
    <col min="2094" max="2304" width="9" style="1634"/>
    <col min="2305" max="2305" width="62" style="1634" customWidth="1"/>
    <col min="2306" max="2306" width="7.875" style="1634" customWidth="1"/>
    <col min="2307" max="2307" width="13.875" style="1634" customWidth="1"/>
    <col min="2308" max="2308" width="6.25" style="1634" customWidth="1"/>
    <col min="2309" max="2309" width="4.625" style="1634" customWidth="1"/>
    <col min="2310" max="2310" width="62" style="1634" customWidth="1"/>
    <col min="2311" max="2311" width="7.875" style="1634" customWidth="1"/>
    <col min="2312" max="2312" width="37" style="1634" customWidth="1"/>
    <col min="2313" max="2313" width="29.375" style="1634" customWidth="1"/>
    <col min="2314" max="2315" width="13.875" style="1634" customWidth="1"/>
    <col min="2316" max="2316" width="19.125" style="1634" customWidth="1"/>
    <col min="2317" max="2317" width="7.875" style="1634" customWidth="1"/>
    <col min="2318" max="2319" width="11.25" style="1634" customWidth="1"/>
    <col min="2320" max="2320" width="10" style="1634" customWidth="1"/>
    <col min="2321" max="2322" width="15.5" style="1634" customWidth="1"/>
    <col min="2323" max="2323" width="12.875" style="1634" customWidth="1"/>
    <col min="2324" max="2325" width="11.25" style="1634" customWidth="1"/>
    <col min="2326" max="2326" width="17.875" style="1634" customWidth="1"/>
    <col min="2327" max="2327" width="7.875" style="1634" customWidth="1"/>
    <col min="2328" max="2331" width="9" style="1634" customWidth="1"/>
    <col min="2332" max="2332" width="26.625" style="1634" customWidth="1"/>
    <col min="2333" max="2333" width="7.875" style="1634" customWidth="1"/>
    <col min="2334" max="2334" width="34.375" style="1634" customWidth="1"/>
    <col min="2335" max="2337" width="10.625" style="1634" customWidth="1"/>
    <col min="2338" max="2339" width="16" style="1634" customWidth="1"/>
    <col min="2340" max="2341" width="14.375" style="1634" customWidth="1"/>
    <col min="2342" max="2343" width="21.875" style="1634" customWidth="1"/>
    <col min="2344" max="2344" width="6.25" style="1634" customWidth="1"/>
    <col min="2345" max="2345" width="38.125" style="1634" customWidth="1"/>
    <col min="2346" max="2346" width="16.875" style="1634" customWidth="1"/>
    <col min="2347" max="2348" width="20.125" style="1634" customWidth="1"/>
    <col min="2349" max="2349" width="7.875" style="1634" customWidth="1"/>
    <col min="2350" max="2560" width="9" style="1634"/>
    <col min="2561" max="2561" width="62" style="1634" customWidth="1"/>
    <col min="2562" max="2562" width="7.875" style="1634" customWidth="1"/>
    <col min="2563" max="2563" width="13.875" style="1634" customWidth="1"/>
    <col min="2564" max="2564" width="6.25" style="1634" customWidth="1"/>
    <col min="2565" max="2565" width="4.625" style="1634" customWidth="1"/>
    <col min="2566" max="2566" width="62" style="1634" customWidth="1"/>
    <col min="2567" max="2567" width="7.875" style="1634" customWidth="1"/>
    <col min="2568" max="2568" width="37" style="1634" customWidth="1"/>
    <col min="2569" max="2569" width="29.375" style="1634" customWidth="1"/>
    <col min="2570" max="2571" width="13.875" style="1634" customWidth="1"/>
    <col min="2572" max="2572" width="19.125" style="1634" customWidth="1"/>
    <col min="2573" max="2573" width="7.875" style="1634" customWidth="1"/>
    <col min="2574" max="2575" width="11.25" style="1634" customWidth="1"/>
    <col min="2576" max="2576" width="10" style="1634" customWidth="1"/>
    <col min="2577" max="2578" width="15.5" style="1634" customWidth="1"/>
    <col min="2579" max="2579" width="12.875" style="1634" customWidth="1"/>
    <col min="2580" max="2581" width="11.25" style="1634" customWidth="1"/>
    <col min="2582" max="2582" width="17.875" style="1634" customWidth="1"/>
    <col min="2583" max="2583" width="7.875" style="1634" customWidth="1"/>
    <col min="2584" max="2587" width="9" style="1634" customWidth="1"/>
    <col min="2588" max="2588" width="26.625" style="1634" customWidth="1"/>
    <col min="2589" max="2589" width="7.875" style="1634" customWidth="1"/>
    <col min="2590" max="2590" width="34.375" style="1634" customWidth="1"/>
    <col min="2591" max="2593" width="10.625" style="1634" customWidth="1"/>
    <col min="2594" max="2595" width="16" style="1634" customWidth="1"/>
    <col min="2596" max="2597" width="14.375" style="1634" customWidth="1"/>
    <col min="2598" max="2599" width="21.875" style="1634" customWidth="1"/>
    <col min="2600" max="2600" width="6.25" style="1634" customWidth="1"/>
    <col min="2601" max="2601" width="38.125" style="1634" customWidth="1"/>
    <col min="2602" max="2602" width="16.875" style="1634" customWidth="1"/>
    <col min="2603" max="2604" width="20.125" style="1634" customWidth="1"/>
    <col min="2605" max="2605" width="7.875" style="1634" customWidth="1"/>
    <col min="2606" max="2816" width="9" style="1634"/>
    <col min="2817" max="2817" width="62" style="1634" customWidth="1"/>
    <col min="2818" max="2818" width="7.875" style="1634" customWidth="1"/>
    <col min="2819" max="2819" width="13.875" style="1634" customWidth="1"/>
    <col min="2820" max="2820" width="6.25" style="1634" customWidth="1"/>
    <col min="2821" max="2821" width="4.625" style="1634" customWidth="1"/>
    <col min="2822" max="2822" width="62" style="1634" customWidth="1"/>
    <col min="2823" max="2823" width="7.875" style="1634" customWidth="1"/>
    <col min="2824" max="2824" width="37" style="1634" customWidth="1"/>
    <col min="2825" max="2825" width="29.375" style="1634" customWidth="1"/>
    <col min="2826" max="2827" width="13.875" style="1634" customWidth="1"/>
    <col min="2828" max="2828" width="19.125" style="1634" customWidth="1"/>
    <col min="2829" max="2829" width="7.875" style="1634" customWidth="1"/>
    <col min="2830" max="2831" width="11.25" style="1634" customWidth="1"/>
    <col min="2832" max="2832" width="10" style="1634" customWidth="1"/>
    <col min="2833" max="2834" width="15.5" style="1634" customWidth="1"/>
    <col min="2835" max="2835" width="12.875" style="1634" customWidth="1"/>
    <col min="2836" max="2837" width="11.25" style="1634" customWidth="1"/>
    <col min="2838" max="2838" width="17.875" style="1634" customWidth="1"/>
    <col min="2839" max="2839" width="7.875" style="1634" customWidth="1"/>
    <col min="2840" max="2843" width="9" style="1634" customWidth="1"/>
    <col min="2844" max="2844" width="26.625" style="1634" customWidth="1"/>
    <col min="2845" max="2845" width="7.875" style="1634" customWidth="1"/>
    <col min="2846" max="2846" width="34.375" style="1634" customWidth="1"/>
    <col min="2847" max="2849" width="10.625" style="1634" customWidth="1"/>
    <col min="2850" max="2851" width="16" style="1634" customWidth="1"/>
    <col min="2852" max="2853" width="14.375" style="1634" customWidth="1"/>
    <col min="2854" max="2855" width="21.875" style="1634" customWidth="1"/>
    <col min="2856" max="2856" width="6.25" style="1634" customWidth="1"/>
    <col min="2857" max="2857" width="38.125" style="1634" customWidth="1"/>
    <col min="2858" max="2858" width="16.875" style="1634" customWidth="1"/>
    <col min="2859" max="2860" width="20.125" style="1634" customWidth="1"/>
    <col min="2861" max="2861" width="7.875" style="1634" customWidth="1"/>
    <col min="2862" max="3072" width="9" style="1634"/>
    <col min="3073" max="3073" width="62" style="1634" customWidth="1"/>
    <col min="3074" max="3074" width="7.875" style="1634" customWidth="1"/>
    <col min="3075" max="3075" width="13.875" style="1634" customWidth="1"/>
    <col min="3076" max="3076" width="6.25" style="1634" customWidth="1"/>
    <col min="3077" max="3077" width="4.625" style="1634" customWidth="1"/>
    <col min="3078" max="3078" width="62" style="1634" customWidth="1"/>
    <col min="3079" max="3079" width="7.875" style="1634" customWidth="1"/>
    <col min="3080" max="3080" width="37" style="1634" customWidth="1"/>
    <col min="3081" max="3081" width="29.375" style="1634" customWidth="1"/>
    <col min="3082" max="3083" width="13.875" style="1634" customWidth="1"/>
    <col min="3084" max="3084" width="19.125" style="1634" customWidth="1"/>
    <col min="3085" max="3085" width="7.875" style="1634" customWidth="1"/>
    <col min="3086" max="3087" width="11.25" style="1634" customWidth="1"/>
    <col min="3088" max="3088" width="10" style="1634" customWidth="1"/>
    <col min="3089" max="3090" width="15.5" style="1634" customWidth="1"/>
    <col min="3091" max="3091" width="12.875" style="1634" customWidth="1"/>
    <col min="3092" max="3093" width="11.25" style="1634" customWidth="1"/>
    <col min="3094" max="3094" width="17.875" style="1634" customWidth="1"/>
    <col min="3095" max="3095" width="7.875" style="1634" customWidth="1"/>
    <col min="3096" max="3099" width="9" style="1634" customWidth="1"/>
    <col min="3100" max="3100" width="26.625" style="1634" customWidth="1"/>
    <col min="3101" max="3101" width="7.875" style="1634" customWidth="1"/>
    <col min="3102" max="3102" width="34.375" style="1634" customWidth="1"/>
    <col min="3103" max="3105" width="10.625" style="1634" customWidth="1"/>
    <col min="3106" max="3107" width="16" style="1634" customWidth="1"/>
    <col min="3108" max="3109" width="14.375" style="1634" customWidth="1"/>
    <col min="3110" max="3111" width="21.875" style="1634" customWidth="1"/>
    <col min="3112" max="3112" width="6.25" style="1634" customWidth="1"/>
    <col min="3113" max="3113" width="38.125" style="1634" customWidth="1"/>
    <col min="3114" max="3114" width="16.875" style="1634" customWidth="1"/>
    <col min="3115" max="3116" width="20.125" style="1634" customWidth="1"/>
    <col min="3117" max="3117" width="7.875" style="1634" customWidth="1"/>
    <col min="3118" max="3328" width="9" style="1634"/>
    <col min="3329" max="3329" width="62" style="1634" customWidth="1"/>
    <col min="3330" max="3330" width="7.875" style="1634" customWidth="1"/>
    <col min="3331" max="3331" width="13.875" style="1634" customWidth="1"/>
    <col min="3332" max="3332" width="6.25" style="1634" customWidth="1"/>
    <col min="3333" max="3333" width="4.625" style="1634" customWidth="1"/>
    <col min="3334" max="3334" width="62" style="1634" customWidth="1"/>
    <col min="3335" max="3335" width="7.875" style="1634" customWidth="1"/>
    <col min="3336" max="3336" width="37" style="1634" customWidth="1"/>
    <col min="3337" max="3337" width="29.375" style="1634" customWidth="1"/>
    <col min="3338" max="3339" width="13.875" style="1634" customWidth="1"/>
    <col min="3340" max="3340" width="19.125" style="1634" customWidth="1"/>
    <col min="3341" max="3341" width="7.875" style="1634" customWidth="1"/>
    <col min="3342" max="3343" width="11.25" style="1634" customWidth="1"/>
    <col min="3344" max="3344" width="10" style="1634" customWidth="1"/>
    <col min="3345" max="3346" width="15.5" style="1634" customWidth="1"/>
    <col min="3347" max="3347" width="12.875" style="1634" customWidth="1"/>
    <col min="3348" max="3349" width="11.25" style="1634" customWidth="1"/>
    <col min="3350" max="3350" width="17.875" style="1634" customWidth="1"/>
    <col min="3351" max="3351" width="7.875" style="1634" customWidth="1"/>
    <col min="3352" max="3355" width="9" style="1634" customWidth="1"/>
    <col min="3356" max="3356" width="26.625" style="1634" customWidth="1"/>
    <col min="3357" max="3357" width="7.875" style="1634" customWidth="1"/>
    <col min="3358" max="3358" width="34.375" style="1634" customWidth="1"/>
    <col min="3359" max="3361" width="10.625" style="1634" customWidth="1"/>
    <col min="3362" max="3363" width="16" style="1634" customWidth="1"/>
    <col min="3364" max="3365" width="14.375" style="1634" customWidth="1"/>
    <col min="3366" max="3367" width="21.875" style="1634" customWidth="1"/>
    <col min="3368" max="3368" width="6.25" style="1634" customWidth="1"/>
    <col min="3369" max="3369" width="38.125" style="1634" customWidth="1"/>
    <col min="3370" max="3370" width="16.875" style="1634" customWidth="1"/>
    <col min="3371" max="3372" width="20.125" style="1634" customWidth="1"/>
    <col min="3373" max="3373" width="7.875" style="1634" customWidth="1"/>
    <col min="3374" max="3584" width="9" style="1634"/>
    <col min="3585" max="3585" width="62" style="1634" customWidth="1"/>
    <col min="3586" max="3586" width="7.875" style="1634" customWidth="1"/>
    <col min="3587" max="3587" width="13.875" style="1634" customWidth="1"/>
    <col min="3588" max="3588" width="6.25" style="1634" customWidth="1"/>
    <col min="3589" max="3589" width="4.625" style="1634" customWidth="1"/>
    <col min="3590" max="3590" width="62" style="1634" customWidth="1"/>
    <col min="3591" max="3591" width="7.875" style="1634" customWidth="1"/>
    <col min="3592" max="3592" width="37" style="1634" customWidth="1"/>
    <col min="3593" max="3593" width="29.375" style="1634" customWidth="1"/>
    <col min="3594" max="3595" width="13.875" style="1634" customWidth="1"/>
    <col min="3596" max="3596" width="19.125" style="1634" customWidth="1"/>
    <col min="3597" max="3597" width="7.875" style="1634" customWidth="1"/>
    <col min="3598" max="3599" width="11.25" style="1634" customWidth="1"/>
    <col min="3600" max="3600" width="10" style="1634" customWidth="1"/>
    <col min="3601" max="3602" width="15.5" style="1634" customWidth="1"/>
    <col min="3603" max="3603" width="12.875" style="1634" customWidth="1"/>
    <col min="3604" max="3605" width="11.25" style="1634" customWidth="1"/>
    <col min="3606" max="3606" width="17.875" style="1634" customWidth="1"/>
    <col min="3607" max="3607" width="7.875" style="1634" customWidth="1"/>
    <col min="3608" max="3611" width="9" style="1634" customWidth="1"/>
    <col min="3612" max="3612" width="26.625" style="1634" customWidth="1"/>
    <col min="3613" max="3613" width="7.875" style="1634" customWidth="1"/>
    <col min="3614" max="3614" width="34.375" style="1634" customWidth="1"/>
    <col min="3615" max="3617" width="10.625" style="1634" customWidth="1"/>
    <col min="3618" max="3619" width="16" style="1634" customWidth="1"/>
    <col min="3620" max="3621" width="14.375" style="1634" customWidth="1"/>
    <col min="3622" max="3623" width="21.875" style="1634" customWidth="1"/>
    <col min="3624" max="3624" width="6.25" style="1634" customWidth="1"/>
    <col min="3625" max="3625" width="38.125" style="1634" customWidth="1"/>
    <col min="3626" max="3626" width="16.875" style="1634" customWidth="1"/>
    <col min="3627" max="3628" width="20.125" style="1634" customWidth="1"/>
    <col min="3629" max="3629" width="7.875" style="1634" customWidth="1"/>
    <col min="3630" max="3840" width="9" style="1634"/>
    <col min="3841" max="3841" width="62" style="1634" customWidth="1"/>
    <col min="3842" max="3842" width="7.875" style="1634" customWidth="1"/>
    <col min="3843" max="3843" width="13.875" style="1634" customWidth="1"/>
    <col min="3844" max="3844" width="6.25" style="1634" customWidth="1"/>
    <col min="3845" max="3845" width="4.625" style="1634" customWidth="1"/>
    <col min="3846" max="3846" width="62" style="1634" customWidth="1"/>
    <col min="3847" max="3847" width="7.875" style="1634" customWidth="1"/>
    <col min="3848" max="3848" width="37" style="1634" customWidth="1"/>
    <col min="3849" max="3849" width="29.375" style="1634" customWidth="1"/>
    <col min="3850" max="3851" width="13.875" style="1634" customWidth="1"/>
    <col min="3852" max="3852" width="19.125" style="1634" customWidth="1"/>
    <col min="3853" max="3853" width="7.875" style="1634" customWidth="1"/>
    <col min="3854" max="3855" width="11.25" style="1634" customWidth="1"/>
    <col min="3856" max="3856" width="10" style="1634" customWidth="1"/>
    <col min="3857" max="3858" width="15.5" style="1634" customWidth="1"/>
    <col min="3859" max="3859" width="12.875" style="1634" customWidth="1"/>
    <col min="3860" max="3861" width="11.25" style="1634" customWidth="1"/>
    <col min="3862" max="3862" width="17.875" style="1634" customWidth="1"/>
    <col min="3863" max="3863" width="7.875" style="1634" customWidth="1"/>
    <col min="3864" max="3867" width="9" style="1634" customWidth="1"/>
    <col min="3868" max="3868" width="26.625" style="1634" customWidth="1"/>
    <col min="3869" max="3869" width="7.875" style="1634" customWidth="1"/>
    <col min="3870" max="3870" width="34.375" style="1634" customWidth="1"/>
    <col min="3871" max="3873" width="10.625" style="1634" customWidth="1"/>
    <col min="3874" max="3875" width="16" style="1634" customWidth="1"/>
    <col min="3876" max="3877" width="14.375" style="1634" customWidth="1"/>
    <col min="3878" max="3879" width="21.875" style="1634" customWidth="1"/>
    <col min="3880" max="3880" width="6.25" style="1634" customWidth="1"/>
    <col min="3881" max="3881" width="38.125" style="1634" customWidth="1"/>
    <col min="3882" max="3882" width="16.875" style="1634" customWidth="1"/>
    <col min="3883" max="3884" width="20.125" style="1634" customWidth="1"/>
    <col min="3885" max="3885" width="7.875" style="1634" customWidth="1"/>
    <col min="3886" max="4096" width="9" style="1634"/>
    <col min="4097" max="4097" width="62" style="1634" customWidth="1"/>
    <col min="4098" max="4098" width="7.875" style="1634" customWidth="1"/>
    <col min="4099" max="4099" width="13.875" style="1634" customWidth="1"/>
    <col min="4100" max="4100" width="6.25" style="1634" customWidth="1"/>
    <col min="4101" max="4101" width="4.625" style="1634" customWidth="1"/>
    <col min="4102" max="4102" width="62" style="1634" customWidth="1"/>
    <col min="4103" max="4103" width="7.875" style="1634" customWidth="1"/>
    <col min="4104" max="4104" width="37" style="1634" customWidth="1"/>
    <col min="4105" max="4105" width="29.375" style="1634" customWidth="1"/>
    <col min="4106" max="4107" width="13.875" style="1634" customWidth="1"/>
    <col min="4108" max="4108" width="19.125" style="1634" customWidth="1"/>
    <col min="4109" max="4109" width="7.875" style="1634" customWidth="1"/>
    <col min="4110" max="4111" width="11.25" style="1634" customWidth="1"/>
    <col min="4112" max="4112" width="10" style="1634" customWidth="1"/>
    <col min="4113" max="4114" width="15.5" style="1634" customWidth="1"/>
    <col min="4115" max="4115" width="12.875" style="1634" customWidth="1"/>
    <col min="4116" max="4117" width="11.25" style="1634" customWidth="1"/>
    <col min="4118" max="4118" width="17.875" style="1634" customWidth="1"/>
    <col min="4119" max="4119" width="7.875" style="1634" customWidth="1"/>
    <col min="4120" max="4123" width="9" style="1634" customWidth="1"/>
    <col min="4124" max="4124" width="26.625" style="1634" customWidth="1"/>
    <col min="4125" max="4125" width="7.875" style="1634" customWidth="1"/>
    <col min="4126" max="4126" width="34.375" style="1634" customWidth="1"/>
    <col min="4127" max="4129" width="10.625" style="1634" customWidth="1"/>
    <col min="4130" max="4131" width="16" style="1634" customWidth="1"/>
    <col min="4132" max="4133" width="14.375" style="1634" customWidth="1"/>
    <col min="4134" max="4135" width="21.875" style="1634" customWidth="1"/>
    <col min="4136" max="4136" width="6.25" style="1634" customWidth="1"/>
    <col min="4137" max="4137" width="38.125" style="1634" customWidth="1"/>
    <col min="4138" max="4138" width="16.875" style="1634" customWidth="1"/>
    <col min="4139" max="4140" width="20.125" style="1634" customWidth="1"/>
    <col min="4141" max="4141" width="7.875" style="1634" customWidth="1"/>
    <col min="4142" max="4352" width="9" style="1634"/>
    <col min="4353" max="4353" width="62" style="1634" customWidth="1"/>
    <col min="4354" max="4354" width="7.875" style="1634" customWidth="1"/>
    <col min="4355" max="4355" width="13.875" style="1634" customWidth="1"/>
    <col min="4356" max="4356" width="6.25" style="1634" customWidth="1"/>
    <col min="4357" max="4357" width="4.625" style="1634" customWidth="1"/>
    <col min="4358" max="4358" width="62" style="1634" customWidth="1"/>
    <col min="4359" max="4359" width="7.875" style="1634" customWidth="1"/>
    <col min="4360" max="4360" width="37" style="1634" customWidth="1"/>
    <col min="4361" max="4361" width="29.375" style="1634" customWidth="1"/>
    <col min="4362" max="4363" width="13.875" style="1634" customWidth="1"/>
    <col min="4364" max="4364" width="19.125" style="1634" customWidth="1"/>
    <col min="4365" max="4365" width="7.875" style="1634" customWidth="1"/>
    <col min="4366" max="4367" width="11.25" style="1634" customWidth="1"/>
    <col min="4368" max="4368" width="10" style="1634" customWidth="1"/>
    <col min="4369" max="4370" width="15.5" style="1634" customWidth="1"/>
    <col min="4371" max="4371" width="12.875" style="1634" customWidth="1"/>
    <col min="4372" max="4373" width="11.25" style="1634" customWidth="1"/>
    <col min="4374" max="4374" width="17.875" style="1634" customWidth="1"/>
    <col min="4375" max="4375" width="7.875" style="1634" customWidth="1"/>
    <col min="4376" max="4379" width="9" style="1634" customWidth="1"/>
    <col min="4380" max="4380" width="26.625" style="1634" customWidth="1"/>
    <col min="4381" max="4381" width="7.875" style="1634" customWidth="1"/>
    <col min="4382" max="4382" width="34.375" style="1634" customWidth="1"/>
    <col min="4383" max="4385" width="10.625" style="1634" customWidth="1"/>
    <col min="4386" max="4387" width="16" style="1634" customWidth="1"/>
    <col min="4388" max="4389" width="14.375" style="1634" customWidth="1"/>
    <col min="4390" max="4391" width="21.875" style="1634" customWidth="1"/>
    <col min="4392" max="4392" width="6.25" style="1634" customWidth="1"/>
    <col min="4393" max="4393" width="38.125" style="1634" customWidth="1"/>
    <col min="4394" max="4394" width="16.875" style="1634" customWidth="1"/>
    <col min="4395" max="4396" width="20.125" style="1634" customWidth="1"/>
    <col min="4397" max="4397" width="7.875" style="1634" customWidth="1"/>
    <col min="4398" max="4608" width="9" style="1634"/>
    <col min="4609" max="4609" width="62" style="1634" customWidth="1"/>
    <col min="4610" max="4610" width="7.875" style="1634" customWidth="1"/>
    <col min="4611" max="4611" width="13.875" style="1634" customWidth="1"/>
    <col min="4612" max="4612" width="6.25" style="1634" customWidth="1"/>
    <col min="4613" max="4613" width="4.625" style="1634" customWidth="1"/>
    <col min="4614" max="4614" width="62" style="1634" customWidth="1"/>
    <col min="4615" max="4615" width="7.875" style="1634" customWidth="1"/>
    <col min="4616" max="4616" width="37" style="1634" customWidth="1"/>
    <col min="4617" max="4617" width="29.375" style="1634" customWidth="1"/>
    <col min="4618" max="4619" width="13.875" style="1634" customWidth="1"/>
    <col min="4620" max="4620" width="19.125" style="1634" customWidth="1"/>
    <col min="4621" max="4621" width="7.875" style="1634" customWidth="1"/>
    <col min="4622" max="4623" width="11.25" style="1634" customWidth="1"/>
    <col min="4624" max="4624" width="10" style="1634" customWidth="1"/>
    <col min="4625" max="4626" width="15.5" style="1634" customWidth="1"/>
    <col min="4627" max="4627" width="12.875" style="1634" customWidth="1"/>
    <col min="4628" max="4629" width="11.25" style="1634" customWidth="1"/>
    <col min="4630" max="4630" width="17.875" style="1634" customWidth="1"/>
    <col min="4631" max="4631" width="7.875" style="1634" customWidth="1"/>
    <col min="4632" max="4635" width="9" style="1634" customWidth="1"/>
    <col min="4636" max="4636" width="26.625" style="1634" customWidth="1"/>
    <col min="4637" max="4637" width="7.875" style="1634" customWidth="1"/>
    <col min="4638" max="4638" width="34.375" style="1634" customWidth="1"/>
    <col min="4639" max="4641" width="10.625" style="1634" customWidth="1"/>
    <col min="4642" max="4643" width="16" style="1634" customWidth="1"/>
    <col min="4644" max="4645" width="14.375" style="1634" customWidth="1"/>
    <col min="4646" max="4647" width="21.875" style="1634" customWidth="1"/>
    <col min="4648" max="4648" width="6.25" style="1634" customWidth="1"/>
    <col min="4649" max="4649" width="38.125" style="1634" customWidth="1"/>
    <col min="4650" max="4650" width="16.875" style="1634" customWidth="1"/>
    <col min="4651" max="4652" width="20.125" style="1634" customWidth="1"/>
    <col min="4653" max="4653" width="7.875" style="1634" customWidth="1"/>
    <col min="4654" max="4864" width="9" style="1634"/>
    <col min="4865" max="4865" width="62" style="1634" customWidth="1"/>
    <col min="4866" max="4866" width="7.875" style="1634" customWidth="1"/>
    <col min="4867" max="4867" width="13.875" style="1634" customWidth="1"/>
    <col min="4868" max="4868" width="6.25" style="1634" customWidth="1"/>
    <col min="4869" max="4869" width="4.625" style="1634" customWidth="1"/>
    <col min="4870" max="4870" width="62" style="1634" customWidth="1"/>
    <col min="4871" max="4871" width="7.875" style="1634" customWidth="1"/>
    <col min="4872" max="4872" width="37" style="1634" customWidth="1"/>
    <col min="4873" max="4873" width="29.375" style="1634" customWidth="1"/>
    <col min="4874" max="4875" width="13.875" style="1634" customWidth="1"/>
    <col min="4876" max="4876" width="19.125" style="1634" customWidth="1"/>
    <col min="4877" max="4877" width="7.875" style="1634" customWidth="1"/>
    <col min="4878" max="4879" width="11.25" style="1634" customWidth="1"/>
    <col min="4880" max="4880" width="10" style="1634" customWidth="1"/>
    <col min="4881" max="4882" width="15.5" style="1634" customWidth="1"/>
    <col min="4883" max="4883" width="12.875" style="1634" customWidth="1"/>
    <col min="4884" max="4885" width="11.25" style="1634" customWidth="1"/>
    <col min="4886" max="4886" width="17.875" style="1634" customWidth="1"/>
    <col min="4887" max="4887" width="7.875" style="1634" customWidth="1"/>
    <col min="4888" max="4891" width="9" style="1634" customWidth="1"/>
    <col min="4892" max="4892" width="26.625" style="1634" customWidth="1"/>
    <col min="4893" max="4893" width="7.875" style="1634" customWidth="1"/>
    <col min="4894" max="4894" width="34.375" style="1634" customWidth="1"/>
    <col min="4895" max="4897" width="10.625" style="1634" customWidth="1"/>
    <col min="4898" max="4899" width="16" style="1634" customWidth="1"/>
    <col min="4900" max="4901" width="14.375" style="1634" customWidth="1"/>
    <col min="4902" max="4903" width="21.875" style="1634" customWidth="1"/>
    <col min="4904" max="4904" width="6.25" style="1634" customWidth="1"/>
    <col min="4905" max="4905" width="38.125" style="1634" customWidth="1"/>
    <col min="4906" max="4906" width="16.875" style="1634" customWidth="1"/>
    <col min="4907" max="4908" width="20.125" style="1634" customWidth="1"/>
    <col min="4909" max="4909" width="7.875" style="1634" customWidth="1"/>
    <col min="4910" max="5120" width="9" style="1634"/>
    <col min="5121" max="5121" width="62" style="1634" customWidth="1"/>
    <col min="5122" max="5122" width="7.875" style="1634" customWidth="1"/>
    <col min="5123" max="5123" width="13.875" style="1634" customWidth="1"/>
    <col min="5124" max="5124" width="6.25" style="1634" customWidth="1"/>
    <col min="5125" max="5125" width="4.625" style="1634" customWidth="1"/>
    <col min="5126" max="5126" width="62" style="1634" customWidth="1"/>
    <col min="5127" max="5127" width="7.875" style="1634" customWidth="1"/>
    <col min="5128" max="5128" width="37" style="1634" customWidth="1"/>
    <col min="5129" max="5129" width="29.375" style="1634" customWidth="1"/>
    <col min="5130" max="5131" width="13.875" style="1634" customWidth="1"/>
    <col min="5132" max="5132" width="19.125" style="1634" customWidth="1"/>
    <col min="5133" max="5133" width="7.875" style="1634" customWidth="1"/>
    <col min="5134" max="5135" width="11.25" style="1634" customWidth="1"/>
    <col min="5136" max="5136" width="10" style="1634" customWidth="1"/>
    <col min="5137" max="5138" width="15.5" style="1634" customWidth="1"/>
    <col min="5139" max="5139" width="12.875" style="1634" customWidth="1"/>
    <col min="5140" max="5141" width="11.25" style="1634" customWidth="1"/>
    <col min="5142" max="5142" width="17.875" style="1634" customWidth="1"/>
    <col min="5143" max="5143" width="7.875" style="1634" customWidth="1"/>
    <col min="5144" max="5147" width="9" style="1634" customWidth="1"/>
    <col min="5148" max="5148" width="26.625" style="1634" customWidth="1"/>
    <col min="5149" max="5149" width="7.875" style="1634" customWidth="1"/>
    <col min="5150" max="5150" width="34.375" style="1634" customWidth="1"/>
    <col min="5151" max="5153" width="10.625" style="1634" customWidth="1"/>
    <col min="5154" max="5155" width="16" style="1634" customWidth="1"/>
    <col min="5156" max="5157" width="14.375" style="1634" customWidth="1"/>
    <col min="5158" max="5159" width="21.875" style="1634" customWidth="1"/>
    <col min="5160" max="5160" width="6.25" style="1634" customWidth="1"/>
    <col min="5161" max="5161" width="38.125" style="1634" customWidth="1"/>
    <col min="5162" max="5162" width="16.875" style="1634" customWidth="1"/>
    <col min="5163" max="5164" width="20.125" style="1634" customWidth="1"/>
    <col min="5165" max="5165" width="7.875" style="1634" customWidth="1"/>
    <col min="5166" max="5376" width="9" style="1634"/>
    <col min="5377" max="5377" width="62" style="1634" customWidth="1"/>
    <col min="5378" max="5378" width="7.875" style="1634" customWidth="1"/>
    <col min="5379" max="5379" width="13.875" style="1634" customWidth="1"/>
    <col min="5380" max="5380" width="6.25" style="1634" customWidth="1"/>
    <col min="5381" max="5381" width="4.625" style="1634" customWidth="1"/>
    <col min="5382" max="5382" width="62" style="1634" customWidth="1"/>
    <col min="5383" max="5383" width="7.875" style="1634" customWidth="1"/>
    <col min="5384" max="5384" width="37" style="1634" customWidth="1"/>
    <col min="5385" max="5385" width="29.375" style="1634" customWidth="1"/>
    <col min="5386" max="5387" width="13.875" style="1634" customWidth="1"/>
    <col min="5388" max="5388" width="19.125" style="1634" customWidth="1"/>
    <col min="5389" max="5389" width="7.875" style="1634" customWidth="1"/>
    <col min="5390" max="5391" width="11.25" style="1634" customWidth="1"/>
    <col min="5392" max="5392" width="10" style="1634" customWidth="1"/>
    <col min="5393" max="5394" width="15.5" style="1634" customWidth="1"/>
    <col min="5395" max="5395" width="12.875" style="1634" customWidth="1"/>
    <col min="5396" max="5397" width="11.25" style="1634" customWidth="1"/>
    <col min="5398" max="5398" width="17.875" style="1634" customWidth="1"/>
    <col min="5399" max="5399" width="7.875" style="1634" customWidth="1"/>
    <col min="5400" max="5403" width="9" style="1634" customWidth="1"/>
    <col min="5404" max="5404" width="26.625" style="1634" customWidth="1"/>
    <col min="5405" max="5405" width="7.875" style="1634" customWidth="1"/>
    <col min="5406" max="5406" width="34.375" style="1634" customWidth="1"/>
    <col min="5407" max="5409" width="10.625" style="1634" customWidth="1"/>
    <col min="5410" max="5411" width="16" style="1634" customWidth="1"/>
    <col min="5412" max="5413" width="14.375" style="1634" customWidth="1"/>
    <col min="5414" max="5415" width="21.875" style="1634" customWidth="1"/>
    <col min="5416" max="5416" width="6.25" style="1634" customWidth="1"/>
    <col min="5417" max="5417" width="38.125" style="1634" customWidth="1"/>
    <col min="5418" max="5418" width="16.875" style="1634" customWidth="1"/>
    <col min="5419" max="5420" width="20.125" style="1634" customWidth="1"/>
    <col min="5421" max="5421" width="7.875" style="1634" customWidth="1"/>
    <col min="5422" max="5632" width="9" style="1634"/>
    <col min="5633" max="5633" width="62" style="1634" customWidth="1"/>
    <col min="5634" max="5634" width="7.875" style="1634" customWidth="1"/>
    <col min="5635" max="5635" width="13.875" style="1634" customWidth="1"/>
    <col min="5636" max="5636" width="6.25" style="1634" customWidth="1"/>
    <col min="5637" max="5637" width="4.625" style="1634" customWidth="1"/>
    <col min="5638" max="5638" width="62" style="1634" customWidth="1"/>
    <col min="5639" max="5639" width="7.875" style="1634" customWidth="1"/>
    <col min="5640" max="5640" width="37" style="1634" customWidth="1"/>
    <col min="5641" max="5641" width="29.375" style="1634" customWidth="1"/>
    <col min="5642" max="5643" width="13.875" style="1634" customWidth="1"/>
    <col min="5644" max="5644" width="19.125" style="1634" customWidth="1"/>
    <col min="5645" max="5645" width="7.875" style="1634" customWidth="1"/>
    <col min="5646" max="5647" width="11.25" style="1634" customWidth="1"/>
    <col min="5648" max="5648" width="10" style="1634" customWidth="1"/>
    <col min="5649" max="5650" width="15.5" style="1634" customWidth="1"/>
    <col min="5651" max="5651" width="12.875" style="1634" customWidth="1"/>
    <col min="5652" max="5653" width="11.25" style="1634" customWidth="1"/>
    <col min="5654" max="5654" width="17.875" style="1634" customWidth="1"/>
    <col min="5655" max="5655" width="7.875" style="1634" customWidth="1"/>
    <col min="5656" max="5659" width="9" style="1634" customWidth="1"/>
    <col min="5660" max="5660" width="26.625" style="1634" customWidth="1"/>
    <col min="5661" max="5661" width="7.875" style="1634" customWidth="1"/>
    <col min="5662" max="5662" width="34.375" style="1634" customWidth="1"/>
    <col min="5663" max="5665" width="10.625" style="1634" customWidth="1"/>
    <col min="5666" max="5667" width="16" style="1634" customWidth="1"/>
    <col min="5668" max="5669" width="14.375" style="1634" customWidth="1"/>
    <col min="5670" max="5671" width="21.875" style="1634" customWidth="1"/>
    <col min="5672" max="5672" width="6.25" style="1634" customWidth="1"/>
    <col min="5673" max="5673" width="38.125" style="1634" customWidth="1"/>
    <col min="5674" max="5674" width="16.875" style="1634" customWidth="1"/>
    <col min="5675" max="5676" width="20.125" style="1634" customWidth="1"/>
    <col min="5677" max="5677" width="7.875" style="1634" customWidth="1"/>
    <col min="5678" max="5888" width="9" style="1634"/>
    <col min="5889" max="5889" width="62" style="1634" customWidth="1"/>
    <col min="5890" max="5890" width="7.875" style="1634" customWidth="1"/>
    <col min="5891" max="5891" width="13.875" style="1634" customWidth="1"/>
    <col min="5892" max="5892" width="6.25" style="1634" customWidth="1"/>
    <col min="5893" max="5893" width="4.625" style="1634" customWidth="1"/>
    <col min="5894" max="5894" width="62" style="1634" customWidth="1"/>
    <col min="5895" max="5895" width="7.875" style="1634" customWidth="1"/>
    <col min="5896" max="5896" width="37" style="1634" customWidth="1"/>
    <col min="5897" max="5897" width="29.375" style="1634" customWidth="1"/>
    <col min="5898" max="5899" width="13.875" style="1634" customWidth="1"/>
    <col min="5900" max="5900" width="19.125" style="1634" customWidth="1"/>
    <col min="5901" max="5901" width="7.875" style="1634" customWidth="1"/>
    <col min="5902" max="5903" width="11.25" style="1634" customWidth="1"/>
    <col min="5904" max="5904" width="10" style="1634" customWidth="1"/>
    <col min="5905" max="5906" width="15.5" style="1634" customWidth="1"/>
    <col min="5907" max="5907" width="12.875" style="1634" customWidth="1"/>
    <col min="5908" max="5909" width="11.25" style="1634" customWidth="1"/>
    <col min="5910" max="5910" width="17.875" style="1634" customWidth="1"/>
    <col min="5911" max="5911" width="7.875" style="1634" customWidth="1"/>
    <col min="5912" max="5915" width="9" style="1634" customWidth="1"/>
    <col min="5916" max="5916" width="26.625" style="1634" customWidth="1"/>
    <col min="5917" max="5917" width="7.875" style="1634" customWidth="1"/>
    <col min="5918" max="5918" width="34.375" style="1634" customWidth="1"/>
    <col min="5919" max="5921" width="10.625" style="1634" customWidth="1"/>
    <col min="5922" max="5923" width="16" style="1634" customWidth="1"/>
    <col min="5924" max="5925" width="14.375" style="1634" customWidth="1"/>
    <col min="5926" max="5927" width="21.875" style="1634" customWidth="1"/>
    <col min="5928" max="5928" width="6.25" style="1634" customWidth="1"/>
    <col min="5929" max="5929" width="38.125" style="1634" customWidth="1"/>
    <col min="5930" max="5930" width="16.875" style="1634" customWidth="1"/>
    <col min="5931" max="5932" width="20.125" style="1634" customWidth="1"/>
    <col min="5933" max="5933" width="7.875" style="1634" customWidth="1"/>
    <col min="5934" max="6144" width="9" style="1634"/>
    <col min="6145" max="6145" width="62" style="1634" customWidth="1"/>
    <col min="6146" max="6146" width="7.875" style="1634" customWidth="1"/>
    <col min="6147" max="6147" width="13.875" style="1634" customWidth="1"/>
    <col min="6148" max="6148" width="6.25" style="1634" customWidth="1"/>
    <col min="6149" max="6149" width="4.625" style="1634" customWidth="1"/>
    <col min="6150" max="6150" width="62" style="1634" customWidth="1"/>
    <col min="6151" max="6151" width="7.875" style="1634" customWidth="1"/>
    <col min="6152" max="6152" width="37" style="1634" customWidth="1"/>
    <col min="6153" max="6153" width="29.375" style="1634" customWidth="1"/>
    <col min="6154" max="6155" width="13.875" style="1634" customWidth="1"/>
    <col min="6156" max="6156" width="19.125" style="1634" customWidth="1"/>
    <col min="6157" max="6157" width="7.875" style="1634" customWidth="1"/>
    <col min="6158" max="6159" width="11.25" style="1634" customWidth="1"/>
    <col min="6160" max="6160" width="10" style="1634" customWidth="1"/>
    <col min="6161" max="6162" width="15.5" style="1634" customWidth="1"/>
    <col min="6163" max="6163" width="12.875" style="1634" customWidth="1"/>
    <col min="6164" max="6165" width="11.25" style="1634" customWidth="1"/>
    <col min="6166" max="6166" width="17.875" style="1634" customWidth="1"/>
    <col min="6167" max="6167" width="7.875" style="1634" customWidth="1"/>
    <col min="6168" max="6171" width="9" style="1634" customWidth="1"/>
    <col min="6172" max="6172" width="26.625" style="1634" customWidth="1"/>
    <col min="6173" max="6173" width="7.875" style="1634" customWidth="1"/>
    <col min="6174" max="6174" width="34.375" style="1634" customWidth="1"/>
    <col min="6175" max="6177" width="10.625" style="1634" customWidth="1"/>
    <col min="6178" max="6179" width="16" style="1634" customWidth="1"/>
    <col min="6180" max="6181" width="14.375" style="1634" customWidth="1"/>
    <col min="6182" max="6183" width="21.875" style="1634" customWidth="1"/>
    <col min="6184" max="6184" width="6.25" style="1634" customWidth="1"/>
    <col min="6185" max="6185" width="38.125" style="1634" customWidth="1"/>
    <col min="6186" max="6186" width="16.875" style="1634" customWidth="1"/>
    <col min="6187" max="6188" width="20.125" style="1634" customWidth="1"/>
    <col min="6189" max="6189" width="7.875" style="1634" customWidth="1"/>
    <col min="6190" max="6400" width="9" style="1634"/>
    <col min="6401" max="6401" width="62" style="1634" customWidth="1"/>
    <col min="6402" max="6402" width="7.875" style="1634" customWidth="1"/>
    <col min="6403" max="6403" width="13.875" style="1634" customWidth="1"/>
    <col min="6404" max="6404" width="6.25" style="1634" customWidth="1"/>
    <col min="6405" max="6405" width="4.625" style="1634" customWidth="1"/>
    <col min="6406" max="6406" width="62" style="1634" customWidth="1"/>
    <col min="6407" max="6407" width="7.875" style="1634" customWidth="1"/>
    <col min="6408" max="6408" width="37" style="1634" customWidth="1"/>
    <col min="6409" max="6409" width="29.375" style="1634" customWidth="1"/>
    <col min="6410" max="6411" width="13.875" style="1634" customWidth="1"/>
    <col min="6412" max="6412" width="19.125" style="1634" customWidth="1"/>
    <col min="6413" max="6413" width="7.875" style="1634" customWidth="1"/>
    <col min="6414" max="6415" width="11.25" style="1634" customWidth="1"/>
    <col min="6416" max="6416" width="10" style="1634" customWidth="1"/>
    <col min="6417" max="6418" width="15.5" style="1634" customWidth="1"/>
    <col min="6419" max="6419" width="12.875" style="1634" customWidth="1"/>
    <col min="6420" max="6421" width="11.25" style="1634" customWidth="1"/>
    <col min="6422" max="6422" width="17.875" style="1634" customWidth="1"/>
    <col min="6423" max="6423" width="7.875" style="1634" customWidth="1"/>
    <col min="6424" max="6427" width="9" style="1634" customWidth="1"/>
    <col min="6428" max="6428" width="26.625" style="1634" customWidth="1"/>
    <col min="6429" max="6429" width="7.875" style="1634" customWidth="1"/>
    <col min="6430" max="6430" width="34.375" style="1634" customWidth="1"/>
    <col min="6431" max="6433" width="10.625" style="1634" customWidth="1"/>
    <col min="6434" max="6435" width="16" style="1634" customWidth="1"/>
    <col min="6436" max="6437" width="14.375" style="1634" customWidth="1"/>
    <col min="6438" max="6439" width="21.875" style="1634" customWidth="1"/>
    <col min="6440" max="6440" width="6.25" style="1634" customWidth="1"/>
    <col min="6441" max="6441" width="38.125" style="1634" customWidth="1"/>
    <col min="6442" max="6442" width="16.875" style="1634" customWidth="1"/>
    <col min="6443" max="6444" width="20.125" style="1634" customWidth="1"/>
    <col min="6445" max="6445" width="7.875" style="1634" customWidth="1"/>
    <col min="6446" max="6656" width="9" style="1634"/>
    <col min="6657" max="6657" width="62" style="1634" customWidth="1"/>
    <col min="6658" max="6658" width="7.875" style="1634" customWidth="1"/>
    <col min="6659" max="6659" width="13.875" style="1634" customWidth="1"/>
    <col min="6660" max="6660" width="6.25" style="1634" customWidth="1"/>
    <col min="6661" max="6661" width="4.625" style="1634" customWidth="1"/>
    <col min="6662" max="6662" width="62" style="1634" customWidth="1"/>
    <col min="6663" max="6663" width="7.875" style="1634" customWidth="1"/>
    <col min="6664" max="6664" width="37" style="1634" customWidth="1"/>
    <col min="6665" max="6665" width="29.375" style="1634" customWidth="1"/>
    <col min="6666" max="6667" width="13.875" style="1634" customWidth="1"/>
    <col min="6668" max="6668" width="19.125" style="1634" customWidth="1"/>
    <col min="6669" max="6669" width="7.875" style="1634" customWidth="1"/>
    <col min="6670" max="6671" width="11.25" style="1634" customWidth="1"/>
    <col min="6672" max="6672" width="10" style="1634" customWidth="1"/>
    <col min="6673" max="6674" width="15.5" style="1634" customWidth="1"/>
    <col min="6675" max="6675" width="12.875" style="1634" customWidth="1"/>
    <col min="6676" max="6677" width="11.25" style="1634" customWidth="1"/>
    <col min="6678" max="6678" width="17.875" style="1634" customWidth="1"/>
    <col min="6679" max="6679" width="7.875" style="1634" customWidth="1"/>
    <col min="6680" max="6683" width="9" style="1634" customWidth="1"/>
    <col min="6684" max="6684" width="26.625" style="1634" customWidth="1"/>
    <col min="6685" max="6685" width="7.875" style="1634" customWidth="1"/>
    <col min="6686" max="6686" width="34.375" style="1634" customWidth="1"/>
    <col min="6687" max="6689" width="10.625" style="1634" customWidth="1"/>
    <col min="6690" max="6691" width="16" style="1634" customWidth="1"/>
    <col min="6692" max="6693" width="14.375" style="1634" customWidth="1"/>
    <col min="6694" max="6695" width="21.875" style="1634" customWidth="1"/>
    <col min="6696" max="6696" width="6.25" style="1634" customWidth="1"/>
    <col min="6697" max="6697" width="38.125" style="1634" customWidth="1"/>
    <col min="6698" max="6698" width="16.875" style="1634" customWidth="1"/>
    <col min="6699" max="6700" width="20.125" style="1634" customWidth="1"/>
    <col min="6701" max="6701" width="7.875" style="1634" customWidth="1"/>
    <col min="6702" max="6912" width="9" style="1634"/>
    <col min="6913" max="6913" width="62" style="1634" customWidth="1"/>
    <col min="6914" max="6914" width="7.875" style="1634" customWidth="1"/>
    <col min="6915" max="6915" width="13.875" style="1634" customWidth="1"/>
    <col min="6916" max="6916" width="6.25" style="1634" customWidth="1"/>
    <col min="6917" max="6917" width="4.625" style="1634" customWidth="1"/>
    <col min="6918" max="6918" width="62" style="1634" customWidth="1"/>
    <col min="6919" max="6919" width="7.875" style="1634" customWidth="1"/>
    <col min="6920" max="6920" width="37" style="1634" customWidth="1"/>
    <col min="6921" max="6921" width="29.375" style="1634" customWidth="1"/>
    <col min="6922" max="6923" width="13.875" style="1634" customWidth="1"/>
    <col min="6924" max="6924" width="19.125" style="1634" customWidth="1"/>
    <col min="6925" max="6925" width="7.875" style="1634" customWidth="1"/>
    <col min="6926" max="6927" width="11.25" style="1634" customWidth="1"/>
    <col min="6928" max="6928" width="10" style="1634" customWidth="1"/>
    <col min="6929" max="6930" width="15.5" style="1634" customWidth="1"/>
    <col min="6931" max="6931" width="12.875" style="1634" customWidth="1"/>
    <col min="6932" max="6933" width="11.25" style="1634" customWidth="1"/>
    <col min="6934" max="6934" width="17.875" style="1634" customWidth="1"/>
    <col min="6935" max="6935" width="7.875" style="1634" customWidth="1"/>
    <col min="6936" max="6939" width="9" style="1634" customWidth="1"/>
    <col min="6940" max="6940" width="26.625" style="1634" customWidth="1"/>
    <col min="6941" max="6941" width="7.875" style="1634" customWidth="1"/>
    <col min="6942" max="6942" width="34.375" style="1634" customWidth="1"/>
    <col min="6943" max="6945" width="10.625" style="1634" customWidth="1"/>
    <col min="6946" max="6947" width="16" style="1634" customWidth="1"/>
    <col min="6948" max="6949" width="14.375" style="1634" customWidth="1"/>
    <col min="6950" max="6951" width="21.875" style="1634" customWidth="1"/>
    <col min="6952" max="6952" width="6.25" style="1634" customWidth="1"/>
    <col min="6953" max="6953" width="38.125" style="1634" customWidth="1"/>
    <col min="6954" max="6954" width="16.875" style="1634" customWidth="1"/>
    <col min="6955" max="6956" width="20.125" style="1634" customWidth="1"/>
    <col min="6957" max="6957" width="7.875" style="1634" customWidth="1"/>
    <col min="6958" max="7168" width="9" style="1634"/>
    <col min="7169" max="7169" width="62" style="1634" customWidth="1"/>
    <col min="7170" max="7170" width="7.875" style="1634" customWidth="1"/>
    <col min="7171" max="7171" width="13.875" style="1634" customWidth="1"/>
    <col min="7172" max="7172" width="6.25" style="1634" customWidth="1"/>
    <col min="7173" max="7173" width="4.625" style="1634" customWidth="1"/>
    <col min="7174" max="7174" width="62" style="1634" customWidth="1"/>
    <col min="7175" max="7175" width="7.875" style="1634" customWidth="1"/>
    <col min="7176" max="7176" width="37" style="1634" customWidth="1"/>
    <col min="7177" max="7177" width="29.375" style="1634" customWidth="1"/>
    <col min="7178" max="7179" width="13.875" style="1634" customWidth="1"/>
    <col min="7180" max="7180" width="19.125" style="1634" customWidth="1"/>
    <col min="7181" max="7181" width="7.875" style="1634" customWidth="1"/>
    <col min="7182" max="7183" width="11.25" style="1634" customWidth="1"/>
    <col min="7184" max="7184" width="10" style="1634" customWidth="1"/>
    <col min="7185" max="7186" width="15.5" style="1634" customWidth="1"/>
    <col min="7187" max="7187" width="12.875" style="1634" customWidth="1"/>
    <col min="7188" max="7189" width="11.25" style="1634" customWidth="1"/>
    <col min="7190" max="7190" width="17.875" style="1634" customWidth="1"/>
    <col min="7191" max="7191" width="7.875" style="1634" customWidth="1"/>
    <col min="7192" max="7195" width="9" style="1634" customWidth="1"/>
    <col min="7196" max="7196" width="26.625" style="1634" customWidth="1"/>
    <col min="7197" max="7197" width="7.875" style="1634" customWidth="1"/>
    <col min="7198" max="7198" width="34.375" style="1634" customWidth="1"/>
    <col min="7199" max="7201" width="10.625" style="1634" customWidth="1"/>
    <col min="7202" max="7203" width="16" style="1634" customWidth="1"/>
    <col min="7204" max="7205" width="14.375" style="1634" customWidth="1"/>
    <col min="7206" max="7207" width="21.875" style="1634" customWidth="1"/>
    <col min="7208" max="7208" width="6.25" style="1634" customWidth="1"/>
    <col min="7209" max="7209" width="38.125" style="1634" customWidth="1"/>
    <col min="7210" max="7210" width="16.875" style="1634" customWidth="1"/>
    <col min="7211" max="7212" width="20.125" style="1634" customWidth="1"/>
    <col min="7213" max="7213" width="7.875" style="1634" customWidth="1"/>
    <col min="7214" max="7424" width="9" style="1634"/>
    <col min="7425" max="7425" width="62" style="1634" customWidth="1"/>
    <col min="7426" max="7426" width="7.875" style="1634" customWidth="1"/>
    <col min="7427" max="7427" width="13.875" style="1634" customWidth="1"/>
    <col min="7428" max="7428" width="6.25" style="1634" customWidth="1"/>
    <col min="7429" max="7429" width="4.625" style="1634" customWidth="1"/>
    <col min="7430" max="7430" width="62" style="1634" customWidth="1"/>
    <col min="7431" max="7431" width="7.875" style="1634" customWidth="1"/>
    <col min="7432" max="7432" width="37" style="1634" customWidth="1"/>
    <col min="7433" max="7433" width="29.375" style="1634" customWidth="1"/>
    <col min="7434" max="7435" width="13.875" style="1634" customWidth="1"/>
    <col min="7436" max="7436" width="19.125" style="1634" customWidth="1"/>
    <col min="7437" max="7437" width="7.875" style="1634" customWidth="1"/>
    <col min="7438" max="7439" width="11.25" style="1634" customWidth="1"/>
    <col min="7440" max="7440" width="10" style="1634" customWidth="1"/>
    <col min="7441" max="7442" width="15.5" style="1634" customWidth="1"/>
    <col min="7443" max="7443" width="12.875" style="1634" customWidth="1"/>
    <col min="7444" max="7445" width="11.25" style="1634" customWidth="1"/>
    <col min="7446" max="7446" width="17.875" style="1634" customWidth="1"/>
    <col min="7447" max="7447" width="7.875" style="1634" customWidth="1"/>
    <col min="7448" max="7451" width="9" style="1634" customWidth="1"/>
    <col min="7452" max="7452" width="26.625" style="1634" customWidth="1"/>
    <col min="7453" max="7453" width="7.875" style="1634" customWidth="1"/>
    <col min="7454" max="7454" width="34.375" style="1634" customWidth="1"/>
    <col min="7455" max="7457" width="10.625" style="1634" customWidth="1"/>
    <col min="7458" max="7459" width="16" style="1634" customWidth="1"/>
    <col min="7460" max="7461" width="14.375" style="1634" customWidth="1"/>
    <col min="7462" max="7463" width="21.875" style="1634" customWidth="1"/>
    <col min="7464" max="7464" width="6.25" style="1634" customWidth="1"/>
    <col min="7465" max="7465" width="38.125" style="1634" customWidth="1"/>
    <col min="7466" max="7466" width="16.875" style="1634" customWidth="1"/>
    <col min="7467" max="7468" width="20.125" style="1634" customWidth="1"/>
    <col min="7469" max="7469" width="7.875" style="1634" customWidth="1"/>
    <col min="7470" max="7680" width="9" style="1634"/>
    <col min="7681" max="7681" width="62" style="1634" customWidth="1"/>
    <col min="7682" max="7682" width="7.875" style="1634" customWidth="1"/>
    <col min="7683" max="7683" width="13.875" style="1634" customWidth="1"/>
    <col min="7684" max="7684" width="6.25" style="1634" customWidth="1"/>
    <col min="7685" max="7685" width="4.625" style="1634" customWidth="1"/>
    <col min="7686" max="7686" width="62" style="1634" customWidth="1"/>
    <col min="7687" max="7687" width="7.875" style="1634" customWidth="1"/>
    <col min="7688" max="7688" width="37" style="1634" customWidth="1"/>
    <col min="7689" max="7689" width="29.375" style="1634" customWidth="1"/>
    <col min="7690" max="7691" width="13.875" style="1634" customWidth="1"/>
    <col min="7692" max="7692" width="19.125" style="1634" customWidth="1"/>
    <col min="7693" max="7693" width="7.875" style="1634" customWidth="1"/>
    <col min="7694" max="7695" width="11.25" style="1634" customWidth="1"/>
    <col min="7696" max="7696" width="10" style="1634" customWidth="1"/>
    <col min="7697" max="7698" width="15.5" style="1634" customWidth="1"/>
    <col min="7699" max="7699" width="12.875" style="1634" customWidth="1"/>
    <col min="7700" max="7701" width="11.25" style="1634" customWidth="1"/>
    <col min="7702" max="7702" width="17.875" style="1634" customWidth="1"/>
    <col min="7703" max="7703" width="7.875" style="1634" customWidth="1"/>
    <col min="7704" max="7707" width="9" style="1634" customWidth="1"/>
    <col min="7708" max="7708" width="26.625" style="1634" customWidth="1"/>
    <col min="7709" max="7709" width="7.875" style="1634" customWidth="1"/>
    <col min="7710" max="7710" width="34.375" style="1634" customWidth="1"/>
    <col min="7711" max="7713" width="10.625" style="1634" customWidth="1"/>
    <col min="7714" max="7715" width="16" style="1634" customWidth="1"/>
    <col min="7716" max="7717" width="14.375" style="1634" customWidth="1"/>
    <col min="7718" max="7719" width="21.875" style="1634" customWidth="1"/>
    <col min="7720" max="7720" width="6.25" style="1634" customWidth="1"/>
    <col min="7721" max="7721" width="38.125" style="1634" customWidth="1"/>
    <col min="7722" max="7722" width="16.875" style="1634" customWidth="1"/>
    <col min="7723" max="7724" width="20.125" style="1634" customWidth="1"/>
    <col min="7725" max="7725" width="7.875" style="1634" customWidth="1"/>
    <col min="7726" max="7936" width="9" style="1634"/>
    <col min="7937" max="7937" width="62" style="1634" customWidth="1"/>
    <col min="7938" max="7938" width="7.875" style="1634" customWidth="1"/>
    <col min="7939" max="7939" width="13.875" style="1634" customWidth="1"/>
    <col min="7940" max="7940" width="6.25" style="1634" customWidth="1"/>
    <col min="7941" max="7941" width="4.625" style="1634" customWidth="1"/>
    <col min="7942" max="7942" width="62" style="1634" customWidth="1"/>
    <col min="7943" max="7943" width="7.875" style="1634" customWidth="1"/>
    <col min="7944" max="7944" width="37" style="1634" customWidth="1"/>
    <col min="7945" max="7945" width="29.375" style="1634" customWidth="1"/>
    <col min="7946" max="7947" width="13.875" style="1634" customWidth="1"/>
    <col min="7948" max="7948" width="19.125" style="1634" customWidth="1"/>
    <col min="7949" max="7949" width="7.875" style="1634" customWidth="1"/>
    <col min="7950" max="7951" width="11.25" style="1634" customWidth="1"/>
    <col min="7952" max="7952" width="10" style="1634" customWidth="1"/>
    <col min="7953" max="7954" width="15.5" style="1634" customWidth="1"/>
    <col min="7955" max="7955" width="12.875" style="1634" customWidth="1"/>
    <col min="7956" max="7957" width="11.25" style="1634" customWidth="1"/>
    <col min="7958" max="7958" width="17.875" style="1634" customWidth="1"/>
    <col min="7959" max="7959" width="7.875" style="1634" customWidth="1"/>
    <col min="7960" max="7963" width="9" style="1634" customWidth="1"/>
    <col min="7964" max="7964" width="26.625" style="1634" customWidth="1"/>
    <col min="7965" max="7965" width="7.875" style="1634" customWidth="1"/>
    <col min="7966" max="7966" width="34.375" style="1634" customWidth="1"/>
    <col min="7967" max="7969" width="10.625" style="1634" customWidth="1"/>
    <col min="7970" max="7971" width="16" style="1634" customWidth="1"/>
    <col min="7972" max="7973" width="14.375" style="1634" customWidth="1"/>
    <col min="7974" max="7975" width="21.875" style="1634" customWidth="1"/>
    <col min="7976" max="7976" width="6.25" style="1634" customWidth="1"/>
    <col min="7977" max="7977" width="38.125" style="1634" customWidth="1"/>
    <col min="7978" max="7978" width="16.875" style="1634" customWidth="1"/>
    <col min="7979" max="7980" width="20.125" style="1634" customWidth="1"/>
    <col min="7981" max="7981" width="7.875" style="1634" customWidth="1"/>
    <col min="7982" max="8192" width="9" style="1634"/>
    <col min="8193" max="8193" width="62" style="1634" customWidth="1"/>
    <col min="8194" max="8194" width="7.875" style="1634" customWidth="1"/>
    <col min="8195" max="8195" width="13.875" style="1634" customWidth="1"/>
    <col min="8196" max="8196" width="6.25" style="1634" customWidth="1"/>
    <col min="8197" max="8197" width="4.625" style="1634" customWidth="1"/>
    <col min="8198" max="8198" width="62" style="1634" customWidth="1"/>
    <col min="8199" max="8199" width="7.875" style="1634" customWidth="1"/>
    <col min="8200" max="8200" width="37" style="1634" customWidth="1"/>
    <col min="8201" max="8201" width="29.375" style="1634" customWidth="1"/>
    <col min="8202" max="8203" width="13.875" style="1634" customWidth="1"/>
    <col min="8204" max="8204" width="19.125" style="1634" customWidth="1"/>
    <col min="8205" max="8205" width="7.875" style="1634" customWidth="1"/>
    <col min="8206" max="8207" width="11.25" style="1634" customWidth="1"/>
    <col min="8208" max="8208" width="10" style="1634" customWidth="1"/>
    <col min="8209" max="8210" width="15.5" style="1634" customWidth="1"/>
    <col min="8211" max="8211" width="12.875" style="1634" customWidth="1"/>
    <col min="8212" max="8213" width="11.25" style="1634" customWidth="1"/>
    <col min="8214" max="8214" width="17.875" style="1634" customWidth="1"/>
    <col min="8215" max="8215" width="7.875" style="1634" customWidth="1"/>
    <col min="8216" max="8219" width="9" style="1634" customWidth="1"/>
    <col min="8220" max="8220" width="26.625" style="1634" customWidth="1"/>
    <col min="8221" max="8221" width="7.875" style="1634" customWidth="1"/>
    <col min="8222" max="8222" width="34.375" style="1634" customWidth="1"/>
    <col min="8223" max="8225" width="10.625" style="1634" customWidth="1"/>
    <col min="8226" max="8227" width="16" style="1634" customWidth="1"/>
    <col min="8228" max="8229" width="14.375" style="1634" customWidth="1"/>
    <col min="8230" max="8231" width="21.875" style="1634" customWidth="1"/>
    <col min="8232" max="8232" width="6.25" style="1634" customWidth="1"/>
    <col min="8233" max="8233" width="38.125" style="1634" customWidth="1"/>
    <col min="8234" max="8234" width="16.875" style="1634" customWidth="1"/>
    <col min="8235" max="8236" width="20.125" style="1634" customWidth="1"/>
    <col min="8237" max="8237" width="7.875" style="1634" customWidth="1"/>
    <col min="8238" max="8448" width="9" style="1634"/>
    <col min="8449" max="8449" width="62" style="1634" customWidth="1"/>
    <col min="8450" max="8450" width="7.875" style="1634" customWidth="1"/>
    <col min="8451" max="8451" width="13.875" style="1634" customWidth="1"/>
    <col min="8452" max="8452" width="6.25" style="1634" customWidth="1"/>
    <col min="8453" max="8453" width="4.625" style="1634" customWidth="1"/>
    <col min="8454" max="8454" width="62" style="1634" customWidth="1"/>
    <col min="8455" max="8455" width="7.875" style="1634" customWidth="1"/>
    <col min="8456" max="8456" width="37" style="1634" customWidth="1"/>
    <col min="8457" max="8457" width="29.375" style="1634" customWidth="1"/>
    <col min="8458" max="8459" width="13.875" style="1634" customWidth="1"/>
    <col min="8460" max="8460" width="19.125" style="1634" customWidth="1"/>
    <col min="8461" max="8461" width="7.875" style="1634" customWidth="1"/>
    <col min="8462" max="8463" width="11.25" style="1634" customWidth="1"/>
    <col min="8464" max="8464" width="10" style="1634" customWidth="1"/>
    <col min="8465" max="8466" width="15.5" style="1634" customWidth="1"/>
    <col min="8467" max="8467" width="12.875" style="1634" customWidth="1"/>
    <col min="8468" max="8469" width="11.25" style="1634" customWidth="1"/>
    <col min="8470" max="8470" width="17.875" style="1634" customWidth="1"/>
    <col min="8471" max="8471" width="7.875" style="1634" customWidth="1"/>
    <col min="8472" max="8475" width="9" style="1634" customWidth="1"/>
    <col min="8476" max="8476" width="26.625" style="1634" customWidth="1"/>
    <col min="8477" max="8477" width="7.875" style="1634" customWidth="1"/>
    <col min="8478" max="8478" width="34.375" style="1634" customWidth="1"/>
    <col min="8479" max="8481" width="10.625" style="1634" customWidth="1"/>
    <col min="8482" max="8483" width="16" style="1634" customWidth="1"/>
    <col min="8484" max="8485" width="14.375" style="1634" customWidth="1"/>
    <col min="8486" max="8487" width="21.875" style="1634" customWidth="1"/>
    <col min="8488" max="8488" width="6.25" style="1634" customWidth="1"/>
    <col min="8489" max="8489" width="38.125" style="1634" customWidth="1"/>
    <col min="8490" max="8490" width="16.875" style="1634" customWidth="1"/>
    <col min="8491" max="8492" width="20.125" style="1634" customWidth="1"/>
    <col min="8493" max="8493" width="7.875" style="1634" customWidth="1"/>
    <col min="8494" max="8704" width="9" style="1634"/>
    <col min="8705" max="8705" width="62" style="1634" customWidth="1"/>
    <col min="8706" max="8706" width="7.875" style="1634" customWidth="1"/>
    <col min="8707" max="8707" width="13.875" style="1634" customWidth="1"/>
    <col min="8708" max="8708" width="6.25" style="1634" customWidth="1"/>
    <col min="8709" max="8709" width="4.625" style="1634" customWidth="1"/>
    <col min="8710" max="8710" width="62" style="1634" customWidth="1"/>
    <col min="8711" max="8711" width="7.875" style="1634" customWidth="1"/>
    <col min="8712" max="8712" width="37" style="1634" customWidth="1"/>
    <col min="8713" max="8713" width="29.375" style="1634" customWidth="1"/>
    <col min="8714" max="8715" width="13.875" style="1634" customWidth="1"/>
    <col min="8716" max="8716" width="19.125" style="1634" customWidth="1"/>
    <col min="8717" max="8717" width="7.875" style="1634" customWidth="1"/>
    <col min="8718" max="8719" width="11.25" style="1634" customWidth="1"/>
    <col min="8720" max="8720" width="10" style="1634" customWidth="1"/>
    <col min="8721" max="8722" width="15.5" style="1634" customWidth="1"/>
    <col min="8723" max="8723" width="12.875" style="1634" customWidth="1"/>
    <col min="8724" max="8725" width="11.25" style="1634" customWidth="1"/>
    <col min="8726" max="8726" width="17.875" style="1634" customWidth="1"/>
    <col min="8727" max="8727" width="7.875" style="1634" customWidth="1"/>
    <col min="8728" max="8731" width="9" style="1634" customWidth="1"/>
    <col min="8732" max="8732" width="26.625" style="1634" customWidth="1"/>
    <col min="8733" max="8733" width="7.875" style="1634" customWidth="1"/>
    <col min="8734" max="8734" width="34.375" style="1634" customWidth="1"/>
    <col min="8735" max="8737" width="10.625" style="1634" customWidth="1"/>
    <col min="8738" max="8739" width="16" style="1634" customWidth="1"/>
    <col min="8740" max="8741" width="14.375" style="1634" customWidth="1"/>
    <col min="8742" max="8743" width="21.875" style="1634" customWidth="1"/>
    <col min="8744" max="8744" width="6.25" style="1634" customWidth="1"/>
    <col min="8745" max="8745" width="38.125" style="1634" customWidth="1"/>
    <col min="8746" max="8746" width="16.875" style="1634" customWidth="1"/>
    <col min="8747" max="8748" width="20.125" style="1634" customWidth="1"/>
    <col min="8749" max="8749" width="7.875" style="1634" customWidth="1"/>
    <col min="8750" max="8960" width="9" style="1634"/>
    <col min="8961" max="8961" width="62" style="1634" customWidth="1"/>
    <col min="8962" max="8962" width="7.875" style="1634" customWidth="1"/>
    <col min="8963" max="8963" width="13.875" style="1634" customWidth="1"/>
    <col min="8964" max="8964" width="6.25" style="1634" customWidth="1"/>
    <col min="8965" max="8965" width="4.625" style="1634" customWidth="1"/>
    <col min="8966" max="8966" width="62" style="1634" customWidth="1"/>
    <col min="8967" max="8967" width="7.875" style="1634" customWidth="1"/>
    <col min="8968" max="8968" width="37" style="1634" customWidth="1"/>
    <col min="8969" max="8969" width="29.375" style="1634" customWidth="1"/>
    <col min="8970" max="8971" width="13.875" style="1634" customWidth="1"/>
    <col min="8972" max="8972" width="19.125" style="1634" customWidth="1"/>
    <col min="8973" max="8973" width="7.875" style="1634" customWidth="1"/>
    <col min="8974" max="8975" width="11.25" style="1634" customWidth="1"/>
    <col min="8976" max="8976" width="10" style="1634" customWidth="1"/>
    <col min="8977" max="8978" width="15.5" style="1634" customWidth="1"/>
    <col min="8979" max="8979" width="12.875" style="1634" customWidth="1"/>
    <col min="8980" max="8981" width="11.25" style="1634" customWidth="1"/>
    <col min="8982" max="8982" width="17.875" style="1634" customWidth="1"/>
    <col min="8983" max="8983" width="7.875" style="1634" customWidth="1"/>
    <col min="8984" max="8987" width="9" style="1634" customWidth="1"/>
    <col min="8988" max="8988" width="26.625" style="1634" customWidth="1"/>
    <col min="8989" max="8989" width="7.875" style="1634" customWidth="1"/>
    <col min="8990" max="8990" width="34.375" style="1634" customWidth="1"/>
    <col min="8991" max="8993" width="10.625" style="1634" customWidth="1"/>
    <col min="8994" max="8995" width="16" style="1634" customWidth="1"/>
    <col min="8996" max="8997" width="14.375" style="1634" customWidth="1"/>
    <col min="8998" max="8999" width="21.875" style="1634" customWidth="1"/>
    <col min="9000" max="9000" width="6.25" style="1634" customWidth="1"/>
    <col min="9001" max="9001" width="38.125" style="1634" customWidth="1"/>
    <col min="9002" max="9002" width="16.875" style="1634" customWidth="1"/>
    <col min="9003" max="9004" width="20.125" style="1634" customWidth="1"/>
    <col min="9005" max="9005" width="7.875" style="1634" customWidth="1"/>
    <col min="9006" max="9216" width="9" style="1634"/>
    <col min="9217" max="9217" width="62" style="1634" customWidth="1"/>
    <col min="9218" max="9218" width="7.875" style="1634" customWidth="1"/>
    <col min="9219" max="9219" width="13.875" style="1634" customWidth="1"/>
    <col min="9220" max="9220" width="6.25" style="1634" customWidth="1"/>
    <col min="9221" max="9221" width="4.625" style="1634" customWidth="1"/>
    <col min="9222" max="9222" width="62" style="1634" customWidth="1"/>
    <col min="9223" max="9223" width="7.875" style="1634" customWidth="1"/>
    <col min="9224" max="9224" width="37" style="1634" customWidth="1"/>
    <col min="9225" max="9225" width="29.375" style="1634" customWidth="1"/>
    <col min="9226" max="9227" width="13.875" style="1634" customWidth="1"/>
    <col min="9228" max="9228" width="19.125" style="1634" customWidth="1"/>
    <col min="9229" max="9229" width="7.875" style="1634" customWidth="1"/>
    <col min="9230" max="9231" width="11.25" style="1634" customWidth="1"/>
    <col min="9232" max="9232" width="10" style="1634" customWidth="1"/>
    <col min="9233" max="9234" width="15.5" style="1634" customWidth="1"/>
    <col min="9235" max="9235" width="12.875" style="1634" customWidth="1"/>
    <col min="9236" max="9237" width="11.25" style="1634" customWidth="1"/>
    <col min="9238" max="9238" width="17.875" style="1634" customWidth="1"/>
    <col min="9239" max="9239" width="7.875" style="1634" customWidth="1"/>
    <col min="9240" max="9243" width="9" style="1634" customWidth="1"/>
    <col min="9244" max="9244" width="26.625" style="1634" customWidth="1"/>
    <col min="9245" max="9245" width="7.875" style="1634" customWidth="1"/>
    <col min="9246" max="9246" width="34.375" style="1634" customWidth="1"/>
    <col min="9247" max="9249" width="10.625" style="1634" customWidth="1"/>
    <col min="9250" max="9251" width="16" style="1634" customWidth="1"/>
    <col min="9252" max="9253" width="14.375" style="1634" customWidth="1"/>
    <col min="9254" max="9255" width="21.875" style="1634" customWidth="1"/>
    <col min="9256" max="9256" width="6.25" style="1634" customWidth="1"/>
    <col min="9257" max="9257" width="38.125" style="1634" customWidth="1"/>
    <col min="9258" max="9258" width="16.875" style="1634" customWidth="1"/>
    <col min="9259" max="9260" width="20.125" style="1634" customWidth="1"/>
    <col min="9261" max="9261" width="7.875" style="1634" customWidth="1"/>
    <col min="9262" max="9472" width="9" style="1634"/>
    <col min="9473" max="9473" width="62" style="1634" customWidth="1"/>
    <col min="9474" max="9474" width="7.875" style="1634" customWidth="1"/>
    <col min="9475" max="9475" width="13.875" style="1634" customWidth="1"/>
    <col min="9476" max="9476" width="6.25" style="1634" customWidth="1"/>
    <col min="9477" max="9477" width="4.625" style="1634" customWidth="1"/>
    <col min="9478" max="9478" width="62" style="1634" customWidth="1"/>
    <col min="9479" max="9479" width="7.875" style="1634" customWidth="1"/>
    <col min="9480" max="9480" width="37" style="1634" customWidth="1"/>
    <col min="9481" max="9481" width="29.375" style="1634" customWidth="1"/>
    <col min="9482" max="9483" width="13.875" style="1634" customWidth="1"/>
    <col min="9484" max="9484" width="19.125" style="1634" customWidth="1"/>
    <col min="9485" max="9485" width="7.875" style="1634" customWidth="1"/>
    <col min="9486" max="9487" width="11.25" style="1634" customWidth="1"/>
    <col min="9488" max="9488" width="10" style="1634" customWidth="1"/>
    <col min="9489" max="9490" width="15.5" style="1634" customWidth="1"/>
    <col min="9491" max="9491" width="12.875" style="1634" customWidth="1"/>
    <col min="9492" max="9493" width="11.25" style="1634" customWidth="1"/>
    <col min="9494" max="9494" width="17.875" style="1634" customWidth="1"/>
    <col min="9495" max="9495" width="7.875" style="1634" customWidth="1"/>
    <col min="9496" max="9499" width="9" style="1634" customWidth="1"/>
    <col min="9500" max="9500" width="26.625" style="1634" customWidth="1"/>
    <col min="9501" max="9501" width="7.875" style="1634" customWidth="1"/>
    <col min="9502" max="9502" width="34.375" style="1634" customWidth="1"/>
    <col min="9503" max="9505" width="10.625" style="1634" customWidth="1"/>
    <col min="9506" max="9507" width="16" style="1634" customWidth="1"/>
    <col min="9508" max="9509" width="14.375" style="1634" customWidth="1"/>
    <col min="9510" max="9511" width="21.875" style="1634" customWidth="1"/>
    <col min="9512" max="9512" width="6.25" style="1634" customWidth="1"/>
    <col min="9513" max="9513" width="38.125" style="1634" customWidth="1"/>
    <col min="9514" max="9514" width="16.875" style="1634" customWidth="1"/>
    <col min="9515" max="9516" width="20.125" style="1634" customWidth="1"/>
    <col min="9517" max="9517" width="7.875" style="1634" customWidth="1"/>
    <col min="9518" max="9728" width="9" style="1634"/>
    <col min="9729" max="9729" width="62" style="1634" customWidth="1"/>
    <col min="9730" max="9730" width="7.875" style="1634" customWidth="1"/>
    <col min="9731" max="9731" width="13.875" style="1634" customWidth="1"/>
    <col min="9732" max="9732" width="6.25" style="1634" customWidth="1"/>
    <col min="9733" max="9733" width="4.625" style="1634" customWidth="1"/>
    <col min="9734" max="9734" width="62" style="1634" customWidth="1"/>
    <col min="9735" max="9735" width="7.875" style="1634" customWidth="1"/>
    <col min="9736" max="9736" width="37" style="1634" customWidth="1"/>
    <col min="9737" max="9737" width="29.375" style="1634" customWidth="1"/>
    <col min="9738" max="9739" width="13.875" style="1634" customWidth="1"/>
    <col min="9740" max="9740" width="19.125" style="1634" customWidth="1"/>
    <col min="9741" max="9741" width="7.875" style="1634" customWidth="1"/>
    <col min="9742" max="9743" width="11.25" style="1634" customWidth="1"/>
    <col min="9744" max="9744" width="10" style="1634" customWidth="1"/>
    <col min="9745" max="9746" width="15.5" style="1634" customWidth="1"/>
    <col min="9747" max="9747" width="12.875" style="1634" customWidth="1"/>
    <col min="9748" max="9749" width="11.25" style="1634" customWidth="1"/>
    <col min="9750" max="9750" width="17.875" style="1634" customWidth="1"/>
    <col min="9751" max="9751" width="7.875" style="1634" customWidth="1"/>
    <col min="9752" max="9755" width="9" style="1634" customWidth="1"/>
    <col min="9756" max="9756" width="26.625" style="1634" customWidth="1"/>
    <col min="9757" max="9757" width="7.875" style="1634" customWidth="1"/>
    <col min="9758" max="9758" width="34.375" style="1634" customWidth="1"/>
    <col min="9759" max="9761" width="10.625" style="1634" customWidth="1"/>
    <col min="9762" max="9763" width="16" style="1634" customWidth="1"/>
    <col min="9764" max="9765" width="14.375" style="1634" customWidth="1"/>
    <col min="9766" max="9767" width="21.875" style="1634" customWidth="1"/>
    <col min="9768" max="9768" width="6.25" style="1634" customWidth="1"/>
    <col min="9769" max="9769" width="38.125" style="1634" customWidth="1"/>
    <col min="9770" max="9770" width="16.875" style="1634" customWidth="1"/>
    <col min="9771" max="9772" width="20.125" style="1634" customWidth="1"/>
    <col min="9773" max="9773" width="7.875" style="1634" customWidth="1"/>
    <col min="9774" max="9984" width="9" style="1634"/>
    <col min="9985" max="9985" width="62" style="1634" customWidth="1"/>
    <col min="9986" max="9986" width="7.875" style="1634" customWidth="1"/>
    <col min="9987" max="9987" width="13.875" style="1634" customWidth="1"/>
    <col min="9988" max="9988" width="6.25" style="1634" customWidth="1"/>
    <col min="9989" max="9989" width="4.625" style="1634" customWidth="1"/>
    <col min="9990" max="9990" width="62" style="1634" customWidth="1"/>
    <col min="9991" max="9991" width="7.875" style="1634" customWidth="1"/>
    <col min="9992" max="9992" width="37" style="1634" customWidth="1"/>
    <col min="9993" max="9993" width="29.375" style="1634" customWidth="1"/>
    <col min="9994" max="9995" width="13.875" style="1634" customWidth="1"/>
    <col min="9996" max="9996" width="19.125" style="1634" customWidth="1"/>
    <col min="9997" max="9997" width="7.875" style="1634" customWidth="1"/>
    <col min="9998" max="9999" width="11.25" style="1634" customWidth="1"/>
    <col min="10000" max="10000" width="10" style="1634" customWidth="1"/>
    <col min="10001" max="10002" width="15.5" style="1634" customWidth="1"/>
    <col min="10003" max="10003" width="12.875" style="1634" customWidth="1"/>
    <col min="10004" max="10005" width="11.25" style="1634" customWidth="1"/>
    <col min="10006" max="10006" width="17.875" style="1634" customWidth="1"/>
    <col min="10007" max="10007" width="7.875" style="1634" customWidth="1"/>
    <col min="10008" max="10011" width="9" style="1634" customWidth="1"/>
    <col min="10012" max="10012" width="26.625" style="1634" customWidth="1"/>
    <col min="10013" max="10013" width="7.875" style="1634" customWidth="1"/>
    <col min="10014" max="10014" width="34.375" style="1634" customWidth="1"/>
    <col min="10015" max="10017" width="10.625" style="1634" customWidth="1"/>
    <col min="10018" max="10019" width="16" style="1634" customWidth="1"/>
    <col min="10020" max="10021" width="14.375" style="1634" customWidth="1"/>
    <col min="10022" max="10023" width="21.875" style="1634" customWidth="1"/>
    <col min="10024" max="10024" width="6.25" style="1634" customWidth="1"/>
    <col min="10025" max="10025" width="38.125" style="1634" customWidth="1"/>
    <col min="10026" max="10026" width="16.875" style="1634" customWidth="1"/>
    <col min="10027" max="10028" width="20.125" style="1634" customWidth="1"/>
    <col min="10029" max="10029" width="7.875" style="1634" customWidth="1"/>
    <col min="10030" max="10240" width="9" style="1634"/>
    <col min="10241" max="10241" width="62" style="1634" customWidth="1"/>
    <col min="10242" max="10242" width="7.875" style="1634" customWidth="1"/>
    <col min="10243" max="10243" width="13.875" style="1634" customWidth="1"/>
    <col min="10244" max="10244" width="6.25" style="1634" customWidth="1"/>
    <col min="10245" max="10245" width="4.625" style="1634" customWidth="1"/>
    <col min="10246" max="10246" width="62" style="1634" customWidth="1"/>
    <col min="10247" max="10247" width="7.875" style="1634" customWidth="1"/>
    <col min="10248" max="10248" width="37" style="1634" customWidth="1"/>
    <col min="10249" max="10249" width="29.375" style="1634" customWidth="1"/>
    <col min="10250" max="10251" width="13.875" style="1634" customWidth="1"/>
    <col min="10252" max="10252" width="19.125" style="1634" customWidth="1"/>
    <col min="10253" max="10253" width="7.875" style="1634" customWidth="1"/>
    <col min="10254" max="10255" width="11.25" style="1634" customWidth="1"/>
    <col min="10256" max="10256" width="10" style="1634" customWidth="1"/>
    <col min="10257" max="10258" width="15.5" style="1634" customWidth="1"/>
    <col min="10259" max="10259" width="12.875" style="1634" customWidth="1"/>
    <col min="10260" max="10261" width="11.25" style="1634" customWidth="1"/>
    <col min="10262" max="10262" width="17.875" style="1634" customWidth="1"/>
    <col min="10263" max="10263" width="7.875" style="1634" customWidth="1"/>
    <col min="10264" max="10267" width="9" style="1634" customWidth="1"/>
    <col min="10268" max="10268" width="26.625" style="1634" customWidth="1"/>
    <col min="10269" max="10269" width="7.875" style="1634" customWidth="1"/>
    <col min="10270" max="10270" width="34.375" style="1634" customWidth="1"/>
    <col min="10271" max="10273" width="10.625" style="1634" customWidth="1"/>
    <col min="10274" max="10275" width="16" style="1634" customWidth="1"/>
    <col min="10276" max="10277" width="14.375" style="1634" customWidth="1"/>
    <col min="10278" max="10279" width="21.875" style="1634" customWidth="1"/>
    <col min="10280" max="10280" width="6.25" style="1634" customWidth="1"/>
    <col min="10281" max="10281" width="38.125" style="1634" customWidth="1"/>
    <col min="10282" max="10282" width="16.875" style="1634" customWidth="1"/>
    <col min="10283" max="10284" width="20.125" style="1634" customWidth="1"/>
    <col min="10285" max="10285" width="7.875" style="1634" customWidth="1"/>
    <col min="10286" max="10496" width="9" style="1634"/>
    <col min="10497" max="10497" width="62" style="1634" customWidth="1"/>
    <col min="10498" max="10498" width="7.875" style="1634" customWidth="1"/>
    <col min="10499" max="10499" width="13.875" style="1634" customWidth="1"/>
    <col min="10500" max="10500" width="6.25" style="1634" customWidth="1"/>
    <col min="10501" max="10501" width="4.625" style="1634" customWidth="1"/>
    <col min="10502" max="10502" width="62" style="1634" customWidth="1"/>
    <col min="10503" max="10503" width="7.875" style="1634" customWidth="1"/>
    <col min="10504" max="10504" width="37" style="1634" customWidth="1"/>
    <col min="10505" max="10505" width="29.375" style="1634" customWidth="1"/>
    <col min="10506" max="10507" width="13.875" style="1634" customWidth="1"/>
    <col min="10508" max="10508" width="19.125" style="1634" customWidth="1"/>
    <col min="10509" max="10509" width="7.875" style="1634" customWidth="1"/>
    <col min="10510" max="10511" width="11.25" style="1634" customWidth="1"/>
    <col min="10512" max="10512" width="10" style="1634" customWidth="1"/>
    <col min="10513" max="10514" width="15.5" style="1634" customWidth="1"/>
    <col min="10515" max="10515" width="12.875" style="1634" customWidth="1"/>
    <col min="10516" max="10517" width="11.25" style="1634" customWidth="1"/>
    <col min="10518" max="10518" width="17.875" style="1634" customWidth="1"/>
    <col min="10519" max="10519" width="7.875" style="1634" customWidth="1"/>
    <col min="10520" max="10523" width="9" style="1634" customWidth="1"/>
    <col min="10524" max="10524" width="26.625" style="1634" customWidth="1"/>
    <col min="10525" max="10525" width="7.875" style="1634" customWidth="1"/>
    <col min="10526" max="10526" width="34.375" style="1634" customWidth="1"/>
    <col min="10527" max="10529" width="10.625" style="1634" customWidth="1"/>
    <col min="10530" max="10531" width="16" style="1634" customWidth="1"/>
    <col min="10532" max="10533" width="14.375" style="1634" customWidth="1"/>
    <col min="10534" max="10535" width="21.875" style="1634" customWidth="1"/>
    <col min="10536" max="10536" width="6.25" style="1634" customWidth="1"/>
    <col min="10537" max="10537" width="38.125" style="1634" customWidth="1"/>
    <col min="10538" max="10538" width="16.875" style="1634" customWidth="1"/>
    <col min="10539" max="10540" width="20.125" style="1634" customWidth="1"/>
    <col min="10541" max="10541" width="7.875" style="1634" customWidth="1"/>
    <col min="10542" max="10752" width="9" style="1634"/>
    <col min="10753" max="10753" width="62" style="1634" customWidth="1"/>
    <col min="10754" max="10754" width="7.875" style="1634" customWidth="1"/>
    <col min="10755" max="10755" width="13.875" style="1634" customWidth="1"/>
    <col min="10756" max="10756" width="6.25" style="1634" customWidth="1"/>
    <col min="10757" max="10757" width="4.625" style="1634" customWidth="1"/>
    <col min="10758" max="10758" width="62" style="1634" customWidth="1"/>
    <col min="10759" max="10759" width="7.875" style="1634" customWidth="1"/>
    <col min="10760" max="10760" width="37" style="1634" customWidth="1"/>
    <col min="10761" max="10761" width="29.375" style="1634" customWidth="1"/>
    <col min="10762" max="10763" width="13.875" style="1634" customWidth="1"/>
    <col min="10764" max="10764" width="19.125" style="1634" customWidth="1"/>
    <col min="10765" max="10765" width="7.875" style="1634" customWidth="1"/>
    <col min="10766" max="10767" width="11.25" style="1634" customWidth="1"/>
    <col min="10768" max="10768" width="10" style="1634" customWidth="1"/>
    <col min="10769" max="10770" width="15.5" style="1634" customWidth="1"/>
    <col min="10771" max="10771" width="12.875" style="1634" customWidth="1"/>
    <col min="10772" max="10773" width="11.25" style="1634" customWidth="1"/>
    <col min="10774" max="10774" width="17.875" style="1634" customWidth="1"/>
    <col min="10775" max="10775" width="7.875" style="1634" customWidth="1"/>
    <col min="10776" max="10779" width="9" style="1634" customWidth="1"/>
    <col min="10780" max="10780" width="26.625" style="1634" customWidth="1"/>
    <col min="10781" max="10781" width="7.875" style="1634" customWidth="1"/>
    <col min="10782" max="10782" width="34.375" style="1634" customWidth="1"/>
    <col min="10783" max="10785" width="10.625" style="1634" customWidth="1"/>
    <col min="10786" max="10787" width="16" style="1634" customWidth="1"/>
    <col min="10788" max="10789" width="14.375" style="1634" customWidth="1"/>
    <col min="10790" max="10791" width="21.875" style="1634" customWidth="1"/>
    <col min="10792" max="10792" width="6.25" style="1634" customWidth="1"/>
    <col min="10793" max="10793" width="38.125" style="1634" customWidth="1"/>
    <col min="10794" max="10794" width="16.875" style="1634" customWidth="1"/>
    <col min="10795" max="10796" width="20.125" style="1634" customWidth="1"/>
    <col min="10797" max="10797" width="7.875" style="1634" customWidth="1"/>
    <col min="10798" max="11008" width="9" style="1634"/>
    <col min="11009" max="11009" width="62" style="1634" customWidth="1"/>
    <col min="11010" max="11010" width="7.875" style="1634" customWidth="1"/>
    <col min="11011" max="11011" width="13.875" style="1634" customWidth="1"/>
    <col min="11012" max="11012" width="6.25" style="1634" customWidth="1"/>
    <col min="11013" max="11013" width="4.625" style="1634" customWidth="1"/>
    <col min="11014" max="11014" width="62" style="1634" customWidth="1"/>
    <col min="11015" max="11015" width="7.875" style="1634" customWidth="1"/>
    <col min="11016" max="11016" width="37" style="1634" customWidth="1"/>
    <col min="11017" max="11017" width="29.375" style="1634" customWidth="1"/>
    <col min="11018" max="11019" width="13.875" style="1634" customWidth="1"/>
    <col min="11020" max="11020" width="19.125" style="1634" customWidth="1"/>
    <col min="11021" max="11021" width="7.875" style="1634" customWidth="1"/>
    <col min="11022" max="11023" width="11.25" style="1634" customWidth="1"/>
    <col min="11024" max="11024" width="10" style="1634" customWidth="1"/>
    <col min="11025" max="11026" width="15.5" style="1634" customWidth="1"/>
    <col min="11027" max="11027" width="12.875" style="1634" customWidth="1"/>
    <col min="11028" max="11029" width="11.25" style="1634" customWidth="1"/>
    <col min="11030" max="11030" width="17.875" style="1634" customWidth="1"/>
    <col min="11031" max="11031" width="7.875" style="1634" customWidth="1"/>
    <col min="11032" max="11035" width="9" style="1634" customWidth="1"/>
    <col min="11036" max="11036" width="26.625" style="1634" customWidth="1"/>
    <col min="11037" max="11037" width="7.875" style="1634" customWidth="1"/>
    <col min="11038" max="11038" width="34.375" style="1634" customWidth="1"/>
    <col min="11039" max="11041" width="10.625" style="1634" customWidth="1"/>
    <col min="11042" max="11043" width="16" style="1634" customWidth="1"/>
    <col min="11044" max="11045" width="14.375" style="1634" customWidth="1"/>
    <col min="11046" max="11047" width="21.875" style="1634" customWidth="1"/>
    <col min="11048" max="11048" width="6.25" style="1634" customWidth="1"/>
    <col min="11049" max="11049" width="38.125" style="1634" customWidth="1"/>
    <col min="11050" max="11050" width="16.875" style="1634" customWidth="1"/>
    <col min="11051" max="11052" width="20.125" style="1634" customWidth="1"/>
    <col min="11053" max="11053" width="7.875" style="1634" customWidth="1"/>
    <col min="11054" max="11264" width="9" style="1634"/>
    <col min="11265" max="11265" width="62" style="1634" customWidth="1"/>
    <col min="11266" max="11266" width="7.875" style="1634" customWidth="1"/>
    <col min="11267" max="11267" width="13.875" style="1634" customWidth="1"/>
    <col min="11268" max="11268" width="6.25" style="1634" customWidth="1"/>
    <col min="11269" max="11269" width="4.625" style="1634" customWidth="1"/>
    <col min="11270" max="11270" width="62" style="1634" customWidth="1"/>
    <col min="11271" max="11271" width="7.875" style="1634" customWidth="1"/>
    <col min="11272" max="11272" width="37" style="1634" customWidth="1"/>
    <col min="11273" max="11273" width="29.375" style="1634" customWidth="1"/>
    <col min="11274" max="11275" width="13.875" style="1634" customWidth="1"/>
    <col min="11276" max="11276" width="19.125" style="1634" customWidth="1"/>
    <col min="11277" max="11277" width="7.875" style="1634" customWidth="1"/>
    <col min="11278" max="11279" width="11.25" style="1634" customWidth="1"/>
    <col min="11280" max="11280" width="10" style="1634" customWidth="1"/>
    <col min="11281" max="11282" width="15.5" style="1634" customWidth="1"/>
    <col min="11283" max="11283" width="12.875" style="1634" customWidth="1"/>
    <col min="11284" max="11285" width="11.25" style="1634" customWidth="1"/>
    <col min="11286" max="11286" width="17.875" style="1634" customWidth="1"/>
    <col min="11287" max="11287" width="7.875" style="1634" customWidth="1"/>
    <col min="11288" max="11291" width="9" style="1634" customWidth="1"/>
    <col min="11292" max="11292" width="26.625" style="1634" customWidth="1"/>
    <col min="11293" max="11293" width="7.875" style="1634" customWidth="1"/>
    <col min="11294" max="11294" width="34.375" style="1634" customWidth="1"/>
    <col min="11295" max="11297" width="10.625" style="1634" customWidth="1"/>
    <col min="11298" max="11299" width="16" style="1634" customWidth="1"/>
    <col min="11300" max="11301" width="14.375" style="1634" customWidth="1"/>
    <col min="11302" max="11303" width="21.875" style="1634" customWidth="1"/>
    <col min="11304" max="11304" width="6.25" style="1634" customWidth="1"/>
    <col min="11305" max="11305" width="38.125" style="1634" customWidth="1"/>
    <col min="11306" max="11306" width="16.875" style="1634" customWidth="1"/>
    <col min="11307" max="11308" width="20.125" style="1634" customWidth="1"/>
    <col min="11309" max="11309" width="7.875" style="1634" customWidth="1"/>
    <col min="11310" max="11520" width="9" style="1634"/>
    <col min="11521" max="11521" width="62" style="1634" customWidth="1"/>
    <col min="11522" max="11522" width="7.875" style="1634" customWidth="1"/>
    <col min="11523" max="11523" width="13.875" style="1634" customWidth="1"/>
    <col min="11524" max="11524" width="6.25" style="1634" customWidth="1"/>
    <col min="11525" max="11525" width="4.625" style="1634" customWidth="1"/>
    <col min="11526" max="11526" width="62" style="1634" customWidth="1"/>
    <col min="11527" max="11527" width="7.875" style="1634" customWidth="1"/>
    <col min="11528" max="11528" width="37" style="1634" customWidth="1"/>
    <col min="11529" max="11529" width="29.375" style="1634" customWidth="1"/>
    <col min="11530" max="11531" width="13.875" style="1634" customWidth="1"/>
    <col min="11532" max="11532" width="19.125" style="1634" customWidth="1"/>
    <col min="11533" max="11533" width="7.875" style="1634" customWidth="1"/>
    <col min="11534" max="11535" width="11.25" style="1634" customWidth="1"/>
    <col min="11536" max="11536" width="10" style="1634" customWidth="1"/>
    <col min="11537" max="11538" width="15.5" style="1634" customWidth="1"/>
    <col min="11539" max="11539" width="12.875" style="1634" customWidth="1"/>
    <col min="11540" max="11541" width="11.25" style="1634" customWidth="1"/>
    <col min="11542" max="11542" width="17.875" style="1634" customWidth="1"/>
    <col min="11543" max="11543" width="7.875" style="1634" customWidth="1"/>
    <col min="11544" max="11547" width="9" style="1634" customWidth="1"/>
    <col min="11548" max="11548" width="26.625" style="1634" customWidth="1"/>
    <col min="11549" max="11549" width="7.875" style="1634" customWidth="1"/>
    <col min="11550" max="11550" width="34.375" style="1634" customWidth="1"/>
    <col min="11551" max="11553" width="10.625" style="1634" customWidth="1"/>
    <col min="11554" max="11555" width="16" style="1634" customWidth="1"/>
    <col min="11556" max="11557" width="14.375" style="1634" customWidth="1"/>
    <col min="11558" max="11559" width="21.875" style="1634" customWidth="1"/>
    <col min="11560" max="11560" width="6.25" style="1634" customWidth="1"/>
    <col min="11561" max="11561" width="38.125" style="1634" customWidth="1"/>
    <col min="11562" max="11562" width="16.875" style="1634" customWidth="1"/>
    <col min="11563" max="11564" width="20.125" style="1634" customWidth="1"/>
    <col min="11565" max="11565" width="7.875" style="1634" customWidth="1"/>
    <col min="11566" max="11776" width="9" style="1634"/>
    <col min="11777" max="11777" width="62" style="1634" customWidth="1"/>
    <col min="11778" max="11778" width="7.875" style="1634" customWidth="1"/>
    <col min="11779" max="11779" width="13.875" style="1634" customWidth="1"/>
    <col min="11780" max="11780" width="6.25" style="1634" customWidth="1"/>
    <col min="11781" max="11781" width="4.625" style="1634" customWidth="1"/>
    <col min="11782" max="11782" width="62" style="1634" customWidth="1"/>
    <col min="11783" max="11783" width="7.875" style="1634" customWidth="1"/>
    <col min="11784" max="11784" width="37" style="1634" customWidth="1"/>
    <col min="11785" max="11785" width="29.375" style="1634" customWidth="1"/>
    <col min="11786" max="11787" width="13.875" style="1634" customWidth="1"/>
    <col min="11788" max="11788" width="19.125" style="1634" customWidth="1"/>
    <col min="11789" max="11789" width="7.875" style="1634" customWidth="1"/>
    <col min="11790" max="11791" width="11.25" style="1634" customWidth="1"/>
    <col min="11792" max="11792" width="10" style="1634" customWidth="1"/>
    <col min="11793" max="11794" width="15.5" style="1634" customWidth="1"/>
    <col min="11795" max="11795" width="12.875" style="1634" customWidth="1"/>
    <col min="11796" max="11797" width="11.25" style="1634" customWidth="1"/>
    <col min="11798" max="11798" width="17.875" style="1634" customWidth="1"/>
    <col min="11799" max="11799" width="7.875" style="1634" customWidth="1"/>
    <col min="11800" max="11803" width="9" style="1634" customWidth="1"/>
    <col min="11804" max="11804" width="26.625" style="1634" customWidth="1"/>
    <col min="11805" max="11805" width="7.875" style="1634" customWidth="1"/>
    <col min="11806" max="11806" width="34.375" style="1634" customWidth="1"/>
    <col min="11807" max="11809" width="10.625" style="1634" customWidth="1"/>
    <col min="11810" max="11811" width="16" style="1634" customWidth="1"/>
    <col min="11812" max="11813" width="14.375" style="1634" customWidth="1"/>
    <col min="11814" max="11815" width="21.875" style="1634" customWidth="1"/>
    <col min="11816" max="11816" width="6.25" style="1634" customWidth="1"/>
    <col min="11817" max="11817" width="38.125" style="1634" customWidth="1"/>
    <col min="11818" max="11818" width="16.875" style="1634" customWidth="1"/>
    <col min="11819" max="11820" width="20.125" style="1634" customWidth="1"/>
    <col min="11821" max="11821" width="7.875" style="1634" customWidth="1"/>
    <col min="11822" max="12032" width="9" style="1634"/>
    <col min="12033" max="12033" width="62" style="1634" customWidth="1"/>
    <col min="12034" max="12034" width="7.875" style="1634" customWidth="1"/>
    <col min="12035" max="12035" width="13.875" style="1634" customWidth="1"/>
    <col min="12036" max="12036" width="6.25" style="1634" customWidth="1"/>
    <col min="12037" max="12037" width="4.625" style="1634" customWidth="1"/>
    <col min="12038" max="12038" width="62" style="1634" customWidth="1"/>
    <col min="12039" max="12039" width="7.875" style="1634" customWidth="1"/>
    <col min="12040" max="12040" width="37" style="1634" customWidth="1"/>
    <col min="12041" max="12041" width="29.375" style="1634" customWidth="1"/>
    <col min="12042" max="12043" width="13.875" style="1634" customWidth="1"/>
    <col min="12044" max="12044" width="19.125" style="1634" customWidth="1"/>
    <col min="12045" max="12045" width="7.875" style="1634" customWidth="1"/>
    <col min="12046" max="12047" width="11.25" style="1634" customWidth="1"/>
    <col min="12048" max="12048" width="10" style="1634" customWidth="1"/>
    <col min="12049" max="12050" width="15.5" style="1634" customWidth="1"/>
    <col min="12051" max="12051" width="12.875" style="1634" customWidth="1"/>
    <col min="12052" max="12053" width="11.25" style="1634" customWidth="1"/>
    <col min="12054" max="12054" width="17.875" style="1634" customWidth="1"/>
    <col min="12055" max="12055" width="7.875" style="1634" customWidth="1"/>
    <col min="12056" max="12059" width="9" style="1634" customWidth="1"/>
    <col min="12060" max="12060" width="26.625" style="1634" customWidth="1"/>
    <col min="12061" max="12061" width="7.875" style="1634" customWidth="1"/>
    <col min="12062" max="12062" width="34.375" style="1634" customWidth="1"/>
    <col min="12063" max="12065" width="10.625" style="1634" customWidth="1"/>
    <col min="12066" max="12067" width="16" style="1634" customWidth="1"/>
    <col min="12068" max="12069" width="14.375" style="1634" customWidth="1"/>
    <col min="12070" max="12071" width="21.875" style="1634" customWidth="1"/>
    <col min="12072" max="12072" width="6.25" style="1634" customWidth="1"/>
    <col min="12073" max="12073" width="38.125" style="1634" customWidth="1"/>
    <col min="12074" max="12074" width="16.875" style="1634" customWidth="1"/>
    <col min="12075" max="12076" width="20.125" style="1634" customWidth="1"/>
    <col min="12077" max="12077" width="7.875" style="1634" customWidth="1"/>
    <col min="12078" max="12288" width="9" style="1634"/>
    <col min="12289" max="12289" width="62" style="1634" customWidth="1"/>
    <col min="12290" max="12290" width="7.875" style="1634" customWidth="1"/>
    <col min="12291" max="12291" width="13.875" style="1634" customWidth="1"/>
    <col min="12292" max="12292" width="6.25" style="1634" customWidth="1"/>
    <col min="12293" max="12293" width="4.625" style="1634" customWidth="1"/>
    <col min="12294" max="12294" width="62" style="1634" customWidth="1"/>
    <col min="12295" max="12295" width="7.875" style="1634" customWidth="1"/>
    <col min="12296" max="12296" width="37" style="1634" customWidth="1"/>
    <col min="12297" max="12297" width="29.375" style="1634" customWidth="1"/>
    <col min="12298" max="12299" width="13.875" style="1634" customWidth="1"/>
    <col min="12300" max="12300" width="19.125" style="1634" customWidth="1"/>
    <col min="12301" max="12301" width="7.875" style="1634" customWidth="1"/>
    <col min="12302" max="12303" width="11.25" style="1634" customWidth="1"/>
    <col min="12304" max="12304" width="10" style="1634" customWidth="1"/>
    <col min="12305" max="12306" width="15.5" style="1634" customWidth="1"/>
    <col min="12307" max="12307" width="12.875" style="1634" customWidth="1"/>
    <col min="12308" max="12309" width="11.25" style="1634" customWidth="1"/>
    <col min="12310" max="12310" width="17.875" style="1634" customWidth="1"/>
    <col min="12311" max="12311" width="7.875" style="1634" customWidth="1"/>
    <col min="12312" max="12315" width="9" style="1634" customWidth="1"/>
    <col min="12316" max="12316" width="26.625" style="1634" customWidth="1"/>
    <col min="12317" max="12317" width="7.875" style="1634" customWidth="1"/>
    <col min="12318" max="12318" width="34.375" style="1634" customWidth="1"/>
    <col min="12319" max="12321" width="10.625" style="1634" customWidth="1"/>
    <col min="12322" max="12323" width="16" style="1634" customWidth="1"/>
    <col min="12324" max="12325" width="14.375" style="1634" customWidth="1"/>
    <col min="12326" max="12327" width="21.875" style="1634" customWidth="1"/>
    <col min="12328" max="12328" width="6.25" style="1634" customWidth="1"/>
    <col min="12329" max="12329" width="38.125" style="1634" customWidth="1"/>
    <col min="12330" max="12330" width="16.875" style="1634" customWidth="1"/>
    <col min="12331" max="12332" width="20.125" style="1634" customWidth="1"/>
    <col min="12333" max="12333" width="7.875" style="1634" customWidth="1"/>
    <col min="12334" max="12544" width="9" style="1634"/>
    <col min="12545" max="12545" width="62" style="1634" customWidth="1"/>
    <col min="12546" max="12546" width="7.875" style="1634" customWidth="1"/>
    <col min="12547" max="12547" width="13.875" style="1634" customWidth="1"/>
    <col min="12548" max="12548" width="6.25" style="1634" customWidth="1"/>
    <col min="12549" max="12549" width="4.625" style="1634" customWidth="1"/>
    <col min="12550" max="12550" width="62" style="1634" customWidth="1"/>
    <col min="12551" max="12551" width="7.875" style="1634" customWidth="1"/>
    <col min="12552" max="12552" width="37" style="1634" customWidth="1"/>
    <col min="12553" max="12553" width="29.375" style="1634" customWidth="1"/>
    <col min="12554" max="12555" width="13.875" style="1634" customWidth="1"/>
    <col min="12556" max="12556" width="19.125" style="1634" customWidth="1"/>
    <col min="12557" max="12557" width="7.875" style="1634" customWidth="1"/>
    <col min="12558" max="12559" width="11.25" style="1634" customWidth="1"/>
    <col min="12560" max="12560" width="10" style="1634" customWidth="1"/>
    <col min="12561" max="12562" width="15.5" style="1634" customWidth="1"/>
    <col min="12563" max="12563" width="12.875" style="1634" customWidth="1"/>
    <col min="12564" max="12565" width="11.25" style="1634" customWidth="1"/>
    <col min="12566" max="12566" width="17.875" style="1634" customWidth="1"/>
    <col min="12567" max="12567" width="7.875" style="1634" customWidth="1"/>
    <col min="12568" max="12571" width="9" style="1634" customWidth="1"/>
    <col min="12572" max="12572" width="26.625" style="1634" customWidth="1"/>
    <col min="12573" max="12573" width="7.875" style="1634" customWidth="1"/>
    <col min="12574" max="12574" width="34.375" style="1634" customWidth="1"/>
    <col min="12575" max="12577" width="10.625" style="1634" customWidth="1"/>
    <col min="12578" max="12579" width="16" style="1634" customWidth="1"/>
    <col min="12580" max="12581" width="14.375" style="1634" customWidth="1"/>
    <col min="12582" max="12583" width="21.875" style="1634" customWidth="1"/>
    <col min="12584" max="12584" width="6.25" style="1634" customWidth="1"/>
    <col min="12585" max="12585" width="38.125" style="1634" customWidth="1"/>
    <col min="12586" max="12586" width="16.875" style="1634" customWidth="1"/>
    <col min="12587" max="12588" width="20.125" style="1634" customWidth="1"/>
    <col min="12589" max="12589" width="7.875" style="1634" customWidth="1"/>
    <col min="12590" max="12800" width="9" style="1634"/>
    <col min="12801" max="12801" width="62" style="1634" customWidth="1"/>
    <col min="12802" max="12802" width="7.875" style="1634" customWidth="1"/>
    <col min="12803" max="12803" width="13.875" style="1634" customWidth="1"/>
    <col min="12804" max="12804" width="6.25" style="1634" customWidth="1"/>
    <col min="12805" max="12805" width="4.625" style="1634" customWidth="1"/>
    <col min="12806" max="12806" width="62" style="1634" customWidth="1"/>
    <col min="12807" max="12807" width="7.875" style="1634" customWidth="1"/>
    <col min="12808" max="12808" width="37" style="1634" customWidth="1"/>
    <col min="12809" max="12809" width="29.375" style="1634" customWidth="1"/>
    <col min="12810" max="12811" width="13.875" style="1634" customWidth="1"/>
    <col min="12812" max="12812" width="19.125" style="1634" customWidth="1"/>
    <col min="12813" max="12813" width="7.875" style="1634" customWidth="1"/>
    <col min="12814" max="12815" width="11.25" style="1634" customWidth="1"/>
    <col min="12816" max="12816" width="10" style="1634" customWidth="1"/>
    <col min="12817" max="12818" width="15.5" style="1634" customWidth="1"/>
    <col min="12819" max="12819" width="12.875" style="1634" customWidth="1"/>
    <col min="12820" max="12821" width="11.25" style="1634" customWidth="1"/>
    <col min="12822" max="12822" width="17.875" style="1634" customWidth="1"/>
    <col min="12823" max="12823" width="7.875" style="1634" customWidth="1"/>
    <col min="12824" max="12827" width="9" style="1634" customWidth="1"/>
    <col min="12828" max="12828" width="26.625" style="1634" customWidth="1"/>
    <col min="12829" max="12829" width="7.875" style="1634" customWidth="1"/>
    <col min="12830" max="12830" width="34.375" style="1634" customWidth="1"/>
    <col min="12831" max="12833" width="10.625" style="1634" customWidth="1"/>
    <col min="12834" max="12835" width="16" style="1634" customWidth="1"/>
    <col min="12836" max="12837" width="14.375" style="1634" customWidth="1"/>
    <col min="12838" max="12839" width="21.875" style="1634" customWidth="1"/>
    <col min="12840" max="12840" width="6.25" style="1634" customWidth="1"/>
    <col min="12841" max="12841" width="38.125" style="1634" customWidth="1"/>
    <col min="12842" max="12842" width="16.875" style="1634" customWidth="1"/>
    <col min="12843" max="12844" width="20.125" style="1634" customWidth="1"/>
    <col min="12845" max="12845" width="7.875" style="1634" customWidth="1"/>
    <col min="12846" max="13056" width="9" style="1634"/>
    <col min="13057" max="13057" width="62" style="1634" customWidth="1"/>
    <col min="13058" max="13058" width="7.875" style="1634" customWidth="1"/>
    <col min="13059" max="13059" width="13.875" style="1634" customWidth="1"/>
    <col min="13060" max="13060" width="6.25" style="1634" customWidth="1"/>
    <col min="13061" max="13061" width="4.625" style="1634" customWidth="1"/>
    <col min="13062" max="13062" width="62" style="1634" customWidth="1"/>
    <col min="13063" max="13063" width="7.875" style="1634" customWidth="1"/>
    <col min="13064" max="13064" width="37" style="1634" customWidth="1"/>
    <col min="13065" max="13065" width="29.375" style="1634" customWidth="1"/>
    <col min="13066" max="13067" width="13.875" style="1634" customWidth="1"/>
    <col min="13068" max="13068" width="19.125" style="1634" customWidth="1"/>
    <col min="13069" max="13069" width="7.875" style="1634" customWidth="1"/>
    <col min="13070" max="13071" width="11.25" style="1634" customWidth="1"/>
    <col min="13072" max="13072" width="10" style="1634" customWidth="1"/>
    <col min="13073" max="13074" width="15.5" style="1634" customWidth="1"/>
    <col min="13075" max="13075" width="12.875" style="1634" customWidth="1"/>
    <col min="13076" max="13077" width="11.25" style="1634" customWidth="1"/>
    <col min="13078" max="13078" width="17.875" style="1634" customWidth="1"/>
    <col min="13079" max="13079" width="7.875" style="1634" customWidth="1"/>
    <col min="13080" max="13083" width="9" style="1634" customWidth="1"/>
    <col min="13084" max="13084" width="26.625" style="1634" customWidth="1"/>
    <col min="13085" max="13085" width="7.875" style="1634" customWidth="1"/>
    <col min="13086" max="13086" width="34.375" style="1634" customWidth="1"/>
    <col min="13087" max="13089" width="10.625" style="1634" customWidth="1"/>
    <col min="13090" max="13091" width="16" style="1634" customWidth="1"/>
    <col min="13092" max="13093" width="14.375" style="1634" customWidth="1"/>
    <col min="13094" max="13095" width="21.875" style="1634" customWidth="1"/>
    <col min="13096" max="13096" width="6.25" style="1634" customWidth="1"/>
    <col min="13097" max="13097" width="38.125" style="1634" customWidth="1"/>
    <col min="13098" max="13098" width="16.875" style="1634" customWidth="1"/>
    <col min="13099" max="13100" width="20.125" style="1634" customWidth="1"/>
    <col min="13101" max="13101" width="7.875" style="1634" customWidth="1"/>
    <col min="13102" max="13312" width="9" style="1634"/>
    <col min="13313" max="13313" width="62" style="1634" customWidth="1"/>
    <col min="13314" max="13314" width="7.875" style="1634" customWidth="1"/>
    <col min="13315" max="13315" width="13.875" style="1634" customWidth="1"/>
    <col min="13316" max="13316" width="6.25" style="1634" customWidth="1"/>
    <col min="13317" max="13317" width="4.625" style="1634" customWidth="1"/>
    <col min="13318" max="13318" width="62" style="1634" customWidth="1"/>
    <col min="13319" max="13319" width="7.875" style="1634" customWidth="1"/>
    <col min="13320" max="13320" width="37" style="1634" customWidth="1"/>
    <col min="13321" max="13321" width="29.375" style="1634" customWidth="1"/>
    <col min="13322" max="13323" width="13.875" style="1634" customWidth="1"/>
    <col min="13324" max="13324" width="19.125" style="1634" customWidth="1"/>
    <col min="13325" max="13325" width="7.875" style="1634" customWidth="1"/>
    <col min="13326" max="13327" width="11.25" style="1634" customWidth="1"/>
    <col min="13328" max="13328" width="10" style="1634" customWidth="1"/>
    <col min="13329" max="13330" width="15.5" style="1634" customWidth="1"/>
    <col min="13331" max="13331" width="12.875" style="1634" customWidth="1"/>
    <col min="13332" max="13333" width="11.25" style="1634" customWidth="1"/>
    <col min="13334" max="13334" width="17.875" style="1634" customWidth="1"/>
    <col min="13335" max="13335" width="7.875" style="1634" customWidth="1"/>
    <col min="13336" max="13339" width="9" style="1634" customWidth="1"/>
    <col min="13340" max="13340" width="26.625" style="1634" customWidth="1"/>
    <col min="13341" max="13341" width="7.875" style="1634" customWidth="1"/>
    <col min="13342" max="13342" width="34.375" style="1634" customWidth="1"/>
    <col min="13343" max="13345" width="10.625" style="1634" customWidth="1"/>
    <col min="13346" max="13347" width="16" style="1634" customWidth="1"/>
    <col min="13348" max="13349" width="14.375" style="1634" customWidth="1"/>
    <col min="13350" max="13351" width="21.875" style="1634" customWidth="1"/>
    <col min="13352" max="13352" width="6.25" style="1634" customWidth="1"/>
    <col min="13353" max="13353" width="38.125" style="1634" customWidth="1"/>
    <col min="13354" max="13354" width="16.875" style="1634" customWidth="1"/>
    <col min="13355" max="13356" width="20.125" style="1634" customWidth="1"/>
    <col min="13357" max="13357" width="7.875" style="1634" customWidth="1"/>
    <col min="13358" max="13568" width="9" style="1634"/>
    <col min="13569" max="13569" width="62" style="1634" customWidth="1"/>
    <col min="13570" max="13570" width="7.875" style="1634" customWidth="1"/>
    <col min="13571" max="13571" width="13.875" style="1634" customWidth="1"/>
    <col min="13572" max="13572" width="6.25" style="1634" customWidth="1"/>
    <col min="13573" max="13573" width="4.625" style="1634" customWidth="1"/>
    <col min="13574" max="13574" width="62" style="1634" customWidth="1"/>
    <col min="13575" max="13575" width="7.875" style="1634" customWidth="1"/>
    <col min="13576" max="13576" width="37" style="1634" customWidth="1"/>
    <col min="13577" max="13577" width="29.375" style="1634" customWidth="1"/>
    <col min="13578" max="13579" width="13.875" style="1634" customWidth="1"/>
    <col min="13580" max="13580" width="19.125" style="1634" customWidth="1"/>
    <col min="13581" max="13581" width="7.875" style="1634" customWidth="1"/>
    <col min="13582" max="13583" width="11.25" style="1634" customWidth="1"/>
    <col min="13584" max="13584" width="10" style="1634" customWidth="1"/>
    <col min="13585" max="13586" width="15.5" style="1634" customWidth="1"/>
    <col min="13587" max="13587" width="12.875" style="1634" customWidth="1"/>
    <col min="13588" max="13589" width="11.25" style="1634" customWidth="1"/>
    <col min="13590" max="13590" width="17.875" style="1634" customWidth="1"/>
    <col min="13591" max="13591" width="7.875" style="1634" customWidth="1"/>
    <col min="13592" max="13595" width="9" style="1634" customWidth="1"/>
    <col min="13596" max="13596" width="26.625" style="1634" customWidth="1"/>
    <col min="13597" max="13597" width="7.875" style="1634" customWidth="1"/>
    <col min="13598" max="13598" width="34.375" style="1634" customWidth="1"/>
    <col min="13599" max="13601" width="10.625" style="1634" customWidth="1"/>
    <col min="13602" max="13603" width="16" style="1634" customWidth="1"/>
    <col min="13604" max="13605" width="14.375" style="1634" customWidth="1"/>
    <col min="13606" max="13607" width="21.875" style="1634" customWidth="1"/>
    <col min="13608" max="13608" width="6.25" style="1634" customWidth="1"/>
    <col min="13609" max="13609" width="38.125" style="1634" customWidth="1"/>
    <col min="13610" max="13610" width="16.875" style="1634" customWidth="1"/>
    <col min="13611" max="13612" width="20.125" style="1634" customWidth="1"/>
    <col min="13613" max="13613" width="7.875" style="1634" customWidth="1"/>
    <col min="13614" max="13824" width="9" style="1634"/>
    <col min="13825" max="13825" width="62" style="1634" customWidth="1"/>
    <col min="13826" max="13826" width="7.875" style="1634" customWidth="1"/>
    <col min="13827" max="13827" width="13.875" style="1634" customWidth="1"/>
    <col min="13828" max="13828" width="6.25" style="1634" customWidth="1"/>
    <col min="13829" max="13829" width="4.625" style="1634" customWidth="1"/>
    <col min="13830" max="13830" width="62" style="1634" customWidth="1"/>
    <col min="13831" max="13831" width="7.875" style="1634" customWidth="1"/>
    <col min="13832" max="13832" width="37" style="1634" customWidth="1"/>
    <col min="13833" max="13833" width="29.375" style="1634" customWidth="1"/>
    <col min="13834" max="13835" width="13.875" style="1634" customWidth="1"/>
    <col min="13836" max="13836" width="19.125" style="1634" customWidth="1"/>
    <col min="13837" max="13837" width="7.875" style="1634" customWidth="1"/>
    <col min="13838" max="13839" width="11.25" style="1634" customWidth="1"/>
    <col min="13840" max="13840" width="10" style="1634" customWidth="1"/>
    <col min="13841" max="13842" width="15.5" style="1634" customWidth="1"/>
    <col min="13843" max="13843" width="12.875" style="1634" customWidth="1"/>
    <col min="13844" max="13845" width="11.25" style="1634" customWidth="1"/>
    <col min="13846" max="13846" width="17.875" style="1634" customWidth="1"/>
    <col min="13847" max="13847" width="7.875" style="1634" customWidth="1"/>
    <col min="13848" max="13851" width="9" style="1634" customWidth="1"/>
    <col min="13852" max="13852" width="26.625" style="1634" customWidth="1"/>
    <col min="13853" max="13853" width="7.875" style="1634" customWidth="1"/>
    <col min="13854" max="13854" width="34.375" style="1634" customWidth="1"/>
    <col min="13855" max="13857" width="10.625" style="1634" customWidth="1"/>
    <col min="13858" max="13859" width="16" style="1634" customWidth="1"/>
    <col min="13860" max="13861" width="14.375" style="1634" customWidth="1"/>
    <col min="13862" max="13863" width="21.875" style="1634" customWidth="1"/>
    <col min="13864" max="13864" width="6.25" style="1634" customWidth="1"/>
    <col min="13865" max="13865" width="38.125" style="1634" customWidth="1"/>
    <col min="13866" max="13866" width="16.875" style="1634" customWidth="1"/>
    <col min="13867" max="13868" width="20.125" style="1634" customWidth="1"/>
    <col min="13869" max="13869" width="7.875" style="1634" customWidth="1"/>
    <col min="13870" max="14080" width="9" style="1634"/>
    <col min="14081" max="14081" width="62" style="1634" customWidth="1"/>
    <col min="14082" max="14082" width="7.875" style="1634" customWidth="1"/>
    <col min="14083" max="14083" width="13.875" style="1634" customWidth="1"/>
    <col min="14084" max="14084" width="6.25" style="1634" customWidth="1"/>
    <col min="14085" max="14085" width="4.625" style="1634" customWidth="1"/>
    <col min="14086" max="14086" width="62" style="1634" customWidth="1"/>
    <col min="14087" max="14087" width="7.875" style="1634" customWidth="1"/>
    <col min="14088" max="14088" width="37" style="1634" customWidth="1"/>
    <col min="14089" max="14089" width="29.375" style="1634" customWidth="1"/>
    <col min="14090" max="14091" width="13.875" style="1634" customWidth="1"/>
    <col min="14092" max="14092" width="19.125" style="1634" customWidth="1"/>
    <col min="14093" max="14093" width="7.875" style="1634" customWidth="1"/>
    <col min="14094" max="14095" width="11.25" style="1634" customWidth="1"/>
    <col min="14096" max="14096" width="10" style="1634" customWidth="1"/>
    <col min="14097" max="14098" width="15.5" style="1634" customWidth="1"/>
    <col min="14099" max="14099" width="12.875" style="1634" customWidth="1"/>
    <col min="14100" max="14101" width="11.25" style="1634" customWidth="1"/>
    <col min="14102" max="14102" width="17.875" style="1634" customWidth="1"/>
    <col min="14103" max="14103" width="7.875" style="1634" customWidth="1"/>
    <col min="14104" max="14107" width="9" style="1634" customWidth="1"/>
    <col min="14108" max="14108" width="26.625" style="1634" customWidth="1"/>
    <col min="14109" max="14109" width="7.875" style="1634" customWidth="1"/>
    <col min="14110" max="14110" width="34.375" style="1634" customWidth="1"/>
    <col min="14111" max="14113" width="10.625" style="1634" customWidth="1"/>
    <col min="14114" max="14115" width="16" style="1634" customWidth="1"/>
    <col min="14116" max="14117" width="14.375" style="1634" customWidth="1"/>
    <col min="14118" max="14119" width="21.875" style="1634" customWidth="1"/>
    <col min="14120" max="14120" width="6.25" style="1634" customWidth="1"/>
    <col min="14121" max="14121" width="38.125" style="1634" customWidth="1"/>
    <col min="14122" max="14122" width="16.875" style="1634" customWidth="1"/>
    <col min="14123" max="14124" width="20.125" style="1634" customWidth="1"/>
    <col min="14125" max="14125" width="7.875" style="1634" customWidth="1"/>
    <col min="14126" max="14336" width="9" style="1634"/>
    <col min="14337" max="14337" width="62" style="1634" customWidth="1"/>
    <col min="14338" max="14338" width="7.875" style="1634" customWidth="1"/>
    <col min="14339" max="14339" width="13.875" style="1634" customWidth="1"/>
    <col min="14340" max="14340" width="6.25" style="1634" customWidth="1"/>
    <col min="14341" max="14341" width="4.625" style="1634" customWidth="1"/>
    <col min="14342" max="14342" width="62" style="1634" customWidth="1"/>
    <col min="14343" max="14343" width="7.875" style="1634" customWidth="1"/>
    <col min="14344" max="14344" width="37" style="1634" customWidth="1"/>
    <col min="14345" max="14345" width="29.375" style="1634" customWidth="1"/>
    <col min="14346" max="14347" width="13.875" style="1634" customWidth="1"/>
    <col min="14348" max="14348" width="19.125" style="1634" customWidth="1"/>
    <col min="14349" max="14349" width="7.875" style="1634" customWidth="1"/>
    <col min="14350" max="14351" width="11.25" style="1634" customWidth="1"/>
    <col min="14352" max="14352" width="10" style="1634" customWidth="1"/>
    <col min="14353" max="14354" width="15.5" style="1634" customWidth="1"/>
    <col min="14355" max="14355" width="12.875" style="1634" customWidth="1"/>
    <col min="14356" max="14357" width="11.25" style="1634" customWidth="1"/>
    <col min="14358" max="14358" width="17.875" style="1634" customWidth="1"/>
    <col min="14359" max="14359" width="7.875" style="1634" customWidth="1"/>
    <col min="14360" max="14363" width="9" style="1634" customWidth="1"/>
    <col min="14364" max="14364" width="26.625" style="1634" customWidth="1"/>
    <col min="14365" max="14365" width="7.875" style="1634" customWidth="1"/>
    <col min="14366" max="14366" width="34.375" style="1634" customWidth="1"/>
    <col min="14367" max="14369" width="10.625" style="1634" customWidth="1"/>
    <col min="14370" max="14371" width="16" style="1634" customWidth="1"/>
    <col min="14372" max="14373" width="14.375" style="1634" customWidth="1"/>
    <col min="14374" max="14375" width="21.875" style="1634" customWidth="1"/>
    <col min="14376" max="14376" width="6.25" style="1634" customWidth="1"/>
    <col min="14377" max="14377" width="38.125" style="1634" customWidth="1"/>
    <col min="14378" max="14378" width="16.875" style="1634" customWidth="1"/>
    <col min="14379" max="14380" width="20.125" style="1634" customWidth="1"/>
    <col min="14381" max="14381" width="7.875" style="1634" customWidth="1"/>
    <col min="14382" max="14592" width="9" style="1634"/>
    <col min="14593" max="14593" width="62" style="1634" customWidth="1"/>
    <col min="14594" max="14594" width="7.875" style="1634" customWidth="1"/>
    <col min="14595" max="14595" width="13.875" style="1634" customWidth="1"/>
    <col min="14596" max="14596" width="6.25" style="1634" customWidth="1"/>
    <col min="14597" max="14597" width="4.625" style="1634" customWidth="1"/>
    <col min="14598" max="14598" width="62" style="1634" customWidth="1"/>
    <col min="14599" max="14599" width="7.875" style="1634" customWidth="1"/>
    <col min="14600" max="14600" width="37" style="1634" customWidth="1"/>
    <col min="14601" max="14601" width="29.375" style="1634" customWidth="1"/>
    <col min="14602" max="14603" width="13.875" style="1634" customWidth="1"/>
    <col min="14604" max="14604" width="19.125" style="1634" customWidth="1"/>
    <col min="14605" max="14605" width="7.875" style="1634" customWidth="1"/>
    <col min="14606" max="14607" width="11.25" style="1634" customWidth="1"/>
    <col min="14608" max="14608" width="10" style="1634" customWidth="1"/>
    <col min="14609" max="14610" width="15.5" style="1634" customWidth="1"/>
    <col min="14611" max="14611" width="12.875" style="1634" customWidth="1"/>
    <col min="14612" max="14613" width="11.25" style="1634" customWidth="1"/>
    <col min="14614" max="14614" width="17.875" style="1634" customWidth="1"/>
    <col min="14615" max="14615" width="7.875" style="1634" customWidth="1"/>
    <col min="14616" max="14619" width="9" style="1634" customWidth="1"/>
    <col min="14620" max="14620" width="26.625" style="1634" customWidth="1"/>
    <col min="14621" max="14621" width="7.875" style="1634" customWidth="1"/>
    <col min="14622" max="14622" width="34.375" style="1634" customWidth="1"/>
    <col min="14623" max="14625" width="10.625" style="1634" customWidth="1"/>
    <col min="14626" max="14627" width="16" style="1634" customWidth="1"/>
    <col min="14628" max="14629" width="14.375" style="1634" customWidth="1"/>
    <col min="14630" max="14631" width="21.875" style="1634" customWidth="1"/>
    <col min="14632" max="14632" width="6.25" style="1634" customWidth="1"/>
    <col min="14633" max="14633" width="38.125" style="1634" customWidth="1"/>
    <col min="14634" max="14634" width="16.875" style="1634" customWidth="1"/>
    <col min="14635" max="14636" width="20.125" style="1634" customWidth="1"/>
    <col min="14637" max="14637" width="7.875" style="1634" customWidth="1"/>
    <col min="14638" max="14848" width="9" style="1634"/>
    <col min="14849" max="14849" width="62" style="1634" customWidth="1"/>
    <col min="14850" max="14850" width="7.875" style="1634" customWidth="1"/>
    <col min="14851" max="14851" width="13.875" style="1634" customWidth="1"/>
    <col min="14852" max="14852" width="6.25" style="1634" customWidth="1"/>
    <col min="14853" max="14853" width="4.625" style="1634" customWidth="1"/>
    <col min="14854" max="14854" width="62" style="1634" customWidth="1"/>
    <col min="14855" max="14855" width="7.875" style="1634" customWidth="1"/>
    <col min="14856" max="14856" width="37" style="1634" customWidth="1"/>
    <col min="14857" max="14857" width="29.375" style="1634" customWidth="1"/>
    <col min="14858" max="14859" width="13.875" style="1634" customWidth="1"/>
    <col min="14860" max="14860" width="19.125" style="1634" customWidth="1"/>
    <col min="14861" max="14861" width="7.875" style="1634" customWidth="1"/>
    <col min="14862" max="14863" width="11.25" style="1634" customWidth="1"/>
    <col min="14864" max="14864" width="10" style="1634" customWidth="1"/>
    <col min="14865" max="14866" width="15.5" style="1634" customWidth="1"/>
    <col min="14867" max="14867" width="12.875" style="1634" customWidth="1"/>
    <col min="14868" max="14869" width="11.25" style="1634" customWidth="1"/>
    <col min="14870" max="14870" width="17.875" style="1634" customWidth="1"/>
    <col min="14871" max="14871" width="7.875" style="1634" customWidth="1"/>
    <col min="14872" max="14875" width="9" style="1634" customWidth="1"/>
    <col min="14876" max="14876" width="26.625" style="1634" customWidth="1"/>
    <col min="14877" max="14877" width="7.875" style="1634" customWidth="1"/>
    <col min="14878" max="14878" width="34.375" style="1634" customWidth="1"/>
    <col min="14879" max="14881" width="10.625" style="1634" customWidth="1"/>
    <col min="14882" max="14883" width="16" style="1634" customWidth="1"/>
    <col min="14884" max="14885" width="14.375" style="1634" customWidth="1"/>
    <col min="14886" max="14887" width="21.875" style="1634" customWidth="1"/>
    <col min="14888" max="14888" width="6.25" style="1634" customWidth="1"/>
    <col min="14889" max="14889" width="38.125" style="1634" customWidth="1"/>
    <col min="14890" max="14890" width="16.875" style="1634" customWidth="1"/>
    <col min="14891" max="14892" width="20.125" style="1634" customWidth="1"/>
    <col min="14893" max="14893" width="7.875" style="1634" customWidth="1"/>
    <col min="14894" max="15104" width="9" style="1634"/>
    <col min="15105" max="15105" width="62" style="1634" customWidth="1"/>
    <col min="15106" max="15106" width="7.875" style="1634" customWidth="1"/>
    <col min="15107" max="15107" width="13.875" style="1634" customWidth="1"/>
    <col min="15108" max="15108" width="6.25" style="1634" customWidth="1"/>
    <col min="15109" max="15109" width="4.625" style="1634" customWidth="1"/>
    <col min="15110" max="15110" width="62" style="1634" customWidth="1"/>
    <col min="15111" max="15111" width="7.875" style="1634" customWidth="1"/>
    <col min="15112" max="15112" width="37" style="1634" customWidth="1"/>
    <col min="15113" max="15113" width="29.375" style="1634" customWidth="1"/>
    <col min="15114" max="15115" width="13.875" style="1634" customWidth="1"/>
    <col min="15116" max="15116" width="19.125" style="1634" customWidth="1"/>
    <col min="15117" max="15117" width="7.875" style="1634" customWidth="1"/>
    <col min="15118" max="15119" width="11.25" style="1634" customWidth="1"/>
    <col min="15120" max="15120" width="10" style="1634" customWidth="1"/>
    <col min="15121" max="15122" width="15.5" style="1634" customWidth="1"/>
    <col min="15123" max="15123" width="12.875" style="1634" customWidth="1"/>
    <col min="15124" max="15125" width="11.25" style="1634" customWidth="1"/>
    <col min="15126" max="15126" width="17.875" style="1634" customWidth="1"/>
    <col min="15127" max="15127" width="7.875" style="1634" customWidth="1"/>
    <col min="15128" max="15131" width="9" style="1634" customWidth="1"/>
    <col min="15132" max="15132" width="26.625" style="1634" customWidth="1"/>
    <col min="15133" max="15133" width="7.875" style="1634" customWidth="1"/>
    <col min="15134" max="15134" width="34.375" style="1634" customWidth="1"/>
    <col min="15135" max="15137" width="10.625" style="1634" customWidth="1"/>
    <col min="15138" max="15139" width="16" style="1634" customWidth="1"/>
    <col min="15140" max="15141" width="14.375" style="1634" customWidth="1"/>
    <col min="15142" max="15143" width="21.875" style="1634" customWidth="1"/>
    <col min="15144" max="15144" width="6.25" style="1634" customWidth="1"/>
    <col min="15145" max="15145" width="38.125" style="1634" customWidth="1"/>
    <col min="15146" max="15146" width="16.875" style="1634" customWidth="1"/>
    <col min="15147" max="15148" width="20.125" style="1634" customWidth="1"/>
    <col min="15149" max="15149" width="7.875" style="1634" customWidth="1"/>
    <col min="15150" max="15360" width="9" style="1634"/>
    <col min="15361" max="15361" width="62" style="1634" customWidth="1"/>
    <col min="15362" max="15362" width="7.875" style="1634" customWidth="1"/>
    <col min="15363" max="15363" width="13.875" style="1634" customWidth="1"/>
    <col min="15364" max="15364" width="6.25" style="1634" customWidth="1"/>
    <col min="15365" max="15365" width="4.625" style="1634" customWidth="1"/>
    <col min="15366" max="15366" width="62" style="1634" customWidth="1"/>
    <col min="15367" max="15367" width="7.875" style="1634" customWidth="1"/>
    <col min="15368" max="15368" width="37" style="1634" customWidth="1"/>
    <col min="15369" max="15369" width="29.375" style="1634" customWidth="1"/>
    <col min="15370" max="15371" width="13.875" style="1634" customWidth="1"/>
    <col min="15372" max="15372" width="19.125" style="1634" customWidth="1"/>
    <col min="15373" max="15373" width="7.875" style="1634" customWidth="1"/>
    <col min="15374" max="15375" width="11.25" style="1634" customWidth="1"/>
    <col min="15376" max="15376" width="10" style="1634" customWidth="1"/>
    <col min="15377" max="15378" width="15.5" style="1634" customWidth="1"/>
    <col min="15379" max="15379" width="12.875" style="1634" customWidth="1"/>
    <col min="15380" max="15381" width="11.25" style="1634" customWidth="1"/>
    <col min="15382" max="15382" width="17.875" style="1634" customWidth="1"/>
    <col min="15383" max="15383" width="7.875" style="1634" customWidth="1"/>
    <col min="15384" max="15387" width="9" style="1634" customWidth="1"/>
    <col min="15388" max="15388" width="26.625" style="1634" customWidth="1"/>
    <col min="15389" max="15389" width="7.875" style="1634" customWidth="1"/>
    <col min="15390" max="15390" width="34.375" style="1634" customWidth="1"/>
    <col min="15391" max="15393" width="10.625" style="1634" customWidth="1"/>
    <col min="15394" max="15395" width="16" style="1634" customWidth="1"/>
    <col min="15396" max="15397" width="14.375" style="1634" customWidth="1"/>
    <col min="15398" max="15399" width="21.875" style="1634" customWidth="1"/>
    <col min="15400" max="15400" width="6.25" style="1634" customWidth="1"/>
    <col min="15401" max="15401" width="38.125" style="1634" customWidth="1"/>
    <col min="15402" max="15402" width="16.875" style="1634" customWidth="1"/>
    <col min="15403" max="15404" width="20.125" style="1634" customWidth="1"/>
    <col min="15405" max="15405" width="7.875" style="1634" customWidth="1"/>
    <col min="15406" max="15616" width="9" style="1634"/>
    <col min="15617" max="15617" width="62" style="1634" customWidth="1"/>
    <col min="15618" max="15618" width="7.875" style="1634" customWidth="1"/>
    <col min="15619" max="15619" width="13.875" style="1634" customWidth="1"/>
    <col min="15620" max="15620" width="6.25" style="1634" customWidth="1"/>
    <col min="15621" max="15621" width="4.625" style="1634" customWidth="1"/>
    <col min="15622" max="15622" width="62" style="1634" customWidth="1"/>
    <col min="15623" max="15623" width="7.875" style="1634" customWidth="1"/>
    <col min="15624" max="15624" width="37" style="1634" customWidth="1"/>
    <col min="15625" max="15625" width="29.375" style="1634" customWidth="1"/>
    <col min="15626" max="15627" width="13.875" style="1634" customWidth="1"/>
    <col min="15628" max="15628" width="19.125" style="1634" customWidth="1"/>
    <col min="15629" max="15629" width="7.875" style="1634" customWidth="1"/>
    <col min="15630" max="15631" width="11.25" style="1634" customWidth="1"/>
    <col min="15632" max="15632" width="10" style="1634" customWidth="1"/>
    <col min="15633" max="15634" width="15.5" style="1634" customWidth="1"/>
    <col min="15635" max="15635" width="12.875" style="1634" customWidth="1"/>
    <col min="15636" max="15637" width="11.25" style="1634" customWidth="1"/>
    <col min="15638" max="15638" width="17.875" style="1634" customWidth="1"/>
    <col min="15639" max="15639" width="7.875" style="1634" customWidth="1"/>
    <col min="15640" max="15643" width="9" style="1634" customWidth="1"/>
    <col min="15644" max="15644" width="26.625" style="1634" customWidth="1"/>
    <col min="15645" max="15645" width="7.875" style="1634" customWidth="1"/>
    <col min="15646" max="15646" width="34.375" style="1634" customWidth="1"/>
    <col min="15647" max="15649" width="10.625" style="1634" customWidth="1"/>
    <col min="15650" max="15651" width="16" style="1634" customWidth="1"/>
    <col min="15652" max="15653" width="14.375" style="1634" customWidth="1"/>
    <col min="15654" max="15655" width="21.875" style="1634" customWidth="1"/>
    <col min="15656" max="15656" width="6.25" style="1634" customWidth="1"/>
    <col min="15657" max="15657" width="38.125" style="1634" customWidth="1"/>
    <col min="15658" max="15658" width="16.875" style="1634" customWidth="1"/>
    <col min="15659" max="15660" width="20.125" style="1634" customWidth="1"/>
    <col min="15661" max="15661" width="7.875" style="1634" customWidth="1"/>
    <col min="15662" max="15872" width="9" style="1634"/>
    <col min="15873" max="15873" width="62" style="1634" customWidth="1"/>
    <col min="15874" max="15874" width="7.875" style="1634" customWidth="1"/>
    <col min="15875" max="15875" width="13.875" style="1634" customWidth="1"/>
    <col min="15876" max="15876" width="6.25" style="1634" customWidth="1"/>
    <col min="15877" max="15877" width="4.625" style="1634" customWidth="1"/>
    <col min="15878" max="15878" width="62" style="1634" customWidth="1"/>
    <col min="15879" max="15879" width="7.875" style="1634" customWidth="1"/>
    <col min="15880" max="15880" width="37" style="1634" customWidth="1"/>
    <col min="15881" max="15881" width="29.375" style="1634" customWidth="1"/>
    <col min="15882" max="15883" width="13.875" style="1634" customWidth="1"/>
    <col min="15884" max="15884" width="19.125" style="1634" customWidth="1"/>
    <col min="15885" max="15885" width="7.875" style="1634" customWidth="1"/>
    <col min="15886" max="15887" width="11.25" style="1634" customWidth="1"/>
    <col min="15888" max="15888" width="10" style="1634" customWidth="1"/>
    <col min="15889" max="15890" width="15.5" style="1634" customWidth="1"/>
    <col min="15891" max="15891" width="12.875" style="1634" customWidth="1"/>
    <col min="15892" max="15893" width="11.25" style="1634" customWidth="1"/>
    <col min="15894" max="15894" width="17.875" style="1634" customWidth="1"/>
    <col min="15895" max="15895" width="7.875" style="1634" customWidth="1"/>
    <col min="15896" max="15899" width="9" style="1634" customWidth="1"/>
    <col min="15900" max="15900" width="26.625" style="1634" customWidth="1"/>
    <col min="15901" max="15901" width="7.875" style="1634" customWidth="1"/>
    <col min="15902" max="15902" width="34.375" style="1634" customWidth="1"/>
    <col min="15903" max="15905" width="10.625" style="1634" customWidth="1"/>
    <col min="15906" max="15907" width="16" style="1634" customWidth="1"/>
    <col min="15908" max="15909" width="14.375" style="1634" customWidth="1"/>
    <col min="15910" max="15911" width="21.875" style="1634" customWidth="1"/>
    <col min="15912" max="15912" width="6.25" style="1634" customWidth="1"/>
    <col min="15913" max="15913" width="38.125" style="1634" customWidth="1"/>
    <col min="15914" max="15914" width="16.875" style="1634" customWidth="1"/>
    <col min="15915" max="15916" width="20.125" style="1634" customWidth="1"/>
    <col min="15917" max="15917" width="7.875" style="1634" customWidth="1"/>
    <col min="15918" max="16128" width="9" style="1634"/>
    <col min="16129" max="16129" width="62" style="1634" customWidth="1"/>
    <col min="16130" max="16130" width="7.875" style="1634" customWidth="1"/>
    <col min="16131" max="16131" width="13.875" style="1634" customWidth="1"/>
    <col min="16132" max="16132" width="6.25" style="1634" customWidth="1"/>
    <col min="16133" max="16133" width="4.625" style="1634" customWidth="1"/>
    <col min="16134" max="16134" width="62" style="1634" customWidth="1"/>
    <col min="16135" max="16135" width="7.875" style="1634" customWidth="1"/>
    <col min="16136" max="16136" width="37" style="1634" customWidth="1"/>
    <col min="16137" max="16137" width="29.375" style="1634" customWidth="1"/>
    <col min="16138" max="16139" width="13.875" style="1634" customWidth="1"/>
    <col min="16140" max="16140" width="19.125" style="1634" customWidth="1"/>
    <col min="16141" max="16141" width="7.875" style="1634" customWidth="1"/>
    <col min="16142" max="16143" width="11.25" style="1634" customWidth="1"/>
    <col min="16144" max="16144" width="10" style="1634" customWidth="1"/>
    <col min="16145" max="16146" width="15.5" style="1634" customWidth="1"/>
    <col min="16147" max="16147" width="12.875" style="1634" customWidth="1"/>
    <col min="16148" max="16149" width="11.25" style="1634" customWidth="1"/>
    <col min="16150" max="16150" width="17.875" style="1634" customWidth="1"/>
    <col min="16151" max="16151" width="7.875" style="1634" customWidth="1"/>
    <col min="16152" max="16155" width="9" style="1634" customWidth="1"/>
    <col min="16156" max="16156" width="26.625" style="1634" customWidth="1"/>
    <col min="16157" max="16157" width="7.875" style="1634" customWidth="1"/>
    <col min="16158" max="16158" width="34.375" style="1634" customWidth="1"/>
    <col min="16159" max="16161" width="10.625" style="1634" customWidth="1"/>
    <col min="16162" max="16163" width="16" style="1634" customWidth="1"/>
    <col min="16164" max="16165" width="14.375" style="1634" customWidth="1"/>
    <col min="16166" max="16167" width="21.875" style="1634" customWidth="1"/>
    <col min="16168" max="16168" width="6.25" style="1634" customWidth="1"/>
    <col min="16169" max="16169" width="38.125" style="1634" customWidth="1"/>
    <col min="16170" max="16170" width="16.875" style="1634" customWidth="1"/>
    <col min="16171" max="16172" width="20.125" style="1634" customWidth="1"/>
    <col min="16173" max="16173" width="7.875" style="1634" customWidth="1"/>
    <col min="16174" max="16384" width="9" style="1634"/>
  </cols>
  <sheetData>
    <row r="1" spans="1:45">
      <c r="A1" s="1634" t="s">
        <v>3104</v>
      </c>
      <c r="B1" s="1634" t="s">
        <v>3105</v>
      </c>
      <c r="C1" s="1634" t="s">
        <v>3106</v>
      </c>
      <c r="D1" s="1634" t="s">
        <v>3107</v>
      </c>
      <c r="E1" s="1634" t="s">
        <v>3405</v>
      </c>
      <c r="F1" s="1634" t="s">
        <v>3406</v>
      </c>
      <c r="G1" s="1634" t="s">
        <v>3407</v>
      </c>
      <c r="H1" s="1634" t="s">
        <v>3408</v>
      </c>
      <c r="I1" s="1634" t="s">
        <v>3108</v>
      </c>
      <c r="J1" s="1634" t="s">
        <v>3109</v>
      </c>
      <c r="K1" s="1634" t="s">
        <v>3110</v>
      </c>
      <c r="L1" s="1634" t="s">
        <v>3111</v>
      </c>
      <c r="M1" s="1634" t="s">
        <v>3409</v>
      </c>
      <c r="N1" s="1634" t="s">
        <v>3112</v>
      </c>
      <c r="O1" s="1634" t="s">
        <v>3113</v>
      </c>
      <c r="P1" s="1634" t="s">
        <v>3410</v>
      </c>
      <c r="Q1" s="1634" t="s">
        <v>3411</v>
      </c>
      <c r="R1" s="1634" t="s">
        <v>3412</v>
      </c>
      <c r="S1" s="1634" t="s">
        <v>3413</v>
      </c>
      <c r="T1" s="1634" t="s">
        <v>3414</v>
      </c>
      <c r="U1" s="1634" t="s">
        <v>3415</v>
      </c>
      <c r="V1" s="1634" t="s">
        <v>3416</v>
      </c>
      <c r="W1" s="1634" t="s">
        <v>3114</v>
      </c>
      <c r="X1" s="1634" t="s">
        <v>3417</v>
      </c>
      <c r="Y1" s="1634" t="s">
        <v>3418</v>
      </c>
      <c r="Z1" s="1634" t="s">
        <v>3419</v>
      </c>
      <c r="AA1" s="1634" t="s">
        <v>3115</v>
      </c>
      <c r="AB1" s="1634" t="s">
        <v>3116</v>
      </c>
      <c r="AC1" s="1634" t="s">
        <v>3117</v>
      </c>
      <c r="AD1" s="1634" t="s">
        <v>3118</v>
      </c>
      <c r="AE1" s="1634" t="s">
        <v>3420</v>
      </c>
      <c r="AF1" s="1634" t="s">
        <v>3421</v>
      </c>
      <c r="AG1" s="1634" t="s">
        <v>3119</v>
      </c>
      <c r="AH1" s="1634" t="s">
        <v>3422</v>
      </c>
      <c r="AI1" s="1634" t="s">
        <v>3120</v>
      </c>
      <c r="AJ1" s="1634" t="s">
        <v>3423</v>
      </c>
      <c r="AK1" s="1634" t="s">
        <v>3121</v>
      </c>
      <c r="AL1" s="1634" t="s">
        <v>3424</v>
      </c>
      <c r="AM1" s="1634" t="s">
        <v>3425</v>
      </c>
      <c r="AN1" s="1634" t="s">
        <v>3122</v>
      </c>
      <c r="AO1" s="1634" t="s">
        <v>3123</v>
      </c>
      <c r="AP1" s="1634" t="s">
        <v>3426</v>
      </c>
      <c r="AQ1" s="1634" t="s">
        <v>3427</v>
      </c>
      <c r="AR1" s="1634" t="s">
        <v>3428</v>
      </c>
      <c r="AS1" s="1634" t="s">
        <v>3124</v>
      </c>
    </row>
    <row r="2" spans="1:45" hidden="1">
      <c r="A2" s="1634" t="s">
        <v>3429</v>
      </c>
      <c r="B2" s="1634" t="s">
        <v>3125</v>
      </c>
      <c r="C2" s="1634" t="s">
        <v>3344</v>
      </c>
      <c r="D2" s="1634" t="s">
        <v>3127</v>
      </c>
      <c r="E2" s="1634" t="s">
        <v>1327</v>
      </c>
      <c r="F2" s="1634" t="s">
        <v>3429</v>
      </c>
      <c r="G2" s="1634" t="s">
        <v>3430</v>
      </c>
      <c r="H2" s="1634" t="s">
        <v>3431</v>
      </c>
      <c r="I2" s="1634" t="s">
        <v>3345</v>
      </c>
      <c r="J2" s="1634">
        <v>106785.76</v>
      </c>
      <c r="K2" s="1634">
        <v>320357.28000000003</v>
      </c>
      <c r="L2" s="1634" t="s">
        <v>3432</v>
      </c>
      <c r="M2" s="1634" t="s">
        <v>1327</v>
      </c>
      <c r="N2" s="1634" t="s">
        <v>3146</v>
      </c>
      <c r="O2" s="1634" t="s">
        <v>3433</v>
      </c>
      <c r="P2" s="1634" t="s">
        <v>1327</v>
      </c>
      <c r="Q2" s="1634" t="s">
        <v>1327</v>
      </c>
      <c r="R2" s="1634" t="s">
        <v>1327</v>
      </c>
      <c r="S2" s="1634" t="s">
        <v>1327</v>
      </c>
      <c r="T2" s="1634" t="s">
        <v>1327</v>
      </c>
      <c r="U2" s="1634" t="s">
        <v>1327</v>
      </c>
      <c r="V2" s="1634" t="s">
        <v>1327</v>
      </c>
      <c r="W2" s="1634" t="s">
        <v>3131</v>
      </c>
      <c r="X2" s="1634" t="s">
        <v>3434</v>
      </c>
      <c r="Y2" s="1634" t="s">
        <v>3435</v>
      </c>
      <c r="Z2" s="1634" t="s">
        <v>3436</v>
      </c>
      <c r="AA2" s="1634" t="s">
        <v>3436</v>
      </c>
      <c r="AB2" s="1634" t="s">
        <v>3437</v>
      </c>
      <c r="AC2" s="1634" t="s">
        <v>3134</v>
      </c>
      <c r="AD2" s="1634" t="s">
        <v>3438</v>
      </c>
      <c r="AE2" s="1634">
        <v>30000</v>
      </c>
      <c r="AF2" s="1634">
        <v>45000</v>
      </c>
      <c r="AG2" s="1634">
        <v>45400</v>
      </c>
      <c r="AH2" s="1634">
        <v>280.94</v>
      </c>
      <c r="AI2" s="1634">
        <v>283.43</v>
      </c>
      <c r="AJ2" s="1634">
        <v>1404.68</v>
      </c>
      <c r="AK2" s="1634">
        <v>1417.17</v>
      </c>
      <c r="AL2" s="1634" t="s">
        <v>1327</v>
      </c>
      <c r="AM2" s="1634" t="s">
        <v>1327</v>
      </c>
      <c r="AN2" s="1634">
        <v>0.89</v>
      </c>
      <c r="AO2" s="1634" t="s">
        <v>3348</v>
      </c>
      <c r="AP2" s="1634" t="s">
        <v>1327</v>
      </c>
      <c r="AQ2" s="1634" t="s">
        <v>1327</v>
      </c>
      <c r="AR2" s="1634" t="s">
        <v>1327</v>
      </c>
      <c r="AS2" s="1634" t="s">
        <v>3136</v>
      </c>
    </row>
    <row r="3" spans="1:45">
      <c r="A3" s="1634" t="s">
        <v>3439</v>
      </c>
      <c r="B3" s="1634" t="s">
        <v>3125</v>
      </c>
      <c r="C3" s="1634" t="s">
        <v>3344</v>
      </c>
      <c r="D3" s="1634" t="s">
        <v>3127</v>
      </c>
      <c r="E3" s="1634" t="s">
        <v>1327</v>
      </c>
      <c r="F3" s="1634" t="s">
        <v>3439</v>
      </c>
      <c r="G3" s="1634" t="s">
        <v>3430</v>
      </c>
      <c r="H3" s="1634" t="s">
        <v>3440</v>
      </c>
      <c r="I3" s="1634" t="s">
        <v>3345</v>
      </c>
      <c r="J3" s="1634">
        <v>99745.02</v>
      </c>
      <c r="K3" s="1634">
        <v>199490.04</v>
      </c>
      <c r="L3" s="1634" t="s">
        <v>3441</v>
      </c>
      <c r="M3" s="1634" t="s">
        <v>1327</v>
      </c>
      <c r="N3" s="1634" t="s">
        <v>3129</v>
      </c>
      <c r="O3" s="1634" t="s">
        <v>3130</v>
      </c>
      <c r="P3" s="1634" t="s">
        <v>1327</v>
      </c>
      <c r="Q3" s="1634" t="s">
        <v>1327</v>
      </c>
      <c r="R3" s="1634" t="s">
        <v>1327</v>
      </c>
      <c r="S3" s="1634" t="s">
        <v>1327</v>
      </c>
      <c r="T3" s="1634" t="s">
        <v>1327</v>
      </c>
      <c r="U3" s="1634" t="s">
        <v>1327</v>
      </c>
      <c r="V3" s="1634" t="s">
        <v>1327</v>
      </c>
      <c r="W3" s="1634" t="s">
        <v>3131</v>
      </c>
      <c r="X3" s="1634" t="s">
        <v>3442</v>
      </c>
      <c r="Y3" s="1634" t="s">
        <v>3443</v>
      </c>
      <c r="Z3" s="1634" t="s">
        <v>3444</v>
      </c>
      <c r="AA3" s="1634" t="s">
        <v>3444</v>
      </c>
      <c r="AB3" s="1634" t="s">
        <v>3445</v>
      </c>
      <c r="AC3" s="1634" t="s">
        <v>3134</v>
      </c>
      <c r="AD3" s="1634" t="s">
        <v>3446</v>
      </c>
      <c r="AE3" s="1634">
        <v>3300</v>
      </c>
      <c r="AF3" s="1634">
        <v>16230</v>
      </c>
      <c r="AG3" s="1634">
        <v>16230</v>
      </c>
      <c r="AH3" s="1634">
        <v>108.48</v>
      </c>
      <c r="AI3" s="1634">
        <v>108.48</v>
      </c>
      <c r="AJ3" s="1634">
        <v>813.57</v>
      </c>
      <c r="AK3" s="1634">
        <v>813.57</v>
      </c>
      <c r="AL3" s="1634" t="s">
        <v>1327</v>
      </c>
      <c r="AM3" s="1634" t="s">
        <v>1327</v>
      </c>
      <c r="AN3" s="1634">
        <v>0</v>
      </c>
      <c r="AO3" s="1634" t="s">
        <v>3348</v>
      </c>
      <c r="AP3" s="1634" t="s">
        <v>1327</v>
      </c>
      <c r="AQ3" s="1634" t="s">
        <v>1327</v>
      </c>
      <c r="AR3" s="1634" t="s">
        <v>1327</v>
      </c>
      <c r="AS3" s="1634" t="s">
        <v>3136</v>
      </c>
    </row>
    <row r="4" spans="1:45" s="2976" customFormat="1">
      <c r="A4" s="2976" t="s">
        <v>3447</v>
      </c>
      <c r="B4" s="2976" t="s">
        <v>3125</v>
      </c>
      <c r="C4" s="2976" t="s">
        <v>3344</v>
      </c>
      <c r="D4" s="2976" t="s">
        <v>3127</v>
      </c>
      <c r="E4" s="2976" t="s">
        <v>1327</v>
      </c>
      <c r="F4" s="2976" t="s">
        <v>3447</v>
      </c>
      <c r="G4" s="2976" t="s">
        <v>3430</v>
      </c>
      <c r="H4" s="2976" t="s">
        <v>3448</v>
      </c>
      <c r="I4" s="2976" t="s">
        <v>3345</v>
      </c>
      <c r="J4" s="2976">
        <v>10586.19</v>
      </c>
      <c r="K4" s="2976">
        <v>42344.76</v>
      </c>
      <c r="L4" s="2976" t="s">
        <v>3449</v>
      </c>
      <c r="M4" s="2976" t="s">
        <v>1327</v>
      </c>
      <c r="N4" s="2976" t="s">
        <v>3146</v>
      </c>
      <c r="O4" s="2976" t="s">
        <v>3450</v>
      </c>
      <c r="P4" s="2976" t="s">
        <v>1327</v>
      </c>
      <c r="Q4" s="2976" t="s">
        <v>1327</v>
      </c>
      <c r="R4" s="2976" t="s">
        <v>1327</v>
      </c>
      <c r="S4" s="2976" t="s">
        <v>1327</v>
      </c>
      <c r="T4" s="2976" t="s">
        <v>1327</v>
      </c>
      <c r="U4" s="2976" t="s">
        <v>1327</v>
      </c>
      <c r="V4" s="2976" t="s">
        <v>1327</v>
      </c>
      <c r="W4" s="2976" t="s">
        <v>3131</v>
      </c>
      <c r="X4" s="2976" t="s">
        <v>3451</v>
      </c>
      <c r="Y4" s="2976" t="s">
        <v>3452</v>
      </c>
      <c r="Z4" s="2976" t="s">
        <v>3453</v>
      </c>
      <c r="AA4" s="2976" t="s">
        <v>3453</v>
      </c>
      <c r="AB4" s="2976" t="s">
        <v>3454</v>
      </c>
      <c r="AC4" s="2976" t="s">
        <v>3134</v>
      </c>
      <c r="AD4" s="2976" t="s">
        <v>3455</v>
      </c>
      <c r="AE4" s="2976">
        <v>1000</v>
      </c>
      <c r="AF4" s="2976">
        <v>4630</v>
      </c>
      <c r="AG4" s="2976">
        <v>4630</v>
      </c>
      <c r="AH4" s="2976">
        <v>291.57</v>
      </c>
      <c r="AI4" s="2976">
        <v>291.57</v>
      </c>
      <c r="AJ4" s="2976">
        <v>1093.4000000000001</v>
      </c>
      <c r="AK4" s="2976">
        <v>1093.4100000000001</v>
      </c>
      <c r="AL4" s="2976" t="s">
        <v>1327</v>
      </c>
      <c r="AM4" s="2976" t="s">
        <v>1327</v>
      </c>
      <c r="AN4" s="2976">
        <v>0</v>
      </c>
      <c r="AO4" s="2976" t="s">
        <v>3348</v>
      </c>
      <c r="AP4" s="2976" t="s">
        <v>1327</v>
      </c>
      <c r="AQ4" s="2976" t="s">
        <v>1327</v>
      </c>
      <c r="AR4" s="2976" t="s">
        <v>1327</v>
      </c>
      <c r="AS4" s="2976" t="s">
        <v>3136</v>
      </c>
    </row>
    <row r="5" spans="1:45" s="2976" customFormat="1">
      <c r="A5" s="2976" t="s">
        <v>3456</v>
      </c>
      <c r="B5" s="2976" t="s">
        <v>3125</v>
      </c>
      <c r="C5" s="2976" t="s">
        <v>3344</v>
      </c>
      <c r="D5" s="2976" t="s">
        <v>3127</v>
      </c>
      <c r="E5" s="2976" t="s">
        <v>1327</v>
      </c>
      <c r="F5" s="2976" t="s">
        <v>3456</v>
      </c>
      <c r="G5" s="2976" t="s">
        <v>3430</v>
      </c>
      <c r="H5" s="2976" t="s">
        <v>3457</v>
      </c>
      <c r="I5" s="2976" t="s">
        <v>3345</v>
      </c>
      <c r="J5" s="2976">
        <v>22174.25</v>
      </c>
      <c r="K5" s="2976">
        <v>55435.63</v>
      </c>
      <c r="L5" s="2976" t="s">
        <v>3458</v>
      </c>
      <c r="M5" s="2976" t="s">
        <v>1327</v>
      </c>
      <c r="N5" s="2976" t="s">
        <v>3146</v>
      </c>
      <c r="O5" s="2976" t="s">
        <v>3459</v>
      </c>
      <c r="P5" s="2976" t="s">
        <v>1327</v>
      </c>
      <c r="Q5" s="2976" t="s">
        <v>1327</v>
      </c>
      <c r="R5" s="2976" t="s">
        <v>1327</v>
      </c>
      <c r="S5" s="2976" t="s">
        <v>1327</v>
      </c>
      <c r="T5" s="2976" t="s">
        <v>1327</v>
      </c>
      <c r="U5" s="2976" t="s">
        <v>1327</v>
      </c>
      <c r="V5" s="2976" t="s">
        <v>1327</v>
      </c>
      <c r="W5" s="2976" t="s">
        <v>3131</v>
      </c>
      <c r="X5" s="2976" t="s">
        <v>3460</v>
      </c>
      <c r="Y5" s="2976" t="s">
        <v>3461</v>
      </c>
      <c r="Z5" s="2976" t="s">
        <v>3462</v>
      </c>
      <c r="AA5" s="2976" t="s">
        <v>3463</v>
      </c>
      <c r="AB5" s="2976" t="s">
        <v>3464</v>
      </c>
      <c r="AC5" s="2976" t="s">
        <v>3134</v>
      </c>
      <c r="AD5" s="2976" t="s">
        <v>3465</v>
      </c>
      <c r="AE5" s="2976">
        <v>1001</v>
      </c>
      <c r="AF5" s="2976">
        <v>5005</v>
      </c>
      <c r="AG5" s="2976">
        <v>5015</v>
      </c>
      <c r="AH5" s="2976">
        <v>150.47</v>
      </c>
      <c r="AI5" s="2976">
        <v>150.78</v>
      </c>
      <c r="AJ5" s="2976">
        <v>902.84</v>
      </c>
      <c r="AK5" s="2976">
        <v>904.64</v>
      </c>
      <c r="AL5" s="2976" t="s">
        <v>1327</v>
      </c>
      <c r="AM5" s="2976" t="s">
        <v>1327</v>
      </c>
      <c r="AN5" s="2976">
        <v>0.2</v>
      </c>
      <c r="AO5" s="2976" t="s">
        <v>3348</v>
      </c>
      <c r="AP5" s="2976" t="s">
        <v>1327</v>
      </c>
      <c r="AQ5" s="2976" t="s">
        <v>1327</v>
      </c>
      <c r="AR5" s="2976" t="s">
        <v>1327</v>
      </c>
      <c r="AS5" s="2976" t="s">
        <v>3136</v>
      </c>
    </row>
    <row r="6" spans="1:45" s="2976" customFormat="1">
      <c r="A6" s="2976" t="s">
        <v>3456</v>
      </c>
      <c r="B6" s="2976" t="s">
        <v>3125</v>
      </c>
      <c r="C6" s="2976" t="s">
        <v>3344</v>
      </c>
      <c r="D6" s="2976" t="s">
        <v>3127</v>
      </c>
      <c r="E6" s="2976" t="s">
        <v>1327</v>
      </c>
      <c r="F6" s="2976" t="s">
        <v>3456</v>
      </c>
      <c r="G6" s="2976" t="s">
        <v>3430</v>
      </c>
      <c r="H6" s="2976" t="s">
        <v>3466</v>
      </c>
      <c r="I6" s="2976" t="s">
        <v>3345</v>
      </c>
      <c r="J6" s="2976">
        <v>79670.13</v>
      </c>
      <c r="K6" s="2976">
        <v>199175.33</v>
      </c>
      <c r="L6" s="2976" t="s">
        <v>3458</v>
      </c>
      <c r="M6" s="2976" t="s">
        <v>1327</v>
      </c>
      <c r="N6" s="2976" t="s">
        <v>3146</v>
      </c>
      <c r="O6" s="2976" t="s">
        <v>3459</v>
      </c>
      <c r="P6" s="2976" t="s">
        <v>1327</v>
      </c>
      <c r="Q6" s="2976" t="s">
        <v>1327</v>
      </c>
      <c r="R6" s="2976" t="s">
        <v>1327</v>
      </c>
      <c r="S6" s="2976" t="s">
        <v>1327</v>
      </c>
      <c r="T6" s="2976" t="s">
        <v>1327</v>
      </c>
      <c r="U6" s="2976" t="s">
        <v>1327</v>
      </c>
      <c r="V6" s="2976" t="s">
        <v>1327</v>
      </c>
      <c r="W6" s="2976" t="s">
        <v>3131</v>
      </c>
      <c r="X6" s="2976" t="s">
        <v>3460</v>
      </c>
      <c r="Y6" s="2976" t="s">
        <v>3461</v>
      </c>
      <c r="Z6" s="2976" t="s">
        <v>3462</v>
      </c>
      <c r="AA6" s="2976" t="s">
        <v>3463</v>
      </c>
      <c r="AB6" s="2976" t="s">
        <v>3464</v>
      </c>
      <c r="AC6" s="2976" t="s">
        <v>3134</v>
      </c>
      <c r="AD6" s="2976" t="s">
        <v>3467</v>
      </c>
      <c r="AE6" s="2976">
        <v>3591</v>
      </c>
      <c r="AF6" s="2976">
        <v>17951</v>
      </c>
      <c r="AG6" s="2976">
        <v>17961</v>
      </c>
      <c r="AH6" s="2976">
        <v>150.21</v>
      </c>
      <c r="AI6" s="2976">
        <v>150.29</v>
      </c>
      <c r="AJ6" s="2976">
        <v>901.26</v>
      </c>
      <c r="AK6" s="2976">
        <v>901.76</v>
      </c>
      <c r="AL6" s="2976" t="s">
        <v>1327</v>
      </c>
      <c r="AM6" s="2976" t="s">
        <v>1327</v>
      </c>
      <c r="AN6" s="2976">
        <v>0.06</v>
      </c>
      <c r="AO6" s="2976" t="s">
        <v>3348</v>
      </c>
      <c r="AP6" s="2976" t="s">
        <v>1327</v>
      </c>
      <c r="AQ6" s="2976" t="s">
        <v>1327</v>
      </c>
      <c r="AR6" s="2976" t="s">
        <v>1327</v>
      </c>
      <c r="AS6" s="2976" t="s">
        <v>3136</v>
      </c>
    </row>
    <row r="7" spans="1:45">
      <c r="A7" s="1634" t="s">
        <v>3468</v>
      </c>
      <c r="B7" s="1634" t="s">
        <v>3125</v>
      </c>
      <c r="C7" s="1634" t="s">
        <v>3344</v>
      </c>
      <c r="D7" s="1634" t="s">
        <v>3127</v>
      </c>
      <c r="E7" s="1634" t="s">
        <v>1327</v>
      </c>
      <c r="F7" s="1634" t="s">
        <v>3468</v>
      </c>
      <c r="G7" s="1634" t="s">
        <v>3430</v>
      </c>
      <c r="H7" s="1634" t="s">
        <v>3469</v>
      </c>
      <c r="I7" s="1634" t="s">
        <v>3345</v>
      </c>
      <c r="J7" s="1634">
        <v>77684.88</v>
      </c>
      <c r="K7" s="1634">
        <v>233054.64</v>
      </c>
      <c r="L7" s="1634" t="s">
        <v>3432</v>
      </c>
      <c r="M7" s="1634" t="s">
        <v>1327</v>
      </c>
      <c r="N7" s="1634" t="s">
        <v>3146</v>
      </c>
      <c r="O7" s="1634" t="s">
        <v>3130</v>
      </c>
      <c r="P7" s="1634" t="s">
        <v>1327</v>
      </c>
      <c r="Q7" s="1634" t="s">
        <v>1327</v>
      </c>
      <c r="R7" s="1634" t="s">
        <v>1327</v>
      </c>
      <c r="S7" s="1634" t="s">
        <v>1327</v>
      </c>
      <c r="T7" s="1634" t="s">
        <v>1327</v>
      </c>
      <c r="U7" s="1634" t="s">
        <v>1327</v>
      </c>
      <c r="V7" s="1634" t="s">
        <v>1327</v>
      </c>
      <c r="W7" s="1634" t="s">
        <v>3131</v>
      </c>
      <c r="X7" s="1634" t="s">
        <v>3460</v>
      </c>
      <c r="Y7" s="1634" t="s">
        <v>3461</v>
      </c>
      <c r="Z7" s="1634" t="s">
        <v>3462</v>
      </c>
      <c r="AA7" s="1634" t="s">
        <v>3463</v>
      </c>
      <c r="AB7" s="1634" t="s">
        <v>3464</v>
      </c>
      <c r="AC7" s="1634" t="s">
        <v>3134</v>
      </c>
      <c r="AD7" s="1634" t="s">
        <v>3470</v>
      </c>
      <c r="AE7" s="1634">
        <v>3077</v>
      </c>
      <c r="AF7" s="1634">
        <v>15382</v>
      </c>
      <c r="AG7" s="1634">
        <v>15392</v>
      </c>
      <c r="AH7" s="1634">
        <v>132</v>
      </c>
      <c r="AI7" s="1634">
        <v>132.09</v>
      </c>
      <c r="AJ7" s="1634">
        <v>660.01</v>
      </c>
      <c r="AK7" s="1634">
        <v>660.45</v>
      </c>
      <c r="AL7" s="1634" t="s">
        <v>1327</v>
      </c>
      <c r="AM7" s="1634" t="s">
        <v>1327</v>
      </c>
      <c r="AN7" s="1634">
        <v>7.0000000000000007E-2</v>
      </c>
      <c r="AO7" s="1634" t="s">
        <v>3348</v>
      </c>
      <c r="AP7" s="1634" t="s">
        <v>1327</v>
      </c>
      <c r="AQ7" s="1634" t="s">
        <v>1327</v>
      </c>
      <c r="AR7" s="1634" t="s">
        <v>1327</v>
      </c>
      <c r="AS7" s="1634" t="s">
        <v>3136</v>
      </c>
    </row>
    <row r="8" spans="1:45" s="2971" customFormat="1">
      <c r="A8" s="2971" t="s">
        <v>3471</v>
      </c>
      <c r="B8" s="2971" t="s">
        <v>3125</v>
      </c>
      <c r="C8" s="2971" t="s">
        <v>3344</v>
      </c>
      <c r="D8" s="2971" t="s">
        <v>3127</v>
      </c>
      <c r="E8" s="2971" t="s">
        <v>1327</v>
      </c>
      <c r="F8" s="2971" t="s">
        <v>3471</v>
      </c>
      <c r="G8" s="2971" t="s">
        <v>3430</v>
      </c>
      <c r="H8" s="2971" t="s">
        <v>3472</v>
      </c>
      <c r="I8" s="2971" t="s">
        <v>3345</v>
      </c>
      <c r="J8" s="2971">
        <v>21322.59</v>
      </c>
      <c r="K8" s="2971">
        <v>53306.48</v>
      </c>
      <c r="L8" s="2971" t="s">
        <v>3458</v>
      </c>
      <c r="M8" s="2971" t="s">
        <v>1327</v>
      </c>
      <c r="N8" s="2971" t="s">
        <v>3146</v>
      </c>
      <c r="O8" s="2971" t="s">
        <v>3459</v>
      </c>
      <c r="P8" s="2971" t="s">
        <v>1327</v>
      </c>
      <c r="Q8" s="2971" t="s">
        <v>1327</v>
      </c>
      <c r="R8" s="2971" t="s">
        <v>1327</v>
      </c>
      <c r="S8" s="2971" t="s">
        <v>1327</v>
      </c>
      <c r="T8" s="2971" t="s">
        <v>1327</v>
      </c>
      <c r="U8" s="2971" t="s">
        <v>1327</v>
      </c>
      <c r="V8" s="2971" t="s">
        <v>1327</v>
      </c>
      <c r="W8" s="2971" t="s">
        <v>3131</v>
      </c>
      <c r="X8" s="2971" t="s">
        <v>3460</v>
      </c>
      <c r="Y8" s="2971" t="s">
        <v>3461</v>
      </c>
      <c r="Z8" s="2971" t="s">
        <v>3462</v>
      </c>
      <c r="AA8" s="2971" t="s">
        <v>3463</v>
      </c>
      <c r="AB8" s="2971" t="s">
        <v>3464</v>
      </c>
      <c r="AC8" s="2971" t="s">
        <v>3134</v>
      </c>
      <c r="AD8" s="2971" t="s">
        <v>3473</v>
      </c>
      <c r="AE8" s="2971">
        <v>928</v>
      </c>
      <c r="AF8" s="2971">
        <v>4638</v>
      </c>
      <c r="AG8" s="2971">
        <v>4648</v>
      </c>
      <c r="AH8" s="2971">
        <v>145.01</v>
      </c>
      <c r="AI8" s="2971">
        <v>145.32</v>
      </c>
      <c r="AJ8" s="2971">
        <v>870.06</v>
      </c>
      <c r="AK8" s="2971">
        <v>871.94</v>
      </c>
      <c r="AL8" s="2971" t="s">
        <v>1327</v>
      </c>
      <c r="AM8" s="2971" t="s">
        <v>1327</v>
      </c>
      <c r="AN8" s="2971">
        <v>0.22</v>
      </c>
      <c r="AO8" s="2971" t="s">
        <v>3348</v>
      </c>
      <c r="AP8" s="2971" t="s">
        <v>1327</v>
      </c>
      <c r="AQ8" s="2971" t="s">
        <v>1327</v>
      </c>
      <c r="AR8" s="2971" t="s">
        <v>1327</v>
      </c>
      <c r="AS8" s="2971" t="s">
        <v>3136</v>
      </c>
    </row>
    <row r="9" spans="1:45">
      <c r="A9" s="1634" t="s">
        <v>3474</v>
      </c>
      <c r="B9" s="1634" t="s">
        <v>3125</v>
      </c>
      <c r="C9" s="1634" t="s">
        <v>3344</v>
      </c>
      <c r="D9" s="1634" t="s">
        <v>3127</v>
      </c>
      <c r="E9" s="1634" t="s">
        <v>1327</v>
      </c>
      <c r="F9" s="1634" t="s">
        <v>3474</v>
      </c>
      <c r="G9" s="1634" t="s">
        <v>3430</v>
      </c>
      <c r="H9" s="1634" t="s">
        <v>3475</v>
      </c>
      <c r="I9" s="1634" t="s">
        <v>3345</v>
      </c>
      <c r="J9" s="1634">
        <v>69262.710000000006</v>
      </c>
      <c r="K9" s="1634">
        <v>207788.13</v>
      </c>
      <c r="L9" s="1634" t="s">
        <v>3432</v>
      </c>
      <c r="M9" s="1634" t="s">
        <v>1327</v>
      </c>
      <c r="N9" s="1634" t="s">
        <v>3146</v>
      </c>
      <c r="O9" s="1634" t="s">
        <v>3130</v>
      </c>
      <c r="P9" s="1634" t="s">
        <v>1327</v>
      </c>
      <c r="Q9" s="1634" t="s">
        <v>1327</v>
      </c>
      <c r="R9" s="1634" t="s">
        <v>1327</v>
      </c>
      <c r="S9" s="1634" t="s">
        <v>1327</v>
      </c>
      <c r="T9" s="1634" t="s">
        <v>1327</v>
      </c>
      <c r="U9" s="1634" t="s">
        <v>1327</v>
      </c>
      <c r="V9" s="1634" t="s">
        <v>1327</v>
      </c>
      <c r="W9" s="1634" t="s">
        <v>3131</v>
      </c>
      <c r="X9" s="1634" t="s">
        <v>3460</v>
      </c>
      <c r="Y9" s="1634" t="s">
        <v>3461</v>
      </c>
      <c r="Z9" s="1634" t="s">
        <v>3462</v>
      </c>
      <c r="AA9" s="1634" t="s">
        <v>3463</v>
      </c>
      <c r="AB9" s="1634" t="s">
        <v>3464</v>
      </c>
      <c r="AC9" s="1634" t="s">
        <v>3134</v>
      </c>
      <c r="AD9" s="1634" t="s">
        <v>3476</v>
      </c>
      <c r="AE9" s="1634">
        <v>2898</v>
      </c>
      <c r="AF9" s="1634">
        <v>14490</v>
      </c>
      <c r="AG9" s="1634">
        <v>14500</v>
      </c>
      <c r="AH9" s="1634">
        <v>139.47</v>
      </c>
      <c r="AI9" s="1634">
        <v>139.57</v>
      </c>
      <c r="AJ9" s="1634">
        <v>697.34</v>
      </c>
      <c r="AK9" s="1634">
        <v>697.83</v>
      </c>
      <c r="AL9" s="1634" t="s">
        <v>1327</v>
      </c>
      <c r="AM9" s="1634" t="s">
        <v>1327</v>
      </c>
      <c r="AN9" s="1634">
        <v>7.0000000000000007E-2</v>
      </c>
      <c r="AO9" s="1634" t="s">
        <v>3348</v>
      </c>
      <c r="AP9" s="1634" t="s">
        <v>1327</v>
      </c>
      <c r="AQ9" s="1634" t="s">
        <v>1327</v>
      </c>
      <c r="AR9" s="1634" t="s">
        <v>1327</v>
      </c>
      <c r="AS9" s="1634" t="s">
        <v>3136</v>
      </c>
    </row>
    <row r="10" spans="1:45">
      <c r="A10" s="1634" t="s">
        <v>3477</v>
      </c>
      <c r="B10" s="1634" t="s">
        <v>3125</v>
      </c>
      <c r="C10" s="1634" t="s">
        <v>3344</v>
      </c>
      <c r="D10" s="1634" t="s">
        <v>3127</v>
      </c>
      <c r="E10" s="1634" t="s">
        <v>1327</v>
      </c>
      <c r="F10" s="1634" t="s">
        <v>3477</v>
      </c>
      <c r="G10" s="1634" t="s">
        <v>3430</v>
      </c>
      <c r="H10" s="1634" t="s">
        <v>3478</v>
      </c>
      <c r="I10" s="1634" t="s">
        <v>3345</v>
      </c>
      <c r="J10" s="1634">
        <v>115665.09</v>
      </c>
      <c r="K10" s="1634">
        <v>289162.73</v>
      </c>
      <c r="L10" s="1634" t="s">
        <v>3458</v>
      </c>
      <c r="M10" s="1634" t="s">
        <v>1327</v>
      </c>
      <c r="N10" s="1634" t="s">
        <v>3146</v>
      </c>
      <c r="O10" s="1634" t="s">
        <v>3459</v>
      </c>
      <c r="P10" s="1634" t="s">
        <v>1327</v>
      </c>
      <c r="Q10" s="1634" t="s">
        <v>1327</v>
      </c>
      <c r="R10" s="1634" t="s">
        <v>1327</v>
      </c>
      <c r="S10" s="1634" t="s">
        <v>1327</v>
      </c>
      <c r="T10" s="1634" t="s">
        <v>1327</v>
      </c>
      <c r="U10" s="1634" t="s">
        <v>1327</v>
      </c>
      <c r="V10" s="1634" t="s">
        <v>1327</v>
      </c>
      <c r="W10" s="1634" t="s">
        <v>3131</v>
      </c>
      <c r="X10" s="1634" t="s">
        <v>3460</v>
      </c>
      <c r="Y10" s="1634" t="s">
        <v>3461</v>
      </c>
      <c r="Z10" s="1634" t="s">
        <v>3462</v>
      </c>
      <c r="AA10" s="1634" t="s">
        <v>3463</v>
      </c>
      <c r="AB10" s="1634" t="s">
        <v>3464</v>
      </c>
      <c r="AC10" s="1634" t="s">
        <v>3134</v>
      </c>
      <c r="AD10" s="1634" t="s">
        <v>3479</v>
      </c>
      <c r="AE10" s="1634">
        <v>5208</v>
      </c>
      <c r="AF10" s="1634">
        <v>26038</v>
      </c>
      <c r="AG10" s="1634">
        <v>26048</v>
      </c>
      <c r="AH10" s="1634">
        <v>150.08000000000001</v>
      </c>
      <c r="AI10" s="1634">
        <v>150.13</v>
      </c>
      <c r="AJ10" s="1634">
        <v>900.46</v>
      </c>
      <c r="AK10" s="1634">
        <v>900.8</v>
      </c>
      <c r="AL10" s="1634" t="s">
        <v>1327</v>
      </c>
      <c r="AM10" s="1634" t="s">
        <v>1327</v>
      </c>
      <c r="AN10" s="1634">
        <v>0.04</v>
      </c>
      <c r="AO10" s="1634" t="s">
        <v>3348</v>
      </c>
      <c r="AP10" s="1634" t="s">
        <v>1327</v>
      </c>
      <c r="AQ10" s="1634" t="s">
        <v>1327</v>
      </c>
      <c r="AR10" s="1634" t="s">
        <v>1327</v>
      </c>
      <c r="AS10" s="1634" t="s">
        <v>3136</v>
      </c>
    </row>
    <row r="11" spans="1:45">
      <c r="A11" s="1634" t="s">
        <v>3480</v>
      </c>
      <c r="B11" s="1634" t="s">
        <v>3125</v>
      </c>
      <c r="C11" s="1634" t="s">
        <v>3344</v>
      </c>
      <c r="D11" s="1634" t="s">
        <v>3127</v>
      </c>
      <c r="E11" s="1634" t="s">
        <v>1327</v>
      </c>
      <c r="F11" s="1634" t="s">
        <v>3480</v>
      </c>
      <c r="G11" s="1634" t="s">
        <v>3430</v>
      </c>
      <c r="H11" s="1634" t="s">
        <v>3481</v>
      </c>
      <c r="I11" s="1634" t="s">
        <v>3345</v>
      </c>
      <c r="J11" s="1634">
        <v>80407.92</v>
      </c>
      <c r="K11" s="1634">
        <v>241223.76</v>
      </c>
      <c r="L11" s="1634" t="s">
        <v>3432</v>
      </c>
      <c r="M11" s="1634" t="s">
        <v>1327</v>
      </c>
      <c r="N11" s="1634" t="s">
        <v>3146</v>
      </c>
      <c r="O11" s="1634" t="s">
        <v>3130</v>
      </c>
      <c r="P11" s="1634" t="s">
        <v>1327</v>
      </c>
      <c r="Q11" s="1634" t="s">
        <v>1327</v>
      </c>
      <c r="R11" s="1634" t="s">
        <v>1327</v>
      </c>
      <c r="S11" s="1634" t="s">
        <v>1327</v>
      </c>
      <c r="T11" s="1634" t="s">
        <v>1327</v>
      </c>
      <c r="U11" s="1634" t="s">
        <v>1327</v>
      </c>
      <c r="V11" s="1634" t="s">
        <v>1327</v>
      </c>
      <c r="W11" s="1634" t="s">
        <v>3131</v>
      </c>
      <c r="X11" s="1634" t="s">
        <v>3460</v>
      </c>
      <c r="Y11" s="1634" t="s">
        <v>3461</v>
      </c>
      <c r="Z11" s="1634" t="s">
        <v>3462</v>
      </c>
      <c r="AA11" s="1634" t="s">
        <v>3463</v>
      </c>
      <c r="AB11" s="1634" t="s">
        <v>3464</v>
      </c>
      <c r="AC11" s="1634" t="s">
        <v>3134</v>
      </c>
      <c r="AD11" s="1634" t="s">
        <v>3482</v>
      </c>
      <c r="AE11" s="1634">
        <v>3185</v>
      </c>
      <c r="AF11" s="1634">
        <v>15921</v>
      </c>
      <c r="AG11" s="1634">
        <v>15931</v>
      </c>
      <c r="AH11" s="1634">
        <v>132</v>
      </c>
      <c r="AI11" s="1634">
        <v>132.08000000000001</v>
      </c>
      <c r="AJ11" s="1634">
        <v>660</v>
      </c>
      <c r="AK11" s="1634">
        <v>660.41</v>
      </c>
      <c r="AL11" s="1634" t="s">
        <v>1327</v>
      </c>
      <c r="AM11" s="1634" t="s">
        <v>1327</v>
      </c>
      <c r="AN11" s="1634">
        <v>0.06</v>
      </c>
      <c r="AO11" s="1634" t="s">
        <v>3348</v>
      </c>
      <c r="AP11" s="1634" t="s">
        <v>1327</v>
      </c>
      <c r="AQ11" s="1634" t="s">
        <v>1327</v>
      </c>
      <c r="AR11" s="1634" t="s">
        <v>1327</v>
      </c>
      <c r="AS11" s="1634" t="s">
        <v>3136</v>
      </c>
    </row>
    <row r="12" spans="1:45">
      <c r="A12" s="1634" t="s">
        <v>3483</v>
      </c>
      <c r="B12" s="1634" t="s">
        <v>3125</v>
      </c>
      <c r="C12" s="1634" t="s">
        <v>3344</v>
      </c>
      <c r="D12" s="1634" t="s">
        <v>3127</v>
      </c>
      <c r="E12" s="1634" t="s">
        <v>1327</v>
      </c>
      <c r="F12" s="1634" t="s">
        <v>3483</v>
      </c>
      <c r="G12" s="1634" t="s">
        <v>3430</v>
      </c>
      <c r="H12" s="1634" t="s">
        <v>3484</v>
      </c>
      <c r="I12" s="1634" t="s">
        <v>3345</v>
      </c>
      <c r="J12" s="1634">
        <v>55824.22</v>
      </c>
      <c r="K12" s="1634">
        <v>167472.66</v>
      </c>
      <c r="L12" s="1634" t="s">
        <v>3432</v>
      </c>
      <c r="M12" s="1634" t="s">
        <v>1327</v>
      </c>
      <c r="N12" s="1634" t="s">
        <v>3146</v>
      </c>
      <c r="O12" s="1634" t="s">
        <v>3130</v>
      </c>
      <c r="P12" s="1634" t="s">
        <v>1327</v>
      </c>
      <c r="Q12" s="1634" t="s">
        <v>1327</v>
      </c>
      <c r="R12" s="1634" t="s">
        <v>1327</v>
      </c>
      <c r="S12" s="1634" t="s">
        <v>1327</v>
      </c>
      <c r="T12" s="1634" t="s">
        <v>1327</v>
      </c>
      <c r="U12" s="1634" t="s">
        <v>1327</v>
      </c>
      <c r="V12" s="1634" t="s">
        <v>1327</v>
      </c>
      <c r="W12" s="1634" t="s">
        <v>3131</v>
      </c>
      <c r="X12" s="1634" t="s">
        <v>3460</v>
      </c>
      <c r="Y12" s="1634" t="s">
        <v>3461</v>
      </c>
      <c r="Z12" s="1634" t="s">
        <v>3462</v>
      </c>
      <c r="AA12" s="1634" t="s">
        <v>3463</v>
      </c>
      <c r="AB12" s="1634" t="s">
        <v>3464</v>
      </c>
      <c r="AC12" s="1634" t="s">
        <v>3134</v>
      </c>
      <c r="AD12" s="1634" t="s">
        <v>3473</v>
      </c>
      <c r="AE12" s="1634">
        <v>2429</v>
      </c>
      <c r="AF12" s="1634">
        <v>12143</v>
      </c>
      <c r="AG12" s="1634">
        <v>12153</v>
      </c>
      <c r="AH12" s="1634">
        <v>145.01</v>
      </c>
      <c r="AI12" s="1634">
        <v>145.13</v>
      </c>
      <c r="AJ12" s="1634">
        <v>725.07</v>
      </c>
      <c r="AK12" s="1634">
        <v>725.66</v>
      </c>
      <c r="AL12" s="1634" t="s">
        <v>1327</v>
      </c>
      <c r="AM12" s="1634" t="s">
        <v>1327</v>
      </c>
      <c r="AN12" s="1634">
        <v>0.08</v>
      </c>
      <c r="AO12" s="1634" t="s">
        <v>3348</v>
      </c>
      <c r="AP12" s="1634" t="s">
        <v>1327</v>
      </c>
      <c r="AQ12" s="1634" t="s">
        <v>1327</v>
      </c>
      <c r="AR12" s="1634" t="s">
        <v>1327</v>
      </c>
      <c r="AS12" s="1634" t="s">
        <v>3136</v>
      </c>
    </row>
    <row r="13" spans="1:45">
      <c r="A13" s="1634" t="s">
        <v>3485</v>
      </c>
      <c r="B13" s="1634" t="s">
        <v>3125</v>
      </c>
      <c r="C13" s="1634" t="s">
        <v>3354</v>
      </c>
      <c r="D13" s="1634" t="s">
        <v>3127</v>
      </c>
      <c r="E13" s="1634" t="s">
        <v>1327</v>
      </c>
      <c r="F13" s="1634" t="s">
        <v>3485</v>
      </c>
      <c r="G13" s="1634" t="s">
        <v>3430</v>
      </c>
      <c r="H13" s="1634" t="s">
        <v>3486</v>
      </c>
      <c r="I13" s="1634" t="s">
        <v>3487</v>
      </c>
      <c r="J13" s="1634">
        <v>46239.25</v>
      </c>
      <c r="K13" s="1634">
        <v>138717.75</v>
      </c>
      <c r="L13" s="1634" t="s">
        <v>3488</v>
      </c>
      <c r="M13" s="1634" t="s">
        <v>1327</v>
      </c>
      <c r="N13" s="1634" t="s">
        <v>3148</v>
      </c>
      <c r="O13" s="1634" t="s">
        <v>1327</v>
      </c>
      <c r="P13" s="1634" t="s">
        <v>1327</v>
      </c>
      <c r="Q13" s="1634" t="s">
        <v>1327</v>
      </c>
      <c r="R13" s="1634" t="s">
        <v>1327</v>
      </c>
      <c r="S13" s="1634" t="s">
        <v>1327</v>
      </c>
      <c r="T13" s="1634" t="s">
        <v>1327</v>
      </c>
      <c r="U13" s="1634" t="s">
        <v>1327</v>
      </c>
      <c r="V13" s="1634" t="s">
        <v>1327</v>
      </c>
      <c r="W13" s="1634" t="s">
        <v>3131</v>
      </c>
      <c r="X13" s="1634" t="s">
        <v>3489</v>
      </c>
      <c r="Y13" s="1634" t="s">
        <v>3490</v>
      </c>
      <c r="Z13" s="1634" t="s">
        <v>3491</v>
      </c>
      <c r="AA13" s="1634" t="s">
        <v>3491</v>
      </c>
      <c r="AB13" s="1634" t="s">
        <v>3492</v>
      </c>
      <c r="AC13" s="1634" t="s">
        <v>3134</v>
      </c>
      <c r="AD13" s="1634" t="s">
        <v>3493</v>
      </c>
      <c r="AE13" s="1634">
        <v>8000</v>
      </c>
      <c r="AF13" s="1634">
        <v>15400</v>
      </c>
      <c r="AG13" s="1634">
        <v>15600</v>
      </c>
      <c r="AH13" s="1634">
        <v>222.03</v>
      </c>
      <c r="AI13" s="1634">
        <v>224.92</v>
      </c>
      <c r="AJ13" s="1634">
        <v>1110.1600000000001</v>
      </c>
      <c r="AK13" s="1634">
        <v>1124.58</v>
      </c>
      <c r="AL13" s="1634" t="s">
        <v>1327</v>
      </c>
      <c r="AM13" s="1634" t="s">
        <v>1327</v>
      </c>
      <c r="AN13" s="1634">
        <v>1.3</v>
      </c>
      <c r="AO13" s="1634">
        <v>7040</v>
      </c>
      <c r="AP13" s="1634" t="s">
        <v>1327</v>
      </c>
      <c r="AQ13" s="1634" t="s">
        <v>1327</v>
      </c>
      <c r="AR13" s="1634" t="s">
        <v>1327</v>
      </c>
      <c r="AS13" s="1634" t="s">
        <v>3136</v>
      </c>
    </row>
    <row r="14" spans="1:45">
      <c r="A14" s="1634" t="s">
        <v>3494</v>
      </c>
      <c r="B14" s="1634" t="s">
        <v>3125</v>
      </c>
      <c r="C14" s="1634" t="s">
        <v>3354</v>
      </c>
      <c r="D14" s="1634" t="s">
        <v>3127</v>
      </c>
      <c r="E14" s="1634" t="s">
        <v>1327</v>
      </c>
      <c r="F14" s="1634" t="s">
        <v>3494</v>
      </c>
      <c r="G14" s="1634" t="s">
        <v>3430</v>
      </c>
      <c r="H14" s="1634" t="s">
        <v>3495</v>
      </c>
      <c r="I14" s="1634" t="s">
        <v>3487</v>
      </c>
      <c r="J14" s="1634">
        <v>107548.07</v>
      </c>
      <c r="K14" s="1634">
        <v>322644.21000000002</v>
      </c>
      <c r="L14" s="1634" t="s">
        <v>3488</v>
      </c>
      <c r="M14" s="1634" t="s">
        <v>1327</v>
      </c>
      <c r="N14" s="1634" t="s">
        <v>3208</v>
      </c>
      <c r="O14" s="1634" t="s">
        <v>1327</v>
      </c>
      <c r="P14" s="1634" t="s">
        <v>1327</v>
      </c>
      <c r="Q14" s="1634" t="s">
        <v>1327</v>
      </c>
      <c r="R14" s="1634" t="s">
        <v>1327</v>
      </c>
      <c r="S14" s="1634" t="s">
        <v>1327</v>
      </c>
      <c r="T14" s="1634" t="s">
        <v>1327</v>
      </c>
      <c r="U14" s="1634" t="s">
        <v>1327</v>
      </c>
      <c r="V14" s="1634" t="s">
        <v>1327</v>
      </c>
      <c r="W14" s="1634" t="s">
        <v>3131</v>
      </c>
      <c r="X14" s="1634" t="s">
        <v>3489</v>
      </c>
      <c r="Y14" s="1634" t="s">
        <v>3490</v>
      </c>
      <c r="Z14" s="1634" t="s">
        <v>3491</v>
      </c>
      <c r="AA14" s="1634" t="s">
        <v>3491</v>
      </c>
      <c r="AB14" s="1634" t="s">
        <v>3492</v>
      </c>
      <c r="AC14" s="1634" t="s">
        <v>3134</v>
      </c>
      <c r="AD14" s="1634" t="s">
        <v>3493</v>
      </c>
      <c r="AE14" s="1634">
        <v>16000</v>
      </c>
      <c r="AF14" s="1634">
        <v>31400</v>
      </c>
      <c r="AG14" s="1634">
        <v>31600</v>
      </c>
      <c r="AH14" s="1634">
        <v>194.64</v>
      </c>
      <c r="AI14" s="1634">
        <v>195.88</v>
      </c>
      <c r="AJ14" s="1634">
        <v>973.2</v>
      </c>
      <c r="AK14" s="1634">
        <v>979.4</v>
      </c>
      <c r="AL14" s="1634" t="s">
        <v>1327</v>
      </c>
      <c r="AM14" s="1634" t="s">
        <v>1327</v>
      </c>
      <c r="AN14" s="1634">
        <v>0.64</v>
      </c>
      <c r="AO14" s="1634">
        <v>7040</v>
      </c>
      <c r="AP14" s="1634" t="s">
        <v>1327</v>
      </c>
      <c r="AQ14" s="1634" t="s">
        <v>1327</v>
      </c>
      <c r="AR14" s="1634" t="s">
        <v>1327</v>
      </c>
      <c r="AS14" s="1634" t="s">
        <v>3136</v>
      </c>
    </row>
    <row r="15" spans="1:45">
      <c r="A15" s="1634" t="s">
        <v>3496</v>
      </c>
      <c r="B15" s="1634" t="s">
        <v>3125</v>
      </c>
      <c r="C15" s="1634" t="s">
        <v>3354</v>
      </c>
      <c r="D15" s="1634" t="s">
        <v>3127</v>
      </c>
      <c r="E15" s="1634" t="s">
        <v>1327</v>
      </c>
      <c r="F15" s="1634" t="s">
        <v>3496</v>
      </c>
      <c r="G15" s="1634" t="s">
        <v>3430</v>
      </c>
      <c r="H15" s="1634" t="s">
        <v>3497</v>
      </c>
      <c r="I15" s="1634" t="s">
        <v>3487</v>
      </c>
      <c r="J15" s="1634">
        <v>55565.82</v>
      </c>
      <c r="K15" s="1634">
        <v>166697.46</v>
      </c>
      <c r="L15" s="1634" t="s">
        <v>3488</v>
      </c>
      <c r="M15" s="1634" t="s">
        <v>1327</v>
      </c>
      <c r="N15" s="1634" t="s">
        <v>3148</v>
      </c>
      <c r="O15" s="1634" t="s">
        <v>1327</v>
      </c>
      <c r="P15" s="1634" t="s">
        <v>1327</v>
      </c>
      <c r="Q15" s="1634" t="s">
        <v>1327</v>
      </c>
      <c r="R15" s="1634" t="s">
        <v>1327</v>
      </c>
      <c r="S15" s="1634" t="s">
        <v>1327</v>
      </c>
      <c r="T15" s="1634" t="s">
        <v>1327</v>
      </c>
      <c r="U15" s="1634" t="s">
        <v>1327</v>
      </c>
      <c r="V15" s="1634" t="s">
        <v>1327</v>
      </c>
      <c r="W15" s="1634" t="s">
        <v>3131</v>
      </c>
      <c r="X15" s="1634" t="s">
        <v>3489</v>
      </c>
      <c r="Y15" s="1634" t="s">
        <v>3490</v>
      </c>
      <c r="Z15" s="1634" t="s">
        <v>3491</v>
      </c>
      <c r="AA15" s="1634" t="s">
        <v>3491</v>
      </c>
      <c r="AB15" s="1634" t="s">
        <v>3492</v>
      </c>
      <c r="AC15" s="1634" t="s">
        <v>3134</v>
      </c>
      <c r="AD15" s="1634" t="s">
        <v>3493</v>
      </c>
      <c r="AE15" s="1634">
        <v>10000</v>
      </c>
      <c r="AF15" s="1634">
        <v>18500</v>
      </c>
      <c r="AG15" s="1634">
        <v>18700</v>
      </c>
      <c r="AH15" s="1634">
        <v>221.96</v>
      </c>
      <c r="AI15" s="1634">
        <v>224.36</v>
      </c>
      <c r="AJ15" s="1634">
        <v>1109.79</v>
      </c>
      <c r="AK15" s="1634">
        <v>1121.78</v>
      </c>
      <c r="AL15" s="1634" t="s">
        <v>1327</v>
      </c>
      <c r="AM15" s="1634" t="s">
        <v>1327</v>
      </c>
      <c r="AN15" s="1634">
        <v>1.08</v>
      </c>
      <c r="AO15" s="1634">
        <v>7040</v>
      </c>
      <c r="AP15" s="1634" t="s">
        <v>1327</v>
      </c>
      <c r="AQ15" s="1634" t="s">
        <v>1327</v>
      </c>
      <c r="AR15" s="1634" t="s">
        <v>1327</v>
      </c>
      <c r="AS15" s="1634" t="s">
        <v>3136</v>
      </c>
    </row>
    <row r="16" spans="1:45" s="2975" customFormat="1" ht="12.75">
      <c r="A16" s="2975" t="s">
        <v>3498</v>
      </c>
      <c r="B16" s="2975" t="s">
        <v>3125</v>
      </c>
      <c r="C16" s="2975" t="s">
        <v>3344</v>
      </c>
      <c r="D16" s="2975" t="s">
        <v>3127</v>
      </c>
      <c r="E16" s="2975" t="s">
        <v>1327</v>
      </c>
      <c r="F16" s="2975" t="s">
        <v>3498</v>
      </c>
      <c r="G16" s="2975" t="s">
        <v>3430</v>
      </c>
      <c r="H16" s="2975" t="s">
        <v>3499</v>
      </c>
      <c r="I16" s="2975" t="s">
        <v>3345</v>
      </c>
      <c r="J16" s="2975">
        <v>108795.32</v>
      </c>
      <c r="K16" s="2975">
        <v>337265.49</v>
      </c>
      <c r="L16" s="2975" t="s">
        <v>3500</v>
      </c>
      <c r="M16" s="2975" t="s">
        <v>1327</v>
      </c>
      <c r="N16" s="2975" t="s">
        <v>3501</v>
      </c>
      <c r="O16" s="2975" t="s">
        <v>3130</v>
      </c>
      <c r="P16" s="2975" t="s">
        <v>1327</v>
      </c>
      <c r="Q16" s="2975" t="s">
        <v>1327</v>
      </c>
      <c r="R16" s="2975" t="s">
        <v>1327</v>
      </c>
      <c r="S16" s="2975" t="s">
        <v>1327</v>
      </c>
      <c r="T16" s="2975" t="s">
        <v>1327</v>
      </c>
      <c r="U16" s="2975" t="s">
        <v>1327</v>
      </c>
      <c r="V16" s="2975" t="s">
        <v>1327</v>
      </c>
      <c r="W16" s="2975" t="s">
        <v>3179</v>
      </c>
      <c r="X16" s="2975" t="s">
        <v>3502</v>
      </c>
      <c r="Y16" s="2975" t="s">
        <v>3503</v>
      </c>
      <c r="Z16" s="2975" t="s">
        <v>3504</v>
      </c>
      <c r="AA16" s="2975" t="s">
        <v>3504</v>
      </c>
      <c r="AB16" s="2975" t="s">
        <v>3505</v>
      </c>
      <c r="AC16" s="2975" t="s">
        <v>3134</v>
      </c>
      <c r="AD16" s="2975" t="s">
        <v>3506</v>
      </c>
      <c r="AE16" s="2975">
        <v>4250</v>
      </c>
      <c r="AF16" s="2975">
        <v>21248</v>
      </c>
      <c r="AG16" s="2975">
        <v>21258</v>
      </c>
      <c r="AH16" s="2975">
        <v>130.19999999999999</v>
      </c>
      <c r="AI16" s="2975">
        <v>130.26</v>
      </c>
      <c r="AJ16" s="2975">
        <v>630</v>
      </c>
      <c r="AK16" s="2975">
        <v>630.29</v>
      </c>
      <c r="AL16" s="2975" t="s">
        <v>1327</v>
      </c>
      <c r="AM16" s="2975" t="s">
        <v>1327</v>
      </c>
      <c r="AN16" s="2975">
        <v>0.05</v>
      </c>
      <c r="AO16" s="2975" t="s">
        <v>3348</v>
      </c>
      <c r="AP16" s="2975" t="s">
        <v>1327</v>
      </c>
      <c r="AQ16" s="2975" t="s">
        <v>1327</v>
      </c>
      <c r="AR16" s="2975" t="s">
        <v>1327</v>
      </c>
      <c r="AS16" s="2975" t="s">
        <v>3136</v>
      </c>
    </row>
    <row r="17" spans="1:45">
      <c r="A17" s="1634" t="s">
        <v>3343</v>
      </c>
      <c r="B17" s="1634" t="s">
        <v>3125</v>
      </c>
      <c r="C17" s="1634" t="s">
        <v>3354</v>
      </c>
      <c r="D17" s="1634" t="s">
        <v>3127</v>
      </c>
      <c r="E17" s="1634" t="s">
        <v>1327</v>
      </c>
      <c r="F17" s="1634" t="s">
        <v>3343</v>
      </c>
      <c r="G17" s="1634" t="s">
        <v>3430</v>
      </c>
      <c r="H17" s="1634" t="s">
        <v>3507</v>
      </c>
      <c r="I17" s="1634" t="s">
        <v>3508</v>
      </c>
      <c r="J17" s="1634">
        <v>20400.98</v>
      </c>
      <c r="K17" s="1634">
        <v>61202.94</v>
      </c>
      <c r="L17" s="1634" t="s">
        <v>3432</v>
      </c>
      <c r="M17" s="1634" t="s">
        <v>1327</v>
      </c>
      <c r="N17" s="1634" t="s">
        <v>3146</v>
      </c>
      <c r="O17" s="1634" t="s">
        <v>3450</v>
      </c>
      <c r="P17" s="1634" t="s">
        <v>1327</v>
      </c>
      <c r="Q17" s="1634" t="s">
        <v>1327</v>
      </c>
      <c r="R17" s="1634" t="s">
        <v>1327</v>
      </c>
      <c r="S17" s="1634" t="s">
        <v>1327</v>
      </c>
      <c r="T17" s="1634" t="s">
        <v>1327</v>
      </c>
      <c r="U17" s="1634" t="s">
        <v>1327</v>
      </c>
      <c r="V17" s="1634" t="s">
        <v>1327</v>
      </c>
      <c r="W17" s="1634" t="s">
        <v>3179</v>
      </c>
      <c r="X17" s="1634" t="s">
        <v>3509</v>
      </c>
      <c r="Y17" s="1634" t="s">
        <v>3510</v>
      </c>
      <c r="Z17" s="1634" t="s">
        <v>3346</v>
      </c>
      <c r="AA17" s="1634" t="s">
        <v>3346</v>
      </c>
      <c r="AB17" s="1634" t="s">
        <v>3511</v>
      </c>
      <c r="AC17" s="1634" t="s">
        <v>3134</v>
      </c>
      <c r="AD17" s="1634" t="s">
        <v>3347</v>
      </c>
      <c r="AE17" s="1634">
        <v>3150</v>
      </c>
      <c r="AF17" s="1634">
        <v>6150</v>
      </c>
      <c r="AG17" s="1634">
        <v>6150</v>
      </c>
      <c r="AH17" s="1634">
        <v>200.97</v>
      </c>
      <c r="AI17" s="1634">
        <v>200.97</v>
      </c>
      <c r="AJ17" s="1634">
        <v>1004.85</v>
      </c>
      <c r="AK17" s="1634">
        <v>1004.85</v>
      </c>
      <c r="AL17" s="1634" t="s">
        <v>1327</v>
      </c>
      <c r="AM17" s="1634" t="s">
        <v>1327</v>
      </c>
      <c r="AN17" s="1634">
        <v>0</v>
      </c>
      <c r="AO17" s="1634" t="s">
        <v>3375</v>
      </c>
      <c r="AP17" s="1634" t="s">
        <v>1327</v>
      </c>
      <c r="AQ17" s="1634" t="s">
        <v>1327</v>
      </c>
      <c r="AR17" s="1634" t="s">
        <v>1327</v>
      </c>
      <c r="AS17" s="1634" t="s">
        <v>3136</v>
      </c>
    </row>
    <row r="18" spans="1:45">
      <c r="A18" s="1634" t="s">
        <v>3349</v>
      </c>
      <c r="B18" s="1634" t="s">
        <v>3125</v>
      </c>
      <c r="C18" s="1634" t="s">
        <v>3354</v>
      </c>
      <c r="D18" s="1634" t="s">
        <v>3127</v>
      </c>
      <c r="E18" s="1634" t="s">
        <v>1327</v>
      </c>
      <c r="F18" s="1634" t="s">
        <v>3349</v>
      </c>
      <c r="G18" s="1634" t="s">
        <v>3430</v>
      </c>
      <c r="H18" s="1634" t="s">
        <v>3512</v>
      </c>
      <c r="I18" s="1634" t="s">
        <v>3508</v>
      </c>
      <c r="J18" s="1634">
        <v>26591.4</v>
      </c>
      <c r="K18" s="1634">
        <v>93069.9</v>
      </c>
      <c r="L18" s="1634" t="s">
        <v>3513</v>
      </c>
      <c r="M18" s="1634" t="s">
        <v>1327</v>
      </c>
      <c r="N18" s="1634" t="s">
        <v>3146</v>
      </c>
      <c r="O18" s="1634" t="s">
        <v>3450</v>
      </c>
      <c r="P18" s="1634" t="s">
        <v>1327</v>
      </c>
      <c r="Q18" s="1634" t="s">
        <v>1327</v>
      </c>
      <c r="R18" s="1634" t="s">
        <v>1327</v>
      </c>
      <c r="S18" s="1634" t="s">
        <v>1327</v>
      </c>
      <c r="T18" s="1634" t="s">
        <v>1327</v>
      </c>
      <c r="U18" s="1634" t="s">
        <v>1327</v>
      </c>
      <c r="V18" s="1634" t="s">
        <v>1327</v>
      </c>
      <c r="W18" s="1634" t="s">
        <v>3179</v>
      </c>
      <c r="X18" s="1634" t="s">
        <v>3509</v>
      </c>
      <c r="Y18" s="1634" t="s">
        <v>3510</v>
      </c>
      <c r="Z18" s="1634" t="s">
        <v>3346</v>
      </c>
      <c r="AA18" s="1634" t="s">
        <v>3346</v>
      </c>
      <c r="AB18" s="1634" t="s">
        <v>3511</v>
      </c>
      <c r="AC18" s="1634" t="s">
        <v>3134</v>
      </c>
      <c r="AD18" s="1634" t="s">
        <v>3347</v>
      </c>
      <c r="AE18" s="1634">
        <v>3560</v>
      </c>
      <c r="AF18" s="1634">
        <v>6560</v>
      </c>
      <c r="AG18" s="1634">
        <v>6560</v>
      </c>
      <c r="AH18" s="1634">
        <v>164.46</v>
      </c>
      <c r="AI18" s="1634">
        <v>164.46</v>
      </c>
      <c r="AJ18" s="1634">
        <v>704.84</v>
      </c>
      <c r="AK18" s="1634">
        <v>704.85</v>
      </c>
      <c r="AL18" s="1634" t="s">
        <v>1327</v>
      </c>
      <c r="AM18" s="1634" t="s">
        <v>1327</v>
      </c>
      <c r="AN18" s="1634">
        <v>0</v>
      </c>
      <c r="AO18" s="1634" t="s">
        <v>3375</v>
      </c>
      <c r="AP18" s="1634" t="s">
        <v>1327</v>
      </c>
      <c r="AQ18" s="1634" t="s">
        <v>1327</v>
      </c>
      <c r="AR18" s="1634" t="s">
        <v>1327</v>
      </c>
      <c r="AS18" s="1634" t="s">
        <v>3136</v>
      </c>
    </row>
    <row r="19" spans="1:45">
      <c r="A19" s="1634" t="s">
        <v>3350</v>
      </c>
      <c r="B19" s="1634" t="s">
        <v>3125</v>
      </c>
      <c r="C19" s="1634" t="s">
        <v>3344</v>
      </c>
      <c r="D19" s="1634" t="s">
        <v>3127</v>
      </c>
      <c r="E19" s="1634" t="s">
        <v>1327</v>
      </c>
      <c r="F19" s="1634" t="s">
        <v>3350</v>
      </c>
      <c r="G19" s="1634" t="s">
        <v>3514</v>
      </c>
      <c r="H19" s="1634" t="s">
        <v>3515</v>
      </c>
      <c r="I19" s="1634" t="s">
        <v>3345</v>
      </c>
      <c r="J19" s="1634">
        <v>20413.669999999998</v>
      </c>
      <c r="K19" s="1634">
        <v>71447.850000000006</v>
      </c>
      <c r="L19" s="1634" t="s">
        <v>3516</v>
      </c>
      <c r="M19" s="1634" t="s">
        <v>1327</v>
      </c>
      <c r="N19" s="1634" t="s">
        <v>3148</v>
      </c>
      <c r="O19" s="1634" t="s">
        <v>3156</v>
      </c>
      <c r="P19" s="1634" t="s">
        <v>1327</v>
      </c>
      <c r="Q19" s="1634" t="s">
        <v>1327</v>
      </c>
      <c r="R19" s="1634" t="s">
        <v>1327</v>
      </c>
      <c r="S19" s="1634" t="s">
        <v>1327</v>
      </c>
      <c r="T19" s="1634" t="s">
        <v>1327</v>
      </c>
      <c r="U19" s="1634" t="s">
        <v>1327</v>
      </c>
      <c r="V19" s="1634" t="s">
        <v>1327</v>
      </c>
      <c r="W19" s="1634" t="s">
        <v>3179</v>
      </c>
      <c r="X19" s="1634" t="s">
        <v>3517</v>
      </c>
      <c r="Y19" s="1634" t="s">
        <v>3351</v>
      </c>
      <c r="Z19" s="1634" t="s">
        <v>3351</v>
      </c>
      <c r="AA19" s="1634" t="s">
        <v>3351</v>
      </c>
      <c r="AB19" s="1634" t="s">
        <v>3518</v>
      </c>
      <c r="AC19" s="1634" t="s">
        <v>3134</v>
      </c>
      <c r="AD19" s="1634" t="s">
        <v>3352</v>
      </c>
      <c r="AE19" s="1634">
        <v>748</v>
      </c>
      <c r="AF19" s="1634">
        <v>3738</v>
      </c>
      <c r="AG19" s="1634">
        <v>3748</v>
      </c>
      <c r="AH19" s="1634">
        <v>122.08</v>
      </c>
      <c r="AI19" s="1634">
        <v>122.4</v>
      </c>
      <c r="AJ19" s="1634">
        <v>523.16999999999996</v>
      </c>
      <c r="AK19" s="1634">
        <v>524.58000000000004</v>
      </c>
      <c r="AL19" s="1634" t="s">
        <v>1327</v>
      </c>
      <c r="AM19" s="1634" t="s">
        <v>1327</v>
      </c>
      <c r="AN19" s="1634">
        <v>0.27</v>
      </c>
      <c r="AO19" s="1634" t="s">
        <v>3348</v>
      </c>
      <c r="AP19" s="1634" t="s">
        <v>1327</v>
      </c>
      <c r="AQ19" s="1634" t="s">
        <v>1327</v>
      </c>
      <c r="AR19" s="1634" t="s">
        <v>1327</v>
      </c>
      <c r="AS19" s="1634" t="s">
        <v>3136</v>
      </c>
    </row>
    <row r="20" spans="1:45">
      <c r="A20" s="1634" t="s">
        <v>3353</v>
      </c>
      <c r="B20" s="1634" t="s">
        <v>3125</v>
      </c>
      <c r="C20" s="1634" t="s">
        <v>3354</v>
      </c>
      <c r="D20" s="1634" t="s">
        <v>3127</v>
      </c>
      <c r="E20" s="1634" t="s">
        <v>1327</v>
      </c>
      <c r="F20" s="1634" t="s">
        <v>3353</v>
      </c>
      <c r="G20" s="1634" t="s">
        <v>3430</v>
      </c>
      <c r="H20" s="1634" t="s">
        <v>3519</v>
      </c>
      <c r="I20" s="1634" t="s">
        <v>3355</v>
      </c>
      <c r="J20" s="1634">
        <v>25665.97</v>
      </c>
      <c r="K20" s="1634">
        <v>76997.91</v>
      </c>
      <c r="L20" s="1634" t="s">
        <v>3520</v>
      </c>
      <c r="M20" s="1634" t="s">
        <v>1327</v>
      </c>
      <c r="N20" s="1634" t="s">
        <v>3231</v>
      </c>
      <c r="O20" s="1634" t="s">
        <v>3178</v>
      </c>
      <c r="P20" s="1634" t="s">
        <v>1327</v>
      </c>
      <c r="Q20" s="1634" t="s">
        <v>1327</v>
      </c>
      <c r="R20" s="1634" t="s">
        <v>1327</v>
      </c>
      <c r="S20" s="1634" t="s">
        <v>1327</v>
      </c>
      <c r="T20" s="1634" t="s">
        <v>1327</v>
      </c>
      <c r="U20" s="1634" t="s">
        <v>1327</v>
      </c>
      <c r="V20" s="1634" t="s">
        <v>1327</v>
      </c>
      <c r="W20" s="1634" t="s">
        <v>3179</v>
      </c>
      <c r="X20" s="1634" t="s">
        <v>3521</v>
      </c>
      <c r="Y20" s="1634" t="s">
        <v>3522</v>
      </c>
      <c r="Z20" s="1634" t="s">
        <v>3356</v>
      </c>
      <c r="AA20" s="1634" t="s">
        <v>3356</v>
      </c>
      <c r="AB20" s="1634" t="s">
        <v>3523</v>
      </c>
      <c r="AC20" s="1634" t="s">
        <v>3134</v>
      </c>
      <c r="AD20" s="1634" t="s">
        <v>3357</v>
      </c>
      <c r="AE20" s="1634">
        <v>6500</v>
      </c>
      <c r="AF20" s="1634">
        <v>12345</v>
      </c>
      <c r="AG20" s="1634">
        <v>12445</v>
      </c>
      <c r="AH20" s="1634">
        <v>320.66000000000003</v>
      </c>
      <c r="AI20" s="1634">
        <v>323.26</v>
      </c>
      <c r="AJ20" s="1634">
        <v>1603.29</v>
      </c>
      <c r="AK20" s="1634">
        <v>1616.27</v>
      </c>
      <c r="AL20" s="1634" t="s">
        <v>1327</v>
      </c>
      <c r="AM20" s="1634" t="s">
        <v>1327</v>
      </c>
      <c r="AN20" s="1634">
        <v>0.81</v>
      </c>
      <c r="AO20" s="1634" t="s">
        <v>3358</v>
      </c>
      <c r="AP20" s="1634" t="s">
        <v>1327</v>
      </c>
      <c r="AQ20" s="1634" t="s">
        <v>1327</v>
      </c>
      <c r="AR20" s="1634" t="s">
        <v>1327</v>
      </c>
      <c r="AS20" s="1634" t="s">
        <v>3136</v>
      </c>
    </row>
    <row r="21" spans="1:45">
      <c r="A21" s="1634" t="s">
        <v>3359</v>
      </c>
      <c r="B21" s="1634" t="s">
        <v>3125</v>
      </c>
      <c r="C21" s="1634" t="s">
        <v>3354</v>
      </c>
      <c r="D21" s="1634" t="s">
        <v>3127</v>
      </c>
      <c r="E21" s="1634" t="s">
        <v>1327</v>
      </c>
      <c r="F21" s="1634" t="s">
        <v>3359</v>
      </c>
      <c r="G21" s="1634" t="s">
        <v>3430</v>
      </c>
      <c r="H21" s="1634" t="s">
        <v>3524</v>
      </c>
      <c r="I21" s="1634" t="s">
        <v>3360</v>
      </c>
      <c r="J21" s="1634">
        <v>17793.89</v>
      </c>
      <c r="K21" s="1634">
        <v>62278.61</v>
      </c>
      <c r="L21" s="1634" t="s">
        <v>3525</v>
      </c>
      <c r="M21" s="1634" t="s">
        <v>1327</v>
      </c>
      <c r="N21" s="1634" t="s">
        <v>3231</v>
      </c>
      <c r="O21" s="1634" t="s">
        <v>3526</v>
      </c>
      <c r="P21" s="1634" t="s">
        <v>1327</v>
      </c>
      <c r="Q21" s="1634" t="s">
        <v>1327</v>
      </c>
      <c r="R21" s="1634" t="s">
        <v>1327</v>
      </c>
      <c r="S21" s="1634" t="s">
        <v>1327</v>
      </c>
      <c r="T21" s="1634" t="s">
        <v>1327</v>
      </c>
      <c r="U21" s="1634" t="s">
        <v>1327</v>
      </c>
      <c r="V21" s="1634" t="s">
        <v>1327</v>
      </c>
      <c r="W21" s="1634" t="s">
        <v>3179</v>
      </c>
      <c r="X21" s="1634" t="s">
        <v>3521</v>
      </c>
      <c r="Y21" s="1634" t="s">
        <v>3522</v>
      </c>
      <c r="Z21" s="1634" t="s">
        <v>3356</v>
      </c>
      <c r="AA21" s="1634" t="s">
        <v>3356</v>
      </c>
      <c r="AB21" s="1634" t="s">
        <v>3527</v>
      </c>
      <c r="AC21" s="1634" t="s">
        <v>3134</v>
      </c>
      <c r="AD21" s="1634" t="s">
        <v>3357</v>
      </c>
      <c r="AE21" s="1634">
        <v>3500</v>
      </c>
      <c r="AF21" s="1634">
        <v>7042</v>
      </c>
      <c r="AG21" s="1634">
        <v>7142</v>
      </c>
      <c r="AH21" s="1634">
        <v>263.83999999999997</v>
      </c>
      <c r="AI21" s="1634">
        <v>267.58</v>
      </c>
      <c r="AJ21" s="1634">
        <v>1130.72</v>
      </c>
      <c r="AK21" s="1634">
        <v>1146.77</v>
      </c>
      <c r="AL21" s="1634" t="s">
        <v>1327</v>
      </c>
      <c r="AM21" s="1634" t="s">
        <v>1327</v>
      </c>
      <c r="AN21" s="1634">
        <v>1.42</v>
      </c>
      <c r="AO21" s="1634" t="s">
        <v>3358</v>
      </c>
      <c r="AP21" s="1634" t="s">
        <v>1327</v>
      </c>
      <c r="AQ21" s="1634" t="s">
        <v>1327</v>
      </c>
      <c r="AR21" s="1634" t="s">
        <v>1327</v>
      </c>
      <c r="AS21" s="1634" t="s">
        <v>3136</v>
      </c>
    </row>
    <row r="22" spans="1:45">
      <c r="A22" s="1634" t="s">
        <v>3361</v>
      </c>
      <c r="B22" s="1634" t="s">
        <v>3125</v>
      </c>
      <c r="C22" s="1634" t="s">
        <v>3354</v>
      </c>
      <c r="D22" s="1634" t="s">
        <v>3127</v>
      </c>
      <c r="E22" s="1634" t="s">
        <v>1327</v>
      </c>
      <c r="F22" s="1634" t="s">
        <v>3361</v>
      </c>
      <c r="G22" s="1634" t="s">
        <v>3430</v>
      </c>
      <c r="H22" s="1634" t="s">
        <v>3528</v>
      </c>
      <c r="I22" s="1634" t="s">
        <v>3362</v>
      </c>
      <c r="J22" s="1634">
        <v>34217.769999999997</v>
      </c>
      <c r="K22" s="1634">
        <v>68435.539999999994</v>
      </c>
      <c r="L22" s="1634" t="s">
        <v>3363</v>
      </c>
      <c r="M22" s="1634" t="s">
        <v>1327</v>
      </c>
      <c r="N22" s="1634" t="s">
        <v>3529</v>
      </c>
      <c r="O22" s="1634" t="s">
        <v>3227</v>
      </c>
      <c r="P22" s="1634" t="s">
        <v>1327</v>
      </c>
      <c r="Q22" s="1634" t="s">
        <v>1327</v>
      </c>
      <c r="R22" s="1634" t="s">
        <v>1327</v>
      </c>
      <c r="S22" s="1634" t="s">
        <v>1327</v>
      </c>
      <c r="T22" s="1634" t="s">
        <v>1327</v>
      </c>
      <c r="U22" s="1634" t="s">
        <v>1327</v>
      </c>
      <c r="V22" s="1634" t="s">
        <v>1327</v>
      </c>
      <c r="W22" s="1634" t="s">
        <v>3179</v>
      </c>
      <c r="X22" s="1634" t="s">
        <v>3530</v>
      </c>
      <c r="Y22" s="1634" t="s">
        <v>3531</v>
      </c>
      <c r="Z22" s="1634" t="s">
        <v>3180</v>
      </c>
      <c r="AA22" s="1634" t="s">
        <v>3180</v>
      </c>
      <c r="AB22" s="1634" t="s">
        <v>3532</v>
      </c>
      <c r="AC22" s="1634" t="s">
        <v>3134</v>
      </c>
      <c r="AD22" s="1634" t="s">
        <v>3364</v>
      </c>
      <c r="AE22" s="1634">
        <v>5000</v>
      </c>
      <c r="AF22" s="1634">
        <v>12420</v>
      </c>
      <c r="AG22" s="1634">
        <v>17220</v>
      </c>
      <c r="AH22" s="1634">
        <v>241.98</v>
      </c>
      <c r="AI22" s="1634">
        <v>335.5</v>
      </c>
      <c r="AJ22" s="1634">
        <v>1814.84</v>
      </c>
      <c r="AK22" s="1634">
        <v>2516.23</v>
      </c>
      <c r="AL22" s="1634" t="s">
        <v>1327</v>
      </c>
      <c r="AM22" s="1634" t="s">
        <v>1327</v>
      </c>
      <c r="AN22" s="1634">
        <v>38.65</v>
      </c>
      <c r="AO22" s="1634" t="s">
        <v>3365</v>
      </c>
      <c r="AP22" s="1634" t="s">
        <v>1327</v>
      </c>
      <c r="AQ22" s="1634" t="s">
        <v>1327</v>
      </c>
      <c r="AR22" s="1634" t="s">
        <v>1327</v>
      </c>
      <c r="AS22" s="1634" t="s">
        <v>3136</v>
      </c>
    </row>
    <row r="23" spans="1:45">
      <c r="A23" s="1634" t="s">
        <v>3366</v>
      </c>
      <c r="B23" s="1634" t="s">
        <v>3125</v>
      </c>
      <c r="C23" s="1634" t="s">
        <v>3344</v>
      </c>
      <c r="D23" s="1634" t="s">
        <v>3127</v>
      </c>
      <c r="E23" s="1634" t="s">
        <v>1327</v>
      </c>
      <c r="F23" s="1634" t="s">
        <v>3366</v>
      </c>
      <c r="G23" s="1634" t="s">
        <v>3430</v>
      </c>
      <c r="H23" s="1634" t="s">
        <v>3533</v>
      </c>
      <c r="I23" s="1634" t="s">
        <v>3367</v>
      </c>
      <c r="J23" s="1634">
        <v>13333.33</v>
      </c>
      <c r="K23" s="1634">
        <v>46666.65</v>
      </c>
      <c r="L23" s="1634" t="s">
        <v>3534</v>
      </c>
      <c r="M23" s="1634" t="s">
        <v>1327</v>
      </c>
      <c r="N23" s="1634" t="s">
        <v>3226</v>
      </c>
      <c r="O23" s="1634" t="s">
        <v>3535</v>
      </c>
      <c r="P23" s="1634" t="s">
        <v>1327</v>
      </c>
      <c r="Q23" s="1634" t="s">
        <v>1327</v>
      </c>
      <c r="R23" s="1634" t="s">
        <v>1327</v>
      </c>
      <c r="S23" s="1634" t="s">
        <v>1327</v>
      </c>
      <c r="T23" s="1634" t="s">
        <v>1327</v>
      </c>
      <c r="U23" s="1634" t="s">
        <v>1327</v>
      </c>
      <c r="V23" s="1634" t="s">
        <v>1327</v>
      </c>
      <c r="W23" s="1634" t="s">
        <v>3193</v>
      </c>
      <c r="X23" s="1634" t="s">
        <v>3536</v>
      </c>
      <c r="Y23" s="1634" t="s">
        <v>3537</v>
      </c>
      <c r="Z23" s="1634" t="s">
        <v>3368</v>
      </c>
      <c r="AA23" s="1634" t="s">
        <v>3368</v>
      </c>
      <c r="AB23" s="1634" t="s">
        <v>3538</v>
      </c>
      <c r="AC23" s="1634" t="s">
        <v>3134</v>
      </c>
      <c r="AD23" s="1634" t="s">
        <v>3211</v>
      </c>
      <c r="AE23" s="1634">
        <v>492</v>
      </c>
      <c r="AF23" s="1634">
        <v>2460</v>
      </c>
      <c r="AG23" s="1634">
        <v>2470</v>
      </c>
      <c r="AH23" s="1634">
        <v>123</v>
      </c>
      <c r="AI23" s="1634">
        <v>123.5</v>
      </c>
      <c r="AJ23" s="1634">
        <v>527.14</v>
      </c>
      <c r="AK23" s="1634">
        <v>529.28</v>
      </c>
      <c r="AL23" s="1634" t="s">
        <v>1327</v>
      </c>
      <c r="AM23" s="1634" t="s">
        <v>1327</v>
      </c>
      <c r="AN23" s="1634">
        <v>0.41</v>
      </c>
      <c r="AO23" s="1634" t="s">
        <v>3348</v>
      </c>
      <c r="AP23" s="1634" t="s">
        <v>1327</v>
      </c>
      <c r="AQ23" s="1634" t="s">
        <v>1327</v>
      </c>
      <c r="AR23" s="1634" t="s">
        <v>1327</v>
      </c>
      <c r="AS23" s="1634" t="s">
        <v>3136</v>
      </c>
    </row>
    <row r="24" spans="1:45">
      <c r="A24" s="1634" t="s">
        <v>3369</v>
      </c>
      <c r="B24" s="1634" t="s">
        <v>3125</v>
      </c>
      <c r="C24" s="1634" t="s">
        <v>3344</v>
      </c>
      <c r="D24" s="1634" t="s">
        <v>3127</v>
      </c>
      <c r="E24" s="1634" t="s">
        <v>1327</v>
      </c>
      <c r="F24" s="1634" t="s">
        <v>3369</v>
      </c>
      <c r="G24" s="1634" t="s">
        <v>3430</v>
      </c>
      <c r="H24" s="1634" t="s">
        <v>3539</v>
      </c>
      <c r="I24" s="1634" t="s">
        <v>3367</v>
      </c>
      <c r="J24" s="1634">
        <v>29347.439999999999</v>
      </c>
      <c r="K24" s="1634">
        <v>73368.600000000006</v>
      </c>
      <c r="L24" s="1634" t="s">
        <v>3540</v>
      </c>
      <c r="M24" s="1634" t="s">
        <v>1327</v>
      </c>
      <c r="N24" s="1634" t="s">
        <v>3231</v>
      </c>
      <c r="O24" s="1634" t="s">
        <v>3541</v>
      </c>
      <c r="P24" s="1634" t="s">
        <v>1327</v>
      </c>
      <c r="Q24" s="1634" t="s">
        <v>1327</v>
      </c>
      <c r="R24" s="1634" t="s">
        <v>1327</v>
      </c>
      <c r="S24" s="1634" t="s">
        <v>1327</v>
      </c>
      <c r="T24" s="1634" t="s">
        <v>1327</v>
      </c>
      <c r="U24" s="1634" t="s">
        <v>1327</v>
      </c>
      <c r="V24" s="1634" t="s">
        <v>1327</v>
      </c>
      <c r="W24" s="1634" t="s">
        <v>3193</v>
      </c>
      <c r="X24" s="1634" t="s">
        <v>3536</v>
      </c>
      <c r="Y24" s="1634" t="s">
        <v>3537</v>
      </c>
      <c r="Z24" s="1634" t="s">
        <v>3368</v>
      </c>
      <c r="AA24" s="1634" t="s">
        <v>3368</v>
      </c>
      <c r="AB24" s="1634" t="s">
        <v>3542</v>
      </c>
      <c r="AC24" s="1634" t="s">
        <v>3134</v>
      </c>
      <c r="AD24" s="1634" t="s">
        <v>3211</v>
      </c>
      <c r="AE24" s="1634">
        <v>714</v>
      </c>
      <c r="AF24" s="1634">
        <v>3566</v>
      </c>
      <c r="AG24" s="1634">
        <v>3576</v>
      </c>
      <c r="AH24" s="1634">
        <v>81.010000000000005</v>
      </c>
      <c r="AI24" s="1634">
        <v>81.23</v>
      </c>
      <c r="AJ24" s="1634">
        <v>486.03</v>
      </c>
      <c r="AK24" s="1634">
        <v>487.39</v>
      </c>
      <c r="AL24" s="1634" t="s">
        <v>1327</v>
      </c>
      <c r="AM24" s="1634" t="s">
        <v>1327</v>
      </c>
      <c r="AN24" s="1634">
        <v>0.28000000000000003</v>
      </c>
      <c r="AO24" s="1634" t="s">
        <v>3348</v>
      </c>
      <c r="AP24" s="1634" t="s">
        <v>1327</v>
      </c>
      <c r="AQ24" s="1634" t="s">
        <v>1327</v>
      </c>
      <c r="AR24" s="1634" t="s">
        <v>1327</v>
      </c>
      <c r="AS24" s="1634" t="s">
        <v>3136</v>
      </c>
    </row>
    <row r="25" spans="1:45">
      <c r="A25" s="1634" t="s">
        <v>3370</v>
      </c>
      <c r="B25" s="1634" t="s">
        <v>3125</v>
      </c>
      <c r="C25" s="1634" t="s">
        <v>3344</v>
      </c>
      <c r="D25" s="1634" t="s">
        <v>3127</v>
      </c>
      <c r="E25" s="1634" t="s">
        <v>1327</v>
      </c>
      <c r="F25" s="1634" t="s">
        <v>3370</v>
      </c>
      <c r="G25" s="1634" t="s">
        <v>3430</v>
      </c>
      <c r="H25" s="1634" t="s">
        <v>3543</v>
      </c>
      <c r="I25" s="1634" t="s">
        <v>3367</v>
      </c>
      <c r="J25" s="1634">
        <v>23340</v>
      </c>
      <c r="K25" s="1634">
        <v>48780.6</v>
      </c>
      <c r="L25" s="1634" t="s">
        <v>3544</v>
      </c>
      <c r="M25" s="1634" t="s">
        <v>1327</v>
      </c>
      <c r="N25" s="1634" t="s">
        <v>3545</v>
      </c>
      <c r="O25" s="1634" t="s">
        <v>3184</v>
      </c>
      <c r="P25" s="1634" t="s">
        <v>1327</v>
      </c>
      <c r="Q25" s="1634" t="s">
        <v>1327</v>
      </c>
      <c r="R25" s="1634" t="s">
        <v>1327</v>
      </c>
      <c r="S25" s="1634" t="s">
        <v>1327</v>
      </c>
      <c r="T25" s="1634" t="s">
        <v>1327</v>
      </c>
      <c r="U25" s="1634" t="s">
        <v>1327</v>
      </c>
      <c r="V25" s="1634" t="s">
        <v>1327</v>
      </c>
      <c r="W25" s="1634" t="s">
        <v>3193</v>
      </c>
      <c r="X25" s="1634" t="s">
        <v>3536</v>
      </c>
      <c r="Y25" s="1634" t="s">
        <v>3537</v>
      </c>
      <c r="Z25" s="1634" t="s">
        <v>3368</v>
      </c>
      <c r="AA25" s="1634" t="s">
        <v>3368</v>
      </c>
      <c r="AB25" s="1634" t="s">
        <v>3546</v>
      </c>
      <c r="AC25" s="1634" t="s">
        <v>3134</v>
      </c>
      <c r="AD25" s="1634" t="s">
        <v>3211</v>
      </c>
      <c r="AE25" s="1634">
        <v>561</v>
      </c>
      <c r="AF25" s="1634">
        <v>2801</v>
      </c>
      <c r="AG25" s="1634">
        <v>2811</v>
      </c>
      <c r="AH25" s="1634">
        <v>80.010000000000005</v>
      </c>
      <c r="AI25" s="1634">
        <v>80.290000000000006</v>
      </c>
      <c r="AJ25" s="1634">
        <v>574.20000000000005</v>
      </c>
      <c r="AK25" s="1634">
        <v>576.25</v>
      </c>
      <c r="AL25" s="1634" t="s">
        <v>1327</v>
      </c>
      <c r="AM25" s="1634" t="s">
        <v>1327</v>
      </c>
      <c r="AN25" s="1634">
        <v>0.36</v>
      </c>
      <c r="AO25" s="1634" t="s">
        <v>3348</v>
      </c>
      <c r="AP25" s="1634" t="s">
        <v>1327</v>
      </c>
      <c r="AQ25" s="1634" t="s">
        <v>1327</v>
      </c>
      <c r="AR25" s="1634" t="s">
        <v>1327</v>
      </c>
      <c r="AS25" s="1634" t="s">
        <v>3136</v>
      </c>
    </row>
    <row r="26" spans="1:45">
      <c r="A26" s="1634" t="s">
        <v>3371</v>
      </c>
      <c r="B26" s="1634" t="s">
        <v>3125</v>
      </c>
      <c r="C26" s="1634" t="s">
        <v>3344</v>
      </c>
      <c r="D26" s="1634" t="s">
        <v>3127</v>
      </c>
      <c r="E26" s="1634" t="s">
        <v>1327</v>
      </c>
      <c r="F26" s="1634" t="s">
        <v>3371</v>
      </c>
      <c r="G26" s="1634" t="s">
        <v>3430</v>
      </c>
      <c r="H26" s="1634" t="s">
        <v>3547</v>
      </c>
      <c r="I26" s="1634" t="s">
        <v>3367</v>
      </c>
      <c r="J26" s="1634">
        <v>49313.33</v>
      </c>
      <c r="K26" s="1634">
        <v>103064.9</v>
      </c>
      <c r="L26" s="1634" t="s">
        <v>3544</v>
      </c>
      <c r="M26" s="1634" t="s">
        <v>1327</v>
      </c>
      <c r="N26" s="1634" t="s">
        <v>3545</v>
      </c>
      <c r="O26" s="1634" t="s">
        <v>3526</v>
      </c>
      <c r="P26" s="1634" t="s">
        <v>1327</v>
      </c>
      <c r="Q26" s="1634" t="s">
        <v>1327</v>
      </c>
      <c r="R26" s="1634" t="s">
        <v>1327</v>
      </c>
      <c r="S26" s="1634" t="s">
        <v>1327</v>
      </c>
      <c r="T26" s="1634" t="s">
        <v>1327</v>
      </c>
      <c r="U26" s="1634" t="s">
        <v>1327</v>
      </c>
      <c r="V26" s="1634" t="s">
        <v>1327</v>
      </c>
      <c r="W26" s="1634" t="s">
        <v>3193</v>
      </c>
      <c r="X26" s="1634" t="s">
        <v>3536</v>
      </c>
      <c r="Y26" s="1634" t="s">
        <v>3537</v>
      </c>
      <c r="Z26" s="1634" t="s">
        <v>3368</v>
      </c>
      <c r="AA26" s="1634" t="s">
        <v>3368</v>
      </c>
      <c r="AB26" s="1634" t="s">
        <v>3548</v>
      </c>
      <c r="AC26" s="1634" t="s">
        <v>3134</v>
      </c>
      <c r="AD26" s="1634" t="s">
        <v>3211</v>
      </c>
      <c r="AE26" s="1634">
        <v>1184</v>
      </c>
      <c r="AF26" s="1634">
        <v>5918</v>
      </c>
      <c r="AG26" s="1634">
        <v>5928</v>
      </c>
      <c r="AH26" s="1634">
        <v>80.010000000000005</v>
      </c>
      <c r="AI26" s="1634">
        <v>80.14</v>
      </c>
      <c r="AJ26" s="1634">
        <v>574.20000000000005</v>
      </c>
      <c r="AK26" s="1634">
        <v>575.16</v>
      </c>
      <c r="AL26" s="1634" t="s">
        <v>1327</v>
      </c>
      <c r="AM26" s="1634" t="s">
        <v>1327</v>
      </c>
      <c r="AN26" s="1634">
        <v>0.17</v>
      </c>
      <c r="AO26" s="1634" t="s">
        <v>3348</v>
      </c>
      <c r="AP26" s="1634" t="s">
        <v>1327</v>
      </c>
      <c r="AQ26" s="1634" t="s">
        <v>1327</v>
      </c>
      <c r="AR26" s="1634" t="s">
        <v>1327</v>
      </c>
      <c r="AS26" s="1634" t="s">
        <v>3136</v>
      </c>
    </row>
    <row r="27" spans="1:45">
      <c r="A27" s="1634" t="s">
        <v>3372</v>
      </c>
      <c r="B27" s="1634" t="s">
        <v>3125</v>
      </c>
      <c r="C27" s="1634" t="s">
        <v>3344</v>
      </c>
      <c r="D27" s="1634" t="s">
        <v>3127</v>
      </c>
      <c r="E27" s="1634" t="s">
        <v>1327</v>
      </c>
      <c r="F27" s="1634" t="s">
        <v>3372</v>
      </c>
      <c r="G27" s="1634" t="s">
        <v>3430</v>
      </c>
      <c r="H27" s="1634" t="s">
        <v>3549</v>
      </c>
      <c r="I27" s="1634" t="s">
        <v>3367</v>
      </c>
      <c r="J27" s="1634">
        <v>52299.89</v>
      </c>
      <c r="K27" s="1634">
        <v>104599.8</v>
      </c>
      <c r="L27" s="1634" t="s">
        <v>3550</v>
      </c>
      <c r="M27" s="1634" t="s">
        <v>1327</v>
      </c>
      <c r="N27" s="1634" t="s">
        <v>3235</v>
      </c>
      <c r="O27" s="1634" t="s">
        <v>3227</v>
      </c>
      <c r="P27" s="1634" t="s">
        <v>1327</v>
      </c>
      <c r="Q27" s="1634" t="s">
        <v>1327</v>
      </c>
      <c r="R27" s="1634" t="s">
        <v>1327</v>
      </c>
      <c r="S27" s="1634" t="s">
        <v>1327</v>
      </c>
      <c r="T27" s="1634" t="s">
        <v>1327</v>
      </c>
      <c r="U27" s="1634" t="s">
        <v>1327</v>
      </c>
      <c r="V27" s="1634" t="s">
        <v>1327</v>
      </c>
      <c r="W27" s="1634" t="s">
        <v>3193</v>
      </c>
      <c r="X27" s="1634" t="s">
        <v>3536</v>
      </c>
      <c r="Y27" s="1634" t="s">
        <v>3537</v>
      </c>
      <c r="Z27" s="1634" t="s">
        <v>3368</v>
      </c>
      <c r="AA27" s="1634" t="s">
        <v>3368</v>
      </c>
      <c r="AB27" s="1634" t="s">
        <v>3551</v>
      </c>
      <c r="AC27" s="1634" t="s">
        <v>3134</v>
      </c>
      <c r="AD27" s="1634" t="s">
        <v>3211</v>
      </c>
      <c r="AE27" s="1634">
        <v>1616</v>
      </c>
      <c r="AF27" s="1634">
        <v>8080</v>
      </c>
      <c r="AG27" s="1634">
        <v>8090</v>
      </c>
      <c r="AH27" s="1634">
        <v>103</v>
      </c>
      <c r="AI27" s="1634">
        <v>103.12</v>
      </c>
      <c r="AJ27" s="1634">
        <v>772.46</v>
      </c>
      <c r="AK27" s="1634">
        <v>773.41</v>
      </c>
      <c r="AL27" s="1634" t="s">
        <v>1327</v>
      </c>
      <c r="AM27" s="1634" t="s">
        <v>1327</v>
      </c>
      <c r="AN27" s="1634">
        <v>0.12</v>
      </c>
      <c r="AO27" s="1634" t="s">
        <v>3348</v>
      </c>
      <c r="AP27" s="1634" t="s">
        <v>1327</v>
      </c>
      <c r="AQ27" s="1634" t="s">
        <v>1327</v>
      </c>
      <c r="AR27" s="1634" t="s">
        <v>1327</v>
      </c>
      <c r="AS27" s="1634" t="s">
        <v>3136</v>
      </c>
    </row>
    <row r="28" spans="1:45">
      <c r="A28" s="1634" t="s">
        <v>3373</v>
      </c>
      <c r="B28" s="1634" t="s">
        <v>3125</v>
      </c>
      <c r="C28" s="1634" t="s">
        <v>3354</v>
      </c>
      <c r="D28" s="1634" t="s">
        <v>3127</v>
      </c>
      <c r="E28" s="1634" t="s">
        <v>1327</v>
      </c>
      <c r="F28" s="1634" t="s">
        <v>3373</v>
      </c>
      <c r="G28" s="1634" t="s">
        <v>3430</v>
      </c>
      <c r="H28" s="1634" t="s">
        <v>3552</v>
      </c>
      <c r="I28" s="1634" t="s">
        <v>3362</v>
      </c>
      <c r="J28" s="1634">
        <v>15341.01</v>
      </c>
      <c r="K28" s="1634">
        <v>53693.54</v>
      </c>
      <c r="L28" s="1634" t="s">
        <v>3525</v>
      </c>
      <c r="M28" s="1634" t="s">
        <v>1327</v>
      </c>
      <c r="N28" s="1634" t="s">
        <v>3553</v>
      </c>
      <c r="O28" s="1634" t="s">
        <v>3554</v>
      </c>
      <c r="P28" s="1634" t="s">
        <v>1327</v>
      </c>
      <c r="Q28" s="1634" t="s">
        <v>1327</v>
      </c>
      <c r="R28" s="1634" t="s">
        <v>1327</v>
      </c>
      <c r="S28" s="1634" t="s">
        <v>1327</v>
      </c>
      <c r="T28" s="1634" t="s">
        <v>1327</v>
      </c>
      <c r="U28" s="1634" t="s">
        <v>1327</v>
      </c>
      <c r="V28" s="1634" t="s">
        <v>1327</v>
      </c>
      <c r="W28" s="1634" t="s">
        <v>3193</v>
      </c>
      <c r="X28" s="1634" t="s">
        <v>3555</v>
      </c>
      <c r="Y28" s="1634" t="s">
        <v>3556</v>
      </c>
      <c r="Z28" s="1634" t="s">
        <v>3374</v>
      </c>
      <c r="AA28" s="1634" t="s">
        <v>3374</v>
      </c>
      <c r="AB28" s="1634" t="s">
        <v>3557</v>
      </c>
      <c r="AC28" s="1634" t="s">
        <v>3134</v>
      </c>
      <c r="AD28" s="1634" t="s">
        <v>3182</v>
      </c>
      <c r="AE28" s="1634">
        <v>2800</v>
      </c>
      <c r="AF28" s="1634">
        <v>5565</v>
      </c>
      <c r="AG28" s="1634">
        <v>5605</v>
      </c>
      <c r="AH28" s="1634">
        <v>241.84</v>
      </c>
      <c r="AI28" s="1634">
        <v>243.57</v>
      </c>
      <c r="AJ28" s="1634">
        <v>1036.43</v>
      </c>
      <c r="AK28" s="1634">
        <v>1043.8900000000001</v>
      </c>
      <c r="AL28" s="1634" t="s">
        <v>1327</v>
      </c>
      <c r="AM28" s="1634" t="s">
        <v>1327</v>
      </c>
      <c r="AN28" s="1634">
        <v>0.72</v>
      </c>
      <c r="AO28" s="1634" t="s">
        <v>3375</v>
      </c>
      <c r="AP28" s="1634" t="s">
        <v>1327</v>
      </c>
      <c r="AQ28" s="1634" t="s">
        <v>1327</v>
      </c>
      <c r="AR28" s="1634" t="s">
        <v>1327</v>
      </c>
      <c r="AS28" s="1634" t="s">
        <v>3136</v>
      </c>
    </row>
    <row r="29" spans="1:45">
      <c r="A29" s="1634" t="s">
        <v>3376</v>
      </c>
      <c r="B29" s="1634" t="s">
        <v>3125</v>
      </c>
      <c r="C29" s="1634" t="s">
        <v>3354</v>
      </c>
      <c r="D29" s="1634" t="s">
        <v>3127</v>
      </c>
      <c r="E29" s="1634" t="s">
        <v>1327</v>
      </c>
      <c r="F29" s="1634" t="s">
        <v>3376</v>
      </c>
      <c r="G29" s="1634" t="s">
        <v>3430</v>
      </c>
      <c r="H29" s="1634" t="s">
        <v>3558</v>
      </c>
      <c r="I29" s="1634" t="s">
        <v>3377</v>
      </c>
      <c r="J29" s="1634">
        <v>13945.53</v>
      </c>
      <c r="K29" s="1634">
        <v>103196.9</v>
      </c>
      <c r="L29" s="1634" t="s">
        <v>3559</v>
      </c>
      <c r="M29" s="1634" t="s">
        <v>1327</v>
      </c>
      <c r="N29" s="1634" t="s">
        <v>3167</v>
      </c>
      <c r="O29" s="1634" t="s">
        <v>1327</v>
      </c>
      <c r="P29" s="1634" t="s">
        <v>1327</v>
      </c>
      <c r="Q29" s="1634" t="s">
        <v>1327</v>
      </c>
      <c r="R29" s="1634" t="s">
        <v>1327</v>
      </c>
      <c r="S29" s="1634" t="s">
        <v>1327</v>
      </c>
      <c r="T29" s="1634" t="s">
        <v>1327</v>
      </c>
      <c r="U29" s="1634" t="s">
        <v>1327</v>
      </c>
      <c r="V29" s="1634" t="s">
        <v>1327</v>
      </c>
      <c r="W29" s="1634" t="s">
        <v>3193</v>
      </c>
      <c r="X29" s="1634" t="s">
        <v>3560</v>
      </c>
      <c r="Y29" s="1634" t="s">
        <v>3561</v>
      </c>
      <c r="Z29" s="1634" t="s">
        <v>3378</v>
      </c>
      <c r="AA29" s="1634" t="s">
        <v>3378</v>
      </c>
      <c r="AB29" s="1634" t="s">
        <v>3562</v>
      </c>
      <c r="AC29" s="1634" t="s">
        <v>3134</v>
      </c>
      <c r="AD29" s="1634" t="s">
        <v>3379</v>
      </c>
      <c r="AE29" s="1634">
        <v>1800</v>
      </c>
      <c r="AF29" s="1634">
        <v>8672</v>
      </c>
      <c r="AG29" s="1634">
        <v>8682</v>
      </c>
      <c r="AH29" s="1634">
        <v>414.57</v>
      </c>
      <c r="AI29" s="1634">
        <v>415.04</v>
      </c>
      <c r="AJ29" s="1634">
        <v>840.33</v>
      </c>
      <c r="AK29" s="1634">
        <v>841.29</v>
      </c>
      <c r="AL29" s="1634" t="s">
        <v>1327</v>
      </c>
      <c r="AM29" s="1634" t="s">
        <v>1327</v>
      </c>
      <c r="AN29" s="1634">
        <v>0.12</v>
      </c>
      <c r="AO29" s="1634" t="s">
        <v>3375</v>
      </c>
      <c r="AP29" s="1634" t="s">
        <v>1327</v>
      </c>
      <c r="AQ29" s="1634" t="s">
        <v>1327</v>
      </c>
      <c r="AR29" s="1634" t="s">
        <v>1327</v>
      </c>
      <c r="AS29" s="1634" t="s">
        <v>3136</v>
      </c>
    </row>
    <row r="30" spans="1:45">
      <c r="A30" s="1634" t="s">
        <v>3380</v>
      </c>
      <c r="B30" s="1634" t="s">
        <v>3125</v>
      </c>
      <c r="C30" s="1634" t="s">
        <v>3354</v>
      </c>
      <c r="D30" s="1634" t="s">
        <v>3127</v>
      </c>
      <c r="E30" s="1634" t="s">
        <v>1327</v>
      </c>
      <c r="F30" s="1634" t="s">
        <v>3380</v>
      </c>
      <c r="G30" s="1634" t="s">
        <v>3430</v>
      </c>
      <c r="H30" s="1634" t="s">
        <v>3563</v>
      </c>
      <c r="I30" s="1634" t="s">
        <v>3377</v>
      </c>
      <c r="J30" s="1634">
        <v>5262.11</v>
      </c>
      <c r="K30" s="1634">
        <v>40518.25</v>
      </c>
      <c r="L30" s="1634" t="s">
        <v>3564</v>
      </c>
      <c r="M30" s="1634" t="s">
        <v>1327</v>
      </c>
      <c r="N30" s="1634" t="s">
        <v>3208</v>
      </c>
      <c r="O30" s="1634" t="s">
        <v>3526</v>
      </c>
      <c r="P30" s="1634" t="s">
        <v>1327</v>
      </c>
      <c r="Q30" s="1634" t="s">
        <v>1327</v>
      </c>
      <c r="R30" s="1634" t="s">
        <v>1327</v>
      </c>
      <c r="S30" s="1634" t="s">
        <v>1327</v>
      </c>
      <c r="T30" s="1634" t="s">
        <v>1327</v>
      </c>
      <c r="U30" s="1634" t="s">
        <v>1327</v>
      </c>
      <c r="V30" s="1634" t="s">
        <v>1327</v>
      </c>
      <c r="W30" s="1634" t="s">
        <v>3193</v>
      </c>
      <c r="X30" s="1634" t="s">
        <v>3565</v>
      </c>
      <c r="Y30" s="1634" t="s">
        <v>3566</v>
      </c>
      <c r="Z30" s="1634" t="s">
        <v>3381</v>
      </c>
      <c r="AA30" s="1634" t="s">
        <v>3381</v>
      </c>
      <c r="AB30" s="1634" t="s">
        <v>3567</v>
      </c>
      <c r="AC30" s="1634" t="s">
        <v>3134</v>
      </c>
      <c r="AD30" s="1634" t="s">
        <v>3382</v>
      </c>
      <c r="AE30" s="1634">
        <v>600</v>
      </c>
      <c r="AF30" s="1634">
        <v>2581</v>
      </c>
      <c r="AG30" s="1634">
        <v>2601</v>
      </c>
      <c r="AH30" s="1634">
        <v>326.99</v>
      </c>
      <c r="AI30" s="1634">
        <v>329.53</v>
      </c>
      <c r="AJ30" s="1634">
        <v>636.99</v>
      </c>
      <c r="AK30" s="1634">
        <v>641.91999999999996</v>
      </c>
      <c r="AL30" s="1634" t="s">
        <v>1327</v>
      </c>
      <c r="AM30" s="1634" t="s">
        <v>1327</v>
      </c>
      <c r="AN30" s="1634">
        <v>0.77</v>
      </c>
      <c r="AO30" s="1634" t="s">
        <v>3375</v>
      </c>
      <c r="AP30" s="1634" t="s">
        <v>1327</v>
      </c>
      <c r="AQ30" s="1634" t="s">
        <v>1327</v>
      </c>
      <c r="AR30" s="1634" t="s">
        <v>1327</v>
      </c>
      <c r="AS30" s="1634" t="s">
        <v>3136</v>
      </c>
    </row>
    <row r="31" spans="1:45">
      <c r="A31" s="1634" t="s">
        <v>3383</v>
      </c>
      <c r="B31" s="1634" t="s">
        <v>3125</v>
      </c>
      <c r="C31" s="1634" t="s">
        <v>3354</v>
      </c>
      <c r="D31" s="1634" t="s">
        <v>3127</v>
      </c>
      <c r="E31" s="1634" t="s">
        <v>1327</v>
      </c>
      <c r="F31" s="1634" t="s">
        <v>3383</v>
      </c>
      <c r="G31" s="1634" t="s">
        <v>3430</v>
      </c>
      <c r="H31" s="1634" t="s">
        <v>3568</v>
      </c>
      <c r="I31" s="1634" t="s">
        <v>3384</v>
      </c>
      <c r="J31" s="1634">
        <v>65647.850000000006</v>
      </c>
      <c r="K31" s="1634">
        <v>262591.40000000002</v>
      </c>
      <c r="L31" s="1634" t="s">
        <v>3569</v>
      </c>
      <c r="M31" s="1634" t="s">
        <v>1327</v>
      </c>
      <c r="N31" s="1634" t="s">
        <v>3167</v>
      </c>
      <c r="O31" s="1634" t="s">
        <v>3570</v>
      </c>
      <c r="P31" s="1634" t="s">
        <v>1327</v>
      </c>
      <c r="Q31" s="1634" t="s">
        <v>1327</v>
      </c>
      <c r="R31" s="1634" t="s">
        <v>1327</v>
      </c>
      <c r="S31" s="1634" t="s">
        <v>1327</v>
      </c>
      <c r="T31" s="1634" t="s">
        <v>1327</v>
      </c>
      <c r="U31" s="1634" t="s">
        <v>1327</v>
      </c>
      <c r="V31" s="1634" t="s">
        <v>1327</v>
      </c>
      <c r="W31" s="1634" t="s">
        <v>3193</v>
      </c>
      <c r="X31" s="1634" t="s">
        <v>3571</v>
      </c>
      <c r="Y31" s="1634" t="s">
        <v>3572</v>
      </c>
      <c r="Z31" s="1634" t="s">
        <v>3385</v>
      </c>
      <c r="AA31" s="1634" t="s">
        <v>3385</v>
      </c>
      <c r="AB31" s="1634" t="s">
        <v>3573</v>
      </c>
      <c r="AC31" s="1634" t="s">
        <v>3134</v>
      </c>
      <c r="AD31" s="1634" t="s">
        <v>3386</v>
      </c>
      <c r="AE31" s="1634">
        <v>8000</v>
      </c>
      <c r="AF31" s="1634">
        <v>18920</v>
      </c>
      <c r="AG31" s="1634">
        <v>18930</v>
      </c>
      <c r="AH31" s="1634">
        <v>192.14</v>
      </c>
      <c r="AI31" s="1634">
        <v>192.24</v>
      </c>
      <c r="AJ31" s="1634">
        <v>720.51</v>
      </c>
      <c r="AK31" s="1634">
        <v>720.88</v>
      </c>
      <c r="AL31" s="1634" t="s">
        <v>1327</v>
      </c>
      <c r="AM31" s="1634" t="s">
        <v>1327</v>
      </c>
      <c r="AN31" s="1634">
        <v>0.05</v>
      </c>
      <c r="AO31" s="1634" t="s">
        <v>3387</v>
      </c>
      <c r="AP31" s="1634" t="s">
        <v>1327</v>
      </c>
      <c r="AQ31" s="1634" t="s">
        <v>1327</v>
      </c>
      <c r="AR31" s="1634" t="s">
        <v>1327</v>
      </c>
      <c r="AS31" s="1634" t="s">
        <v>3136</v>
      </c>
    </row>
    <row r="32" spans="1:45">
      <c r="A32" s="1634" t="s">
        <v>3388</v>
      </c>
      <c r="B32" s="1634" t="s">
        <v>3125</v>
      </c>
      <c r="C32" s="1634" t="s">
        <v>3354</v>
      </c>
      <c r="D32" s="1634" t="s">
        <v>3127</v>
      </c>
      <c r="E32" s="1634" t="s">
        <v>1327</v>
      </c>
      <c r="F32" s="1634" t="s">
        <v>3388</v>
      </c>
      <c r="G32" s="1634" t="s">
        <v>3430</v>
      </c>
      <c r="H32" s="1634" t="s">
        <v>3574</v>
      </c>
      <c r="I32" s="1634" t="s">
        <v>3377</v>
      </c>
      <c r="J32" s="1634">
        <v>129882.7</v>
      </c>
      <c r="K32" s="1634">
        <v>350683.3</v>
      </c>
      <c r="L32" s="1634" t="s">
        <v>3575</v>
      </c>
      <c r="M32" s="1634" t="s">
        <v>1327</v>
      </c>
      <c r="N32" s="1634" t="s">
        <v>3148</v>
      </c>
      <c r="O32" s="1634" t="s">
        <v>3526</v>
      </c>
      <c r="P32" s="1634" t="s">
        <v>1327</v>
      </c>
      <c r="Q32" s="1634" t="s">
        <v>1327</v>
      </c>
      <c r="R32" s="1634" t="s">
        <v>1327</v>
      </c>
      <c r="S32" s="1634" t="s">
        <v>1327</v>
      </c>
      <c r="T32" s="1634" t="s">
        <v>1327</v>
      </c>
      <c r="U32" s="1634" t="s">
        <v>1327</v>
      </c>
      <c r="V32" s="1634" t="s">
        <v>1327</v>
      </c>
      <c r="W32" s="1634" t="s">
        <v>3193</v>
      </c>
      <c r="X32" s="1634" t="s">
        <v>3576</v>
      </c>
      <c r="Y32" s="1634" t="s">
        <v>3577</v>
      </c>
      <c r="Z32" s="1634" t="s">
        <v>3389</v>
      </c>
      <c r="AA32" s="1634" t="s">
        <v>3389</v>
      </c>
      <c r="AB32" s="1634" t="s">
        <v>3578</v>
      </c>
      <c r="AC32" s="1634" t="s">
        <v>3134</v>
      </c>
      <c r="AD32" s="1634" t="s">
        <v>3390</v>
      </c>
      <c r="AE32" s="1634">
        <v>5000</v>
      </c>
      <c r="AF32" s="1634">
        <v>21302</v>
      </c>
      <c r="AG32" s="1634">
        <v>21312</v>
      </c>
      <c r="AH32" s="1634">
        <v>109.34</v>
      </c>
      <c r="AI32" s="1634">
        <v>109.39</v>
      </c>
      <c r="AJ32" s="1634">
        <v>607.44000000000005</v>
      </c>
      <c r="AK32" s="1634">
        <v>607.73</v>
      </c>
      <c r="AL32" s="1634" t="s">
        <v>1327</v>
      </c>
      <c r="AM32" s="1634" t="s">
        <v>1327</v>
      </c>
      <c r="AN32" s="1634">
        <v>0.05</v>
      </c>
      <c r="AO32" s="1634" t="s">
        <v>3391</v>
      </c>
      <c r="AP32" s="1634" t="s">
        <v>1327</v>
      </c>
      <c r="AQ32" s="1634" t="s">
        <v>1327</v>
      </c>
      <c r="AR32" s="1634" t="s">
        <v>1327</v>
      </c>
      <c r="AS32" s="1634" t="s">
        <v>3136</v>
      </c>
    </row>
    <row r="33" spans="1:45">
      <c r="A33" s="1634" t="s">
        <v>3579</v>
      </c>
      <c r="B33" s="1634" t="s">
        <v>3125</v>
      </c>
      <c r="C33" s="1634" t="s">
        <v>3354</v>
      </c>
      <c r="D33" s="1634" t="s">
        <v>3127</v>
      </c>
      <c r="E33" s="1634" t="s">
        <v>1327</v>
      </c>
      <c r="F33" s="1634" t="s">
        <v>3579</v>
      </c>
      <c r="G33" s="1634" t="s">
        <v>3430</v>
      </c>
      <c r="H33" s="1634" t="s">
        <v>3580</v>
      </c>
      <c r="I33" s="1634" t="s">
        <v>3581</v>
      </c>
      <c r="J33" s="1634">
        <v>4546.7</v>
      </c>
      <c r="K33" s="1634">
        <v>15913.45</v>
      </c>
      <c r="L33" s="1634" t="s">
        <v>3582</v>
      </c>
      <c r="M33" s="1634" t="s">
        <v>1327</v>
      </c>
      <c r="N33" s="1634" t="s">
        <v>3167</v>
      </c>
      <c r="O33" s="1634" t="s">
        <v>3570</v>
      </c>
      <c r="P33" s="1634" t="s">
        <v>1327</v>
      </c>
      <c r="Q33" s="1634" t="s">
        <v>1327</v>
      </c>
      <c r="R33" s="1634" t="s">
        <v>1327</v>
      </c>
      <c r="S33" s="1634" t="s">
        <v>1327</v>
      </c>
      <c r="T33" s="1634" t="s">
        <v>1327</v>
      </c>
      <c r="U33" s="1634" t="s">
        <v>1327</v>
      </c>
      <c r="V33" s="1634" t="s">
        <v>1327</v>
      </c>
      <c r="W33" s="1634" t="s">
        <v>3193</v>
      </c>
      <c r="X33" s="1634" t="s">
        <v>3583</v>
      </c>
      <c r="Y33" s="1634" t="s">
        <v>3584</v>
      </c>
      <c r="Z33" s="1634" t="s">
        <v>3585</v>
      </c>
      <c r="AA33" s="1634" t="s">
        <v>3585</v>
      </c>
      <c r="AB33" s="1634" t="s">
        <v>3586</v>
      </c>
      <c r="AC33" s="1634" t="s">
        <v>3134</v>
      </c>
      <c r="AD33" s="1634" t="s">
        <v>3237</v>
      </c>
      <c r="AE33" s="1634">
        <v>700</v>
      </c>
      <c r="AF33" s="1634">
        <v>1252</v>
      </c>
      <c r="AG33" s="1634">
        <v>1262</v>
      </c>
      <c r="AH33" s="1634">
        <v>183.58</v>
      </c>
      <c r="AI33" s="1634">
        <v>185.04</v>
      </c>
      <c r="AJ33" s="1634">
        <v>786.75</v>
      </c>
      <c r="AK33" s="1634">
        <v>793.03</v>
      </c>
      <c r="AL33" s="1634" t="s">
        <v>1327</v>
      </c>
      <c r="AM33" s="1634" t="s">
        <v>1327</v>
      </c>
      <c r="AN33" s="1634">
        <v>0.8</v>
      </c>
      <c r="AO33" s="1634" t="s">
        <v>3587</v>
      </c>
      <c r="AP33" s="1634" t="s">
        <v>1327</v>
      </c>
      <c r="AQ33" s="1634" t="s">
        <v>1327</v>
      </c>
      <c r="AR33" s="1634" t="s">
        <v>1327</v>
      </c>
      <c r="AS33" s="1634" t="s">
        <v>3136</v>
      </c>
    </row>
    <row r="34" spans="1:45">
      <c r="A34" s="1634" t="s">
        <v>3588</v>
      </c>
      <c r="B34" s="1634" t="s">
        <v>3125</v>
      </c>
      <c r="C34" s="1634" t="s">
        <v>3354</v>
      </c>
      <c r="D34" s="1634" t="s">
        <v>3127</v>
      </c>
      <c r="E34" s="1634" t="s">
        <v>1327</v>
      </c>
      <c r="F34" s="1634" t="s">
        <v>3588</v>
      </c>
      <c r="G34" s="1634" t="s">
        <v>3430</v>
      </c>
      <c r="H34" s="1634" t="s">
        <v>3589</v>
      </c>
      <c r="I34" s="1634" t="s">
        <v>3581</v>
      </c>
      <c r="J34" s="1634">
        <v>8363.6299999999992</v>
      </c>
      <c r="K34" s="1634">
        <v>20909.07</v>
      </c>
      <c r="L34" s="1634" t="s">
        <v>3590</v>
      </c>
      <c r="M34" s="1634" t="s">
        <v>1327</v>
      </c>
      <c r="N34" s="1634" t="s">
        <v>3167</v>
      </c>
      <c r="O34" s="1634" t="s">
        <v>3526</v>
      </c>
      <c r="P34" s="1634" t="s">
        <v>1327</v>
      </c>
      <c r="Q34" s="1634" t="s">
        <v>1327</v>
      </c>
      <c r="R34" s="1634" t="s">
        <v>1327</v>
      </c>
      <c r="S34" s="1634" t="s">
        <v>1327</v>
      </c>
      <c r="T34" s="1634" t="s">
        <v>1327</v>
      </c>
      <c r="U34" s="1634" t="s">
        <v>1327</v>
      </c>
      <c r="V34" s="1634" t="s">
        <v>1327</v>
      </c>
      <c r="W34" s="1634" t="s">
        <v>3193</v>
      </c>
      <c r="X34" s="1634" t="s">
        <v>3591</v>
      </c>
      <c r="Y34" s="1634" t="s">
        <v>3592</v>
      </c>
      <c r="Z34" s="1634" t="s">
        <v>3199</v>
      </c>
      <c r="AA34" s="1634" t="s">
        <v>3199</v>
      </c>
      <c r="AB34" s="1634" t="s">
        <v>3593</v>
      </c>
      <c r="AC34" s="1634" t="s">
        <v>3134</v>
      </c>
      <c r="AD34" s="1634" t="s">
        <v>3594</v>
      </c>
      <c r="AE34" s="1634">
        <v>272</v>
      </c>
      <c r="AF34" s="1634">
        <v>1359</v>
      </c>
      <c r="AG34" s="1634">
        <v>1369</v>
      </c>
      <c r="AH34" s="1634">
        <v>108.33</v>
      </c>
      <c r="AI34" s="1634">
        <v>109.12</v>
      </c>
      <c r="AJ34" s="1634">
        <v>649.95000000000005</v>
      </c>
      <c r="AK34" s="1634">
        <v>654.74</v>
      </c>
      <c r="AL34" s="1634" t="s">
        <v>1327</v>
      </c>
      <c r="AM34" s="1634" t="s">
        <v>1327</v>
      </c>
      <c r="AN34" s="1634">
        <v>0.74</v>
      </c>
      <c r="AO34" s="1634" t="s">
        <v>3587</v>
      </c>
      <c r="AP34" s="1634" t="s">
        <v>1327</v>
      </c>
      <c r="AQ34" s="1634" t="s">
        <v>1327</v>
      </c>
      <c r="AR34" s="1634" t="s">
        <v>1327</v>
      </c>
      <c r="AS34" s="1634" t="s">
        <v>3136</v>
      </c>
    </row>
    <row r="35" spans="1:45">
      <c r="A35" s="1634" t="s">
        <v>3595</v>
      </c>
      <c r="B35" s="1634" t="s">
        <v>3125</v>
      </c>
      <c r="C35" s="1634" t="s">
        <v>3354</v>
      </c>
      <c r="D35" s="1634" t="s">
        <v>3127</v>
      </c>
      <c r="E35" s="1634" t="s">
        <v>1327</v>
      </c>
      <c r="F35" s="1634" t="s">
        <v>3595</v>
      </c>
      <c r="G35" s="1634" t="s">
        <v>3430</v>
      </c>
      <c r="H35" s="1634" t="s">
        <v>3596</v>
      </c>
      <c r="I35" s="1634" t="s">
        <v>3581</v>
      </c>
      <c r="J35" s="1634">
        <v>66953.75</v>
      </c>
      <c r="K35" s="1634">
        <v>334768.8</v>
      </c>
      <c r="L35" s="1634" t="s">
        <v>3597</v>
      </c>
      <c r="M35" s="1634" t="s">
        <v>1327</v>
      </c>
      <c r="N35" s="1634" t="s">
        <v>3148</v>
      </c>
      <c r="O35" s="1634" t="s">
        <v>3526</v>
      </c>
      <c r="P35" s="1634" t="s">
        <v>1327</v>
      </c>
      <c r="Q35" s="1634" t="s">
        <v>1327</v>
      </c>
      <c r="R35" s="1634" t="s">
        <v>1327</v>
      </c>
      <c r="S35" s="1634" t="s">
        <v>1327</v>
      </c>
      <c r="T35" s="1634" t="s">
        <v>1327</v>
      </c>
      <c r="U35" s="1634" t="s">
        <v>1327</v>
      </c>
      <c r="V35" s="1634" t="s">
        <v>1327</v>
      </c>
      <c r="W35" s="1634" t="s">
        <v>3193</v>
      </c>
      <c r="X35" s="1634" t="s">
        <v>3591</v>
      </c>
      <c r="Y35" s="1634" t="s">
        <v>3598</v>
      </c>
      <c r="Z35" s="1634" t="s">
        <v>3214</v>
      </c>
      <c r="AA35" s="1634" t="s">
        <v>3214</v>
      </c>
      <c r="AB35" s="1634" t="s">
        <v>3599</v>
      </c>
      <c r="AC35" s="1634" t="s">
        <v>3134</v>
      </c>
      <c r="AD35" s="1634" t="s">
        <v>3050</v>
      </c>
      <c r="AE35" s="1634">
        <v>6000</v>
      </c>
      <c r="AF35" s="1634">
        <v>29959</v>
      </c>
      <c r="AG35" s="1634">
        <v>30059</v>
      </c>
      <c r="AH35" s="1634">
        <v>298.31</v>
      </c>
      <c r="AI35" s="1634">
        <v>299.3</v>
      </c>
      <c r="AJ35" s="1634">
        <v>894.91</v>
      </c>
      <c r="AK35" s="1634">
        <v>897.89</v>
      </c>
      <c r="AL35" s="1634" t="s">
        <v>1327</v>
      </c>
      <c r="AM35" s="1634" t="s">
        <v>1327</v>
      </c>
      <c r="AN35" s="1634">
        <v>0.33</v>
      </c>
      <c r="AO35" s="1634" t="s">
        <v>3587</v>
      </c>
      <c r="AP35" s="1634" t="s">
        <v>1327</v>
      </c>
      <c r="AQ35" s="1634" t="s">
        <v>1327</v>
      </c>
      <c r="AR35" s="1634" t="s">
        <v>1327</v>
      </c>
      <c r="AS35" s="1634" t="s">
        <v>3136</v>
      </c>
    </row>
    <row r="36" spans="1:45">
      <c r="A36" s="1634" t="s">
        <v>3600</v>
      </c>
      <c r="B36" s="1634" t="s">
        <v>3125</v>
      </c>
      <c r="C36" s="1634" t="s">
        <v>3344</v>
      </c>
      <c r="D36" s="1634" t="s">
        <v>3127</v>
      </c>
      <c r="E36" s="1634" t="s">
        <v>1327</v>
      </c>
      <c r="F36" s="1634" t="s">
        <v>3600</v>
      </c>
      <c r="G36" s="1634" t="s">
        <v>3430</v>
      </c>
      <c r="H36" s="1634" t="s">
        <v>3601</v>
      </c>
      <c r="I36" s="1634" t="s">
        <v>3344</v>
      </c>
      <c r="J36" s="1634">
        <v>36316</v>
      </c>
      <c r="K36" s="1634">
        <v>123474.4</v>
      </c>
      <c r="L36" s="1634" t="s">
        <v>3602</v>
      </c>
      <c r="M36" s="1634" t="s">
        <v>1327</v>
      </c>
      <c r="N36" s="1634" t="s">
        <v>3148</v>
      </c>
      <c r="O36" s="1634" t="s">
        <v>3156</v>
      </c>
      <c r="P36" s="1634" t="s">
        <v>1327</v>
      </c>
      <c r="Q36" s="1634" t="s">
        <v>1327</v>
      </c>
      <c r="R36" s="1634" t="s">
        <v>1327</v>
      </c>
      <c r="S36" s="1634" t="s">
        <v>1327</v>
      </c>
      <c r="T36" s="1634" t="s">
        <v>1327</v>
      </c>
      <c r="U36" s="1634" t="s">
        <v>1327</v>
      </c>
      <c r="V36" s="1634" t="s">
        <v>1327</v>
      </c>
      <c r="W36" s="1634" t="s">
        <v>3193</v>
      </c>
      <c r="X36" s="1634" t="s">
        <v>3603</v>
      </c>
      <c r="Y36" s="1634" t="s">
        <v>3604</v>
      </c>
      <c r="Z36" s="1634" t="s">
        <v>3605</v>
      </c>
      <c r="AA36" s="1634" t="s">
        <v>3605</v>
      </c>
      <c r="AB36" s="1634" t="s">
        <v>3606</v>
      </c>
      <c r="AC36" s="1634" t="s">
        <v>3134</v>
      </c>
      <c r="AD36" s="1634" t="s">
        <v>3607</v>
      </c>
      <c r="AE36" s="1634">
        <v>2500</v>
      </c>
      <c r="AF36" s="1634">
        <v>11136</v>
      </c>
      <c r="AG36" s="1634">
        <v>11156</v>
      </c>
      <c r="AH36" s="1634">
        <v>204.43</v>
      </c>
      <c r="AI36" s="1634">
        <v>204.79</v>
      </c>
      <c r="AJ36" s="1634">
        <v>901.88</v>
      </c>
      <c r="AK36" s="1634">
        <v>903.5</v>
      </c>
      <c r="AL36" s="1634" t="s">
        <v>1327</v>
      </c>
      <c r="AM36" s="1634" t="s">
        <v>1327</v>
      </c>
      <c r="AN36" s="1634">
        <v>0.18</v>
      </c>
      <c r="AO36" s="1634" t="s">
        <v>3348</v>
      </c>
      <c r="AP36" s="1634" t="s">
        <v>1327</v>
      </c>
      <c r="AQ36" s="1634" t="s">
        <v>1327</v>
      </c>
      <c r="AR36" s="1634" t="s">
        <v>1327</v>
      </c>
      <c r="AS36" s="1634" t="s">
        <v>3136</v>
      </c>
    </row>
    <row r="37" spans="1:45">
      <c r="A37" s="1634" t="s">
        <v>3608</v>
      </c>
      <c r="B37" s="1634" t="s">
        <v>3125</v>
      </c>
      <c r="C37" s="1634" t="s">
        <v>3344</v>
      </c>
      <c r="D37" s="1634" t="s">
        <v>3127</v>
      </c>
      <c r="E37" s="1634" t="s">
        <v>1327</v>
      </c>
      <c r="F37" s="1634" t="s">
        <v>3608</v>
      </c>
      <c r="G37" s="1634" t="s">
        <v>3430</v>
      </c>
      <c r="H37" s="1634" t="s">
        <v>3609</v>
      </c>
      <c r="I37" s="1634" t="s">
        <v>3344</v>
      </c>
      <c r="J37" s="1634">
        <v>18346</v>
      </c>
      <c r="K37" s="1634">
        <v>91730</v>
      </c>
      <c r="L37" s="1634" t="s">
        <v>3597</v>
      </c>
      <c r="M37" s="1634" t="s">
        <v>1327</v>
      </c>
      <c r="N37" s="1634" t="s">
        <v>3208</v>
      </c>
      <c r="O37" s="1634" t="s">
        <v>3156</v>
      </c>
      <c r="P37" s="1634" t="s">
        <v>1327</v>
      </c>
      <c r="Q37" s="1634" t="s">
        <v>1327</v>
      </c>
      <c r="R37" s="1634" t="s">
        <v>1327</v>
      </c>
      <c r="S37" s="1634" t="s">
        <v>1327</v>
      </c>
      <c r="T37" s="1634" t="s">
        <v>1327</v>
      </c>
      <c r="U37" s="1634" t="s">
        <v>1327</v>
      </c>
      <c r="V37" s="1634" t="s">
        <v>1327</v>
      </c>
      <c r="W37" s="1634" t="s">
        <v>3193</v>
      </c>
      <c r="X37" s="1634" t="s">
        <v>3603</v>
      </c>
      <c r="Y37" s="1634" t="s">
        <v>3604</v>
      </c>
      <c r="Z37" s="1634" t="s">
        <v>3605</v>
      </c>
      <c r="AA37" s="1634" t="s">
        <v>3605</v>
      </c>
      <c r="AB37" s="1634" t="s">
        <v>3610</v>
      </c>
      <c r="AC37" s="1634" t="s">
        <v>3134</v>
      </c>
      <c r="AD37" s="1634" t="s">
        <v>3607</v>
      </c>
      <c r="AE37" s="1634">
        <v>1500</v>
      </c>
      <c r="AF37" s="1634">
        <v>5623</v>
      </c>
      <c r="AG37" s="1634">
        <v>5633</v>
      </c>
      <c r="AH37" s="1634">
        <v>204.33</v>
      </c>
      <c r="AI37" s="1634">
        <v>204.69</v>
      </c>
      <c r="AJ37" s="1634">
        <v>612.99</v>
      </c>
      <c r="AK37" s="1634">
        <v>614.08000000000004</v>
      </c>
      <c r="AL37" s="1634" t="s">
        <v>1327</v>
      </c>
      <c r="AM37" s="1634" t="s">
        <v>1327</v>
      </c>
      <c r="AN37" s="1634">
        <v>0.18</v>
      </c>
      <c r="AO37" s="1634" t="s">
        <v>3348</v>
      </c>
      <c r="AP37" s="1634" t="s">
        <v>1327</v>
      </c>
      <c r="AQ37" s="1634" t="s">
        <v>1327</v>
      </c>
      <c r="AR37" s="1634" t="s">
        <v>1327</v>
      </c>
      <c r="AS37" s="1634" t="s">
        <v>3136</v>
      </c>
    </row>
    <row r="38" spans="1:45">
      <c r="A38" s="1634" t="s">
        <v>3611</v>
      </c>
      <c r="B38" s="1634" t="s">
        <v>3125</v>
      </c>
      <c r="C38" s="1634" t="s">
        <v>3344</v>
      </c>
      <c r="D38" s="1634" t="s">
        <v>3127</v>
      </c>
      <c r="E38" s="1634" t="s">
        <v>1327</v>
      </c>
      <c r="F38" s="1634" t="s">
        <v>3611</v>
      </c>
      <c r="G38" s="1634" t="s">
        <v>3430</v>
      </c>
      <c r="H38" s="1634" t="s">
        <v>3612</v>
      </c>
      <c r="I38" s="1634" t="s">
        <v>3344</v>
      </c>
      <c r="J38" s="1634">
        <v>45860.54</v>
      </c>
      <c r="K38" s="1634">
        <v>68790.81</v>
      </c>
      <c r="L38" s="1634" t="s">
        <v>3613</v>
      </c>
      <c r="M38" s="1634" t="s">
        <v>1327</v>
      </c>
      <c r="N38" s="1634" t="s">
        <v>3148</v>
      </c>
      <c r="O38" s="1634" t="s">
        <v>3209</v>
      </c>
      <c r="P38" s="1634" t="s">
        <v>1327</v>
      </c>
      <c r="Q38" s="1634" t="s">
        <v>1327</v>
      </c>
      <c r="R38" s="1634" t="s">
        <v>1327</v>
      </c>
      <c r="S38" s="1634" t="s">
        <v>1327</v>
      </c>
      <c r="T38" s="1634" t="s">
        <v>1327</v>
      </c>
      <c r="U38" s="1634" t="s">
        <v>1327</v>
      </c>
      <c r="V38" s="1634" t="s">
        <v>1327</v>
      </c>
      <c r="W38" s="1634" t="s">
        <v>3193</v>
      </c>
      <c r="X38" s="1634" t="s">
        <v>3614</v>
      </c>
      <c r="Y38" s="1634" t="s">
        <v>3615</v>
      </c>
      <c r="Z38" s="1634" t="s">
        <v>3218</v>
      </c>
      <c r="AA38" s="1634" t="s">
        <v>3218</v>
      </c>
      <c r="AB38" s="1634" t="s">
        <v>3616</v>
      </c>
      <c r="AC38" s="1634" t="s">
        <v>3134</v>
      </c>
      <c r="AD38" s="1634" t="s">
        <v>3211</v>
      </c>
      <c r="AE38" s="1634">
        <v>894</v>
      </c>
      <c r="AF38" s="1634">
        <v>4467</v>
      </c>
      <c r="AG38" s="1634">
        <v>4477</v>
      </c>
      <c r="AH38" s="1634">
        <v>64.94</v>
      </c>
      <c r="AI38" s="1634">
        <v>65.08</v>
      </c>
      <c r="AJ38" s="1634">
        <v>649.36</v>
      </c>
      <c r="AK38" s="1634">
        <v>650.79999999999995</v>
      </c>
      <c r="AL38" s="1634" t="s">
        <v>1327</v>
      </c>
      <c r="AM38" s="1634" t="s">
        <v>1327</v>
      </c>
      <c r="AN38" s="1634">
        <v>0.22</v>
      </c>
      <c r="AO38" s="1634" t="s">
        <v>3348</v>
      </c>
      <c r="AP38" s="1634" t="s">
        <v>1327</v>
      </c>
      <c r="AQ38" s="1634" t="s">
        <v>1327</v>
      </c>
      <c r="AR38" s="1634" t="s">
        <v>1327</v>
      </c>
      <c r="AS38" s="1634" t="s">
        <v>3136</v>
      </c>
    </row>
    <row r="39" spans="1:45">
      <c r="A39" s="1634" t="s">
        <v>3617</v>
      </c>
      <c r="B39" s="1634" t="s">
        <v>3125</v>
      </c>
      <c r="C39" s="1634" t="s">
        <v>3344</v>
      </c>
      <c r="D39" s="1634" t="s">
        <v>3127</v>
      </c>
      <c r="E39" s="1634" t="s">
        <v>1327</v>
      </c>
      <c r="F39" s="1634" t="s">
        <v>3617</v>
      </c>
      <c r="G39" s="1634" t="s">
        <v>3430</v>
      </c>
      <c r="H39" s="1634" t="s">
        <v>3618</v>
      </c>
      <c r="I39" s="1634" t="s">
        <v>3344</v>
      </c>
      <c r="J39" s="1634">
        <v>47238.65</v>
      </c>
      <c r="K39" s="1634">
        <v>94477.3</v>
      </c>
      <c r="L39" s="1634" t="s">
        <v>3619</v>
      </c>
      <c r="M39" s="1634" t="s">
        <v>1327</v>
      </c>
      <c r="N39" s="1634" t="s">
        <v>3148</v>
      </c>
      <c r="O39" s="1634" t="s">
        <v>3209</v>
      </c>
      <c r="P39" s="1634" t="s">
        <v>1327</v>
      </c>
      <c r="Q39" s="1634" t="s">
        <v>1327</v>
      </c>
      <c r="R39" s="1634" t="s">
        <v>1327</v>
      </c>
      <c r="S39" s="1634" t="s">
        <v>1327</v>
      </c>
      <c r="T39" s="1634" t="s">
        <v>1327</v>
      </c>
      <c r="U39" s="1634" t="s">
        <v>1327</v>
      </c>
      <c r="V39" s="1634" t="s">
        <v>1327</v>
      </c>
      <c r="W39" s="1634" t="s">
        <v>3193</v>
      </c>
      <c r="X39" s="1634" t="s">
        <v>3614</v>
      </c>
      <c r="Y39" s="1634" t="s">
        <v>3615</v>
      </c>
      <c r="Z39" s="1634" t="s">
        <v>3218</v>
      </c>
      <c r="AA39" s="1634" t="s">
        <v>3218</v>
      </c>
      <c r="AB39" s="1634" t="s">
        <v>3620</v>
      </c>
      <c r="AC39" s="1634" t="s">
        <v>3134</v>
      </c>
      <c r="AD39" s="1634" t="s">
        <v>3211</v>
      </c>
      <c r="AE39" s="1634">
        <v>943</v>
      </c>
      <c r="AF39" s="1634">
        <v>4715</v>
      </c>
      <c r="AG39" s="1634">
        <v>4725</v>
      </c>
      <c r="AH39" s="1634">
        <v>66.540000000000006</v>
      </c>
      <c r="AI39" s="1634">
        <v>66.680000000000007</v>
      </c>
      <c r="AJ39" s="1634">
        <v>499.06</v>
      </c>
      <c r="AK39" s="1634">
        <v>500.12</v>
      </c>
      <c r="AL39" s="1634" t="s">
        <v>1327</v>
      </c>
      <c r="AM39" s="1634" t="s">
        <v>1327</v>
      </c>
      <c r="AN39" s="1634">
        <v>0.21</v>
      </c>
      <c r="AO39" s="1634" t="s">
        <v>3348</v>
      </c>
      <c r="AP39" s="1634" t="s">
        <v>1327</v>
      </c>
      <c r="AQ39" s="1634" t="s">
        <v>1327</v>
      </c>
      <c r="AR39" s="1634" t="s">
        <v>1327</v>
      </c>
      <c r="AS39" s="1634" t="s">
        <v>3136</v>
      </c>
    </row>
    <row r="40" spans="1:45">
      <c r="A40" s="1634" t="s">
        <v>3621</v>
      </c>
      <c r="B40" s="1634" t="s">
        <v>3125</v>
      </c>
      <c r="C40" s="1634" t="s">
        <v>3354</v>
      </c>
      <c r="D40" s="1634" t="s">
        <v>3127</v>
      </c>
      <c r="E40" s="1634" t="s">
        <v>1327</v>
      </c>
      <c r="F40" s="1634" t="s">
        <v>3621</v>
      </c>
      <c r="G40" s="1634" t="s">
        <v>3430</v>
      </c>
      <c r="H40" s="1634" t="s">
        <v>3622</v>
      </c>
      <c r="I40" s="1634" t="s">
        <v>3581</v>
      </c>
      <c r="J40" s="1634">
        <v>15291.03</v>
      </c>
      <c r="K40" s="1634">
        <v>53518.61</v>
      </c>
      <c r="L40" s="1634" t="s">
        <v>3623</v>
      </c>
      <c r="M40" s="1634" t="s">
        <v>1327</v>
      </c>
      <c r="N40" s="1634" t="s">
        <v>3208</v>
      </c>
      <c r="O40" s="1634" t="s">
        <v>3624</v>
      </c>
      <c r="P40" s="1634" t="s">
        <v>1327</v>
      </c>
      <c r="Q40" s="1634" t="s">
        <v>1327</v>
      </c>
      <c r="R40" s="1634" t="s">
        <v>1327</v>
      </c>
      <c r="S40" s="1634" t="s">
        <v>1327</v>
      </c>
      <c r="T40" s="1634" t="s">
        <v>1327</v>
      </c>
      <c r="U40" s="1634" t="s">
        <v>1327</v>
      </c>
      <c r="V40" s="1634" t="s">
        <v>1327</v>
      </c>
      <c r="W40" s="1634" t="s">
        <v>3193</v>
      </c>
      <c r="X40" s="1634" t="s">
        <v>3614</v>
      </c>
      <c r="Y40" s="1634" t="s">
        <v>3615</v>
      </c>
      <c r="Z40" s="1634" t="s">
        <v>3218</v>
      </c>
      <c r="AA40" s="1634" t="s">
        <v>3218</v>
      </c>
      <c r="AB40" s="1634" t="s">
        <v>3625</v>
      </c>
      <c r="AC40" s="1634" t="s">
        <v>3134</v>
      </c>
      <c r="AD40" s="1634" t="s">
        <v>3211</v>
      </c>
      <c r="AE40" s="1634">
        <v>551</v>
      </c>
      <c r="AF40" s="1634">
        <v>2753</v>
      </c>
      <c r="AG40" s="1634">
        <v>2763</v>
      </c>
      <c r="AH40" s="1634">
        <v>120.03</v>
      </c>
      <c r="AI40" s="1634">
        <v>120.46</v>
      </c>
      <c r="AJ40" s="1634">
        <v>514.4</v>
      </c>
      <c r="AK40" s="1634">
        <v>516.26</v>
      </c>
      <c r="AL40" s="1634" t="s">
        <v>1327</v>
      </c>
      <c r="AM40" s="1634" t="s">
        <v>1327</v>
      </c>
      <c r="AN40" s="1634">
        <v>0.36</v>
      </c>
      <c r="AO40" s="1634" t="s">
        <v>3626</v>
      </c>
      <c r="AP40" s="1634" t="s">
        <v>1327</v>
      </c>
      <c r="AQ40" s="1634" t="s">
        <v>1327</v>
      </c>
      <c r="AR40" s="1634" t="s">
        <v>1327</v>
      </c>
      <c r="AS40" s="1634" t="s">
        <v>3136</v>
      </c>
    </row>
    <row r="41" spans="1:45">
      <c r="A41" s="1634" t="s">
        <v>3627</v>
      </c>
      <c r="B41" s="1634" t="s">
        <v>3125</v>
      </c>
      <c r="C41" s="1634" t="s">
        <v>3354</v>
      </c>
      <c r="D41" s="1634" t="s">
        <v>3127</v>
      </c>
      <c r="E41" s="1634" t="s">
        <v>1327</v>
      </c>
      <c r="F41" s="1634" t="s">
        <v>3627</v>
      </c>
      <c r="G41" s="1634" t="s">
        <v>3430</v>
      </c>
      <c r="H41" s="1634" t="s">
        <v>3628</v>
      </c>
      <c r="I41" s="1634" t="s">
        <v>3581</v>
      </c>
      <c r="J41" s="1634">
        <v>19971.080000000002</v>
      </c>
      <c r="K41" s="1634">
        <v>69898.78</v>
      </c>
      <c r="L41" s="1634" t="s">
        <v>3623</v>
      </c>
      <c r="M41" s="1634" t="s">
        <v>1327</v>
      </c>
      <c r="N41" s="1634" t="s">
        <v>3208</v>
      </c>
      <c r="O41" s="1634" t="s">
        <v>3624</v>
      </c>
      <c r="P41" s="1634" t="s">
        <v>1327</v>
      </c>
      <c r="Q41" s="1634" t="s">
        <v>1327</v>
      </c>
      <c r="R41" s="1634" t="s">
        <v>1327</v>
      </c>
      <c r="S41" s="1634" t="s">
        <v>1327</v>
      </c>
      <c r="T41" s="1634" t="s">
        <v>1327</v>
      </c>
      <c r="U41" s="1634" t="s">
        <v>1327</v>
      </c>
      <c r="V41" s="1634" t="s">
        <v>1327</v>
      </c>
      <c r="W41" s="1634" t="s">
        <v>3193</v>
      </c>
      <c r="X41" s="1634" t="s">
        <v>3614</v>
      </c>
      <c r="Y41" s="1634" t="s">
        <v>3615</v>
      </c>
      <c r="Z41" s="1634" t="s">
        <v>3218</v>
      </c>
      <c r="AA41" s="1634" t="s">
        <v>3218</v>
      </c>
      <c r="AB41" s="1634" t="s">
        <v>3629</v>
      </c>
      <c r="AC41" s="1634" t="s">
        <v>3134</v>
      </c>
      <c r="AD41" s="1634" t="s">
        <v>3211</v>
      </c>
      <c r="AE41" s="1634">
        <v>720</v>
      </c>
      <c r="AF41" s="1634">
        <v>3596</v>
      </c>
      <c r="AG41" s="1634">
        <v>3606</v>
      </c>
      <c r="AH41" s="1634">
        <v>120.04</v>
      </c>
      <c r="AI41" s="1634">
        <v>120.37</v>
      </c>
      <c r="AJ41" s="1634">
        <v>514.45000000000005</v>
      </c>
      <c r="AK41" s="1634">
        <v>515.88</v>
      </c>
      <c r="AL41" s="1634" t="s">
        <v>1327</v>
      </c>
      <c r="AM41" s="1634" t="s">
        <v>1327</v>
      </c>
      <c r="AN41" s="1634">
        <v>0.28000000000000003</v>
      </c>
      <c r="AO41" s="1634" t="s">
        <v>3626</v>
      </c>
      <c r="AP41" s="1634" t="s">
        <v>1327</v>
      </c>
      <c r="AQ41" s="1634" t="s">
        <v>1327</v>
      </c>
      <c r="AR41" s="1634" t="s">
        <v>1327</v>
      </c>
      <c r="AS41" s="1634" t="s">
        <v>3136</v>
      </c>
    </row>
    <row r="42" spans="1:45">
      <c r="A42" s="1634" t="s">
        <v>3630</v>
      </c>
      <c r="B42" s="1634" t="s">
        <v>3125</v>
      </c>
      <c r="C42" s="1634" t="s">
        <v>3354</v>
      </c>
      <c r="D42" s="1634" t="s">
        <v>3127</v>
      </c>
      <c r="E42" s="1634" t="s">
        <v>1327</v>
      </c>
      <c r="F42" s="1634" t="s">
        <v>3630</v>
      </c>
      <c r="G42" s="1634" t="s">
        <v>3430</v>
      </c>
      <c r="H42" s="1634" t="s">
        <v>3631</v>
      </c>
      <c r="I42" s="1634" t="s">
        <v>3632</v>
      </c>
      <c r="J42" s="1634">
        <v>68583</v>
      </c>
      <c r="K42" s="1634">
        <v>192032.4</v>
      </c>
      <c r="L42" s="1634" t="s">
        <v>3633</v>
      </c>
      <c r="M42" s="1634" t="s">
        <v>1327</v>
      </c>
      <c r="N42" s="1634" t="s">
        <v>3235</v>
      </c>
      <c r="O42" s="1634" t="s">
        <v>3526</v>
      </c>
      <c r="P42" s="1634" t="s">
        <v>1327</v>
      </c>
      <c r="Q42" s="1634" t="s">
        <v>1327</v>
      </c>
      <c r="R42" s="1634" t="s">
        <v>1327</v>
      </c>
      <c r="S42" s="1634" t="s">
        <v>1327</v>
      </c>
      <c r="T42" s="1634" t="s">
        <v>1327</v>
      </c>
      <c r="U42" s="1634" t="s">
        <v>1327</v>
      </c>
      <c r="V42" s="1634" t="s">
        <v>1327</v>
      </c>
      <c r="W42" s="1634" t="s">
        <v>3193</v>
      </c>
      <c r="X42" s="1634" t="s">
        <v>3634</v>
      </c>
      <c r="Y42" s="1634" t="s">
        <v>3635</v>
      </c>
      <c r="Z42" s="1634" t="s">
        <v>3636</v>
      </c>
      <c r="AA42" s="1634" t="s">
        <v>3636</v>
      </c>
      <c r="AB42" s="1634" t="s">
        <v>3637</v>
      </c>
      <c r="AC42" s="1634" t="s">
        <v>3134</v>
      </c>
      <c r="AD42" s="1634" t="s">
        <v>3638</v>
      </c>
      <c r="AE42" s="1634">
        <v>5500</v>
      </c>
      <c r="AF42" s="1634">
        <v>25504</v>
      </c>
      <c r="AG42" s="1634">
        <v>25554</v>
      </c>
      <c r="AH42" s="1634">
        <v>247.91</v>
      </c>
      <c r="AI42" s="1634">
        <v>248.4</v>
      </c>
      <c r="AJ42" s="1634">
        <v>1328.1</v>
      </c>
      <c r="AK42" s="1634">
        <v>1330.71</v>
      </c>
      <c r="AL42" s="1634" t="s">
        <v>1327</v>
      </c>
      <c r="AM42" s="1634" t="s">
        <v>1327</v>
      </c>
      <c r="AN42" s="1634">
        <v>0.2</v>
      </c>
      <c r="AO42" s="1634" t="s">
        <v>3639</v>
      </c>
      <c r="AP42" s="1634" t="s">
        <v>1327</v>
      </c>
      <c r="AQ42" s="1634" t="s">
        <v>1327</v>
      </c>
      <c r="AR42" s="1634" t="s">
        <v>1327</v>
      </c>
      <c r="AS42" s="1634" t="s">
        <v>3136</v>
      </c>
    </row>
    <row r="43" spans="1:45">
      <c r="A43" s="1634" t="s">
        <v>3640</v>
      </c>
      <c r="B43" s="1634" t="s">
        <v>3125</v>
      </c>
      <c r="C43" s="1634" t="s">
        <v>3354</v>
      </c>
      <c r="D43" s="1634" t="s">
        <v>3127</v>
      </c>
      <c r="E43" s="1634" t="s">
        <v>1327</v>
      </c>
      <c r="F43" s="1634" t="s">
        <v>3640</v>
      </c>
      <c r="G43" s="1634" t="s">
        <v>3430</v>
      </c>
      <c r="H43" s="1634" t="s">
        <v>3641</v>
      </c>
      <c r="I43" s="1634" t="s">
        <v>3632</v>
      </c>
      <c r="J43" s="1634">
        <v>78258</v>
      </c>
      <c r="K43" s="1634">
        <v>219122.4</v>
      </c>
      <c r="L43" s="1634" t="s">
        <v>3633</v>
      </c>
      <c r="M43" s="1634" t="s">
        <v>1327</v>
      </c>
      <c r="N43" s="1634" t="s">
        <v>3235</v>
      </c>
      <c r="O43" s="1634" t="s">
        <v>3526</v>
      </c>
      <c r="P43" s="1634" t="s">
        <v>1327</v>
      </c>
      <c r="Q43" s="1634" t="s">
        <v>1327</v>
      </c>
      <c r="R43" s="1634" t="s">
        <v>1327</v>
      </c>
      <c r="S43" s="1634" t="s">
        <v>1327</v>
      </c>
      <c r="T43" s="1634" t="s">
        <v>1327</v>
      </c>
      <c r="U43" s="1634" t="s">
        <v>1327</v>
      </c>
      <c r="V43" s="1634" t="s">
        <v>1327</v>
      </c>
      <c r="W43" s="1634" t="s">
        <v>3193</v>
      </c>
      <c r="X43" s="1634" t="s">
        <v>3634</v>
      </c>
      <c r="Y43" s="1634" t="s">
        <v>3635</v>
      </c>
      <c r="Z43" s="1634" t="s">
        <v>3636</v>
      </c>
      <c r="AA43" s="1634" t="s">
        <v>3636</v>
      </c>
      <c r="AB43" s="1634" t="s">
        <v>3642</v>
      </c>
      <c r="AC43" s="1634" t="s">
        <v>3134</v>
      </c>
      <c r="AD43" s="1634" t="s">
        <v>3638</v>
      </c>
      <c r="AE43" s="1634">
        <v>6000</v>
      </c>
      <c r="AF43" s="1634">
        <v>29102</v>
      </c>
      <c r="AG43" s="1634">
        <v>29152</v>
      </c>
      <c r="AH43" s="1634">
        <v>247.92</v>
      </c>
      <c r="AI43" s="1634">
        <v>248.34</v>
      </c>
      <c r="AJ43" s="1634">
        <v>1328.11</v>
      </c>
      <c r="AK43" s="1634">
        <v>1330.4</v>
      </c>
      <c r="AL43" s="1634" t="s">
        <v>1327</v>
      </c>
      <c r="AM43" s="1634" t="s">
        <v>1327</v>
      </c>
      <c r="AN43" s="1634">
        <v>0.17</v>
      </c>
      <c r="AO43" s="1634" t="s">
        <v>3639</v>
      </c>
      <c r="AP43" s="1634" t="s">
        <v>1327</v>
      </c>
      <c r="AQ43" s="1634" t="s">
        <v>1327</v>
      </c>
      <c r="AR43" s="1634" t="s">
        <v>1327</v>
      </c>
      <c r="AS43" s="1634" t="s">
        <v>3136</v>
      </c>
    </row>
    <row r="44" spans="1:45">
      <c r="A44" s="1634" t="s">
        <v>3643</v>
      </c>
      <c r="B44" s="1634" t="s">
        <v>3125</v>
      </c>
      <c r="C44" s="1634" t="s">
        <v>3344</v>
      </c>
      <c r="D44" s="1634" t="s">
        <v>3127</v>
      </c>
      <c r="E44" s="1634" t="s">
        <v>1327</v>
      </c>
      <c r="F44" s="1634" t="s">
        <v>3643</v>
      </c>
      <c r="G44" s="1634" t="s">
        <v>3430</v>
      </c>
      <c r="H44" s="1634" t="s">
        <v>3644</v>
      </c>
      <c r="I44" s="1634" t="s">
        <v>3367</v>
      </c>
      <c r="J44" s="1634">
        <v>62758</v>
      </c>
      <c r="K44" s="1634">
        <v>188274</v>
      </c>
      <c r="L44" s="1634" t="s">
        <v>3645</v>
      </c>
      <c r="M44" s="1634" t="s">
        <v>1327</v>
      </c>
      <c r="N44" s="1634" t="s">
        <v>3235</v>
      </c>
      <c r="O44" s="1634" t="s">
        <v>3178</v>
      </c>
      <c r="P44" s="1634" t="s">
        <v>1327</v>
      </c>
      <c r="Q44" s="1634" t="s">
        <v>1327</v>
      </c>
      <c r="R44" s="1634" t="s">
        <v>1327</v>
      </c>
      <c r="S44" s="1634" t="s">
        <v>1327</v>
      </c>
      <c r="T44" s="1634" t="s">
        <v>1327</v>
      </c>
      <c r="U44" s="1634" t="s">
        <v>1327</v>
      </c>
      <c r="V44" s="1634" t="s">
        <v>1327</v>
      </c>
      <c r="W44" s="1634" t="s">
        <v>3193</v>
      </c>
      <c r="X44" s="1634" t="s">
        <v>3646</v>
      </c>
      <c r="Y44" s="1634" t="s">
        <v>3647</v>
      </c>
      <c r="Z44" s="1634" t="s">
        <v>3222</v>
      </c>
      <c r="AA44" s="1634" t="s">
        <v>3222</v>
      </c>
      <c r="AB44" s="1634" t="s">
        <v>3648</v>
      </c>
      <c r="AC44" s="1634" t="s">
        <v>3134</v>
      </c>
      <c r="AD44" s="1634" t="s">
        <v>3649</v>
      </c>
      <c r="AE44" s="1634">
        <v>1366</v>
      </c>
      <c r="AF44" s="1634">
        <v>6828</v>
      </c>
      <c r="AG44" s="1634">
        <v>10238</v>
      </c>
      <c r="AH44" s="1634">
        <v>72.53</v>
      </c>
      <c r="AI44" s="1634">
        <v>108.76</v>
      </c>
      <c r="AJ44" s="1634">
        <v>362.66</v>
      </c>
      <c r="AK44" s="1634">
        <v>543.77</v>
      </c>
      <c r="AL44" s="1634" t="s">
        <v>1327</v>
      </c>
      <c r="AM44" s="1634" t="s">
        <v>1327</v>
      </c>
      <c r="AN44" s="1634">
        <v>49.94</v>
      </c>
      <c r="AO44" s="1634" t="s">
        <v>3348</v>
      </c>
      <c r="AP44" s="1634" t="s">
        <v>1327</v>
      </c>
      <c r="AQ44" s="1634" t="s">
        <v>1327</v>
      </c>
      <c r="AR44" s="1634" t="s">
        <v>1327</v>
      </c>
      <c r="AS44" s="1634" t="s">
        <v>3136</v>
      </c>
    </row>
    <row r="45" spans="1:45">
      <c r="A45" s="1634" t="s">
        <v>3370</v>
      </c>
      <c r="B45" s="1634" t="s">
        <v>3125</v>
      </c>
      <c r="C45" s="1634" t="s">
        <v>3344</v>
      </c>
      <c r="D45" s="1634" t="s">
        <v>3127</v>
      </c>
      <c r="E45" s="1634" t="s">
        <v>1327</v>
      </c>
      <c r="F45" s="1634" t="s">
        <v>3370</v>
      </c>
      <c r="G45" s="1634" t="s">
        <v>3430</v>
      </c>
      <c r="H45" s="1634" t="s">
        <v>3650</v>
      </c>
      <c r="I45" s="1634" t="s">
        <v>3367</v>
      </c>
      <c r="J45" s="1634">
        <v>1999.82</v>
      </c>
      <c r="K45" s="1634">
        <v>4179.62</v>
      </c>
      <c r="L45" s="1634" t="s">
        <v>3651</v>
      </c>
      <c r="M45" s="1634" t="s">
        <v>1327</v>
      </c>
      <c r="N45" s="1634" t="s">
        <v>3545</v>
      </c>
      <c r="O45" s="1634" t="s">
        <v>3184</v>
      </c>
      <c r="P45" s="1634" t="s">
        <v>1327</v>
      </c>
      <c r="Q45" s="1634" t="s">
        <v>1327</v>
      </c>
      <c r="R45" s="1634" t="s">
        <v>1327</v>
      </c>
      <c r="S45" s="1634" t="s">
        <v>1327</v>
      </c>
      <c r="T45" s="1634" t="s">
        <v>1327</v>
      </c>
      <c r="U45" s="1634" t="s">
        <v>1327</v>
      </c>
      <c r="V45" s="1634" t="s">
        <v>1327</v>
      </c>
      <c r="W45" s="1634" t="s">
        <v>3193</v>
      </c>
      <c r="X45" s="1634" t="s">
        <v>3646</v>
      </c>
      <c r="Y45" s="1634" t="s">
        <v>3647</v>
      </c>
      <c r="Z45" s="1634" t="s">
        <v>3222</v>
      </c>
      <c r="AA45" s="1634" t="s">
        <v>3222</v>
      </c>
      <c r="AB45" s="1634" t="s">
        <v>3652</v>
      </c>
      <c r="AC45" s="1634" t="s">
        <v>3134</v>
      </c>
      <c r="AD45" s="1634" t="s">
        <v>3653</v>
      </c>
      <c r="AE45" s="1634">
        <v>42</v>
      </c>
      <c r="AF45" s="1634">
        <v>207</v>
      </c>
      <c r="AG45" s="1634">
        <v>217</v>
      </c>
      <c r="AH45" s="1634">
        <v>69.010000000000005</v>
      </c>
      <c r="AI45" s="1634">
        <v>72.34</v>
      </c>
      <c r="AJ45" s="1634">
        <v>495.26</v>
      </c>
      <c r="AK45" s="1634">
        <v>519.19000000000005</v>
      </c>
      <c r="AL45" s="1634" t="s">
        <v>1327</v>
      </c>
      <c r="AM45" s="1634" t="s">
        <v>1327</v>
      </c>
      <c r="AN45" s="1634">
        <v>4.83</v>
      </c>
      <c r="AO45" s="1634" t="s">
        <v>3348</v>
      </c>
      <c r="AP45" s="1634" t="s">
        <v>1327</v>
      </c>
      <c r="AQ45" s="1634" t="s">
        <v>1327</v>
      </c>
      <c r="AR45" s="1634" t="s">
        <v>1327</v>
      </c>
      <c r="AS45" s="1634" t="s">
        <v>3136</v>
      </c>
    </row>
    <row r="46" spans="1:45">
      <c r="A46" s="1634" t="s">
        <v>3654</v>
      </c>
      <c r="B46" s="1634" t="s">
        <v>3125</v>
      </c>
      <c r="C46" s="1634" t="s">
        <v>3344</v>
      </c>
      <c r="D46" s="1634" t="s">
        <v>3127</v>
      </c>
      <c r="E46" s="1634" t="s">
        <v>1327</v>
      </c>
      <c r="F46" s="1634" t="s">
        <v>3654</v>
      </c>
      <c r="G46" s="1634" t="s">
        <v>3430</v>
      </c>
      <c r="H46" s="1634" t="s">
        <v>3655</v>
      </c>
      <c r="I46" s="1634" t="s">
        <v>3367</v>
      </c>
      <c r="J46" s="1634">
        <v>50090.3</v>
      </c>
      <c r="K46" s="1634">
        <v>150270.9</v>
      </c>
      <c r="L46" s="1634" t="s">
        <v>3656</v>
      </c>
      <c r="M46" s="1634" t="s">
        <v>1327</v>
      </c>
      <c r="N46" s="1634" t="s">
        <v>3235</v>
      </c>
      <c r="O46" s="1634" t="s">
        <v>3178</v>
      </c>
      <c r="P46" s="1634" t="s">
        <v>1327</v>
      </c>
      <c r="Q46" s="1634" t="s">
        <v>1327</v>
      </c>
      <c r="R46" s="1634" t="s">
        <v>1327</v>
      </c>
      <c r="S46" s="1634" t="s">
        <v>1327</v>
      </c>
      <c r="T46" s="1634" t="s">
        <v>1327</v>
      </c>
      <c r="U46" s="1634" t="s">
        <v>1327</v>
      </c>
      <c r="V46" s="1634" t="s">
        <v>1327</v>
      </c>
      <c r="W46" s="1634" t="s">
        <v>3193</v>
      </c>
      <c r="X46" s="1634" t="s">
        <v>3657</v>
      </c>
      <c r="Y46" s="1634" t="s">
        <v>3248</v>
      </c>
      <c r="Z46" s="1634" t="s">
        <v>3248</v>
      </c>
      <c r="AA46" s="1634" t="s">
        <v>3248</v>
      </c>
      <c r="AB46" s="1634" t="s">
        <v>3658</v>
      </c>
      <c r="AC46" s="1634" t="s">
        <v>3134</v>
      </c>
      <c r="AD46" s="1634" t="s">
        <v>3649</v>
      </c>
      <c r="AE46" s="1634">
        <v>1090</v>
      </c>
      <c r="AF46" s="1634">
        <v>5450</v>
      </c>
      <c r="AG46" s="1634">
        <v>8170</v>
      </c>
      <c r="AH46" s="1634">
        <v>72.540000000000006</v>
      </c>
      <c r="AI46" s="1634">
        <v>108.74</v>
      </c>
      <c r="AJ46" s="1634">
        <v>362.67</v>
      </c>
      <c r="AK46" s="1634">
        <v>543.66999999999996</v>
      </c>
      <c r="AL46" s="1634" t="s">
        <v>1327</v>
      </c>
      <c r="AM46" s="1634" t="s">
        <v>1327</v>
      </c>
      <c r="AN46" s="1634">
        <v>49.91</v>
      </c>
      <c r="AO46" s="1634" t="s">
        <v>3348</v>
      </c>
      <c r="AP46" s="1634" t="s">
        <v>1327</v>
      </c>
      <c r="AQ46" s="1634" t="s">
        <v>1327</v>
      </c>
      <c r="AR46" s="1634" t="s">
        <v>1327</v>
      </c>
      <c r="AS46" s="1634" t="s">
        <v>3136</v>
      </c>
    </row>
    <row r="47" spans="1:45">
      <c r="A47" s="1634" t="s">
        <v>3659</v>
      </c>
      <c r="B47" s="1634" t="s">
        <v>3125</v>
      </c>
      <c r="C47" s="1634" t="s">
        <v>3344</v>
      </c>
      <c r="D47" s="1634" t="s">
        <v>3127</v>
      </c>
      <c r="E47" s="1634" t="s">
        <v>1327</v>
      </c>
      <c r="F47" s="1634" t="s">
        <v>3659</v>
      </c>
      <c r="G47" s="1634" t="s">
        <v>3430</v>
      </c>
      <c r="H47" s="1634" t="s">
        <v>3660</v>
      </c>
      <c r="I47" s="1634" t="s">
        <v>3367</v>
      </c>
      <c r="J47" s="1634">
        <v>66028</v>
      </c>
      <c r="K47" s="1634">
        <v>198084</v>
      </c>
      <c r="L47" s="1634" t="s">
        <v>3656</v>
      </c>
      <c r="M47" s="1634" t="s">
        <v>1327</v>
      </c>
      <c r="N47" s="1634" t="s">
        <v>3235</v>
      </c>
      <c r="O47" s="1634" t="s">
        <v>3178</v>
      </c>
      <c r="P47" s="1634" t="s">
        <v>1327</v>
      </c>
      <c r="Q47" s="1634" t="s">
        <v>1327</v>
      </c>
      <c r="R47" s="1634" t="s">
        <v>1327</v>
      </c>
      <c r="S47" s="1634" t="s">
        <v>1327</v>
      </c>
      <c r="T47" s="1634" t="s">
        <v>1327</v>
      </c>
      <c r="U47" s="1634" t="s">
        <v>1327</v>
      </c>
      <c r="V47" s="1634" t="s">
        <v>1327</v>
      </c>
      <c r="W47" s="1634" t="s">
        <v>3193</v>
      </c>
      <c r="X47" s="1634" t="s">
        <v>3657</v>
      </c>
      <c r="Y47" s="1634" t="s">
        <v>3248</v>
      </c>
      <c r="Z47" s="1634" t="s">
        <v>3248</v>
      </c>
      <c r="AA47" s="1634" t="s">
        <v>3248</v>
      </c>
      <c r="AB47" s="1634" t="s">
        <v>3661</v>
      </c>
      <c r="AC47" s="1634" t="s">
        <v>3134</v>
      </c>
      <c r="AD47" s="1634" t="s">
        <v>3649</v>
      </c>
      <c r="AE47" s="1634">
        <v>1437</v>
      </c>
      <c r="AF47" s="1634">
        <v>7184</v>
      </c>
      <c r="AG47" s="1634">
        <v>10774</v>
      </c>
      <c r="AH47" s="1634">
        <v>72.53</v>
      </c>
      <c r="AI47" s="1634">
        <v>108.78</v>
      </c>
      <c r="AJ47" s="1634">
        <v>362.67</v>
      </c>
      <c r="AK47" s="1634">
        <v>543.9</v>
      </c>
      <c r="AL47" s="1634" t="s">
        <v>1327</v>
      </c>
      <c r="AM47" s="1634" t="s">
        <v>1327</v>
      </c>
      <c r="AN47" s="1634">
        <v>49.97</v>
      </c>
      <c r="AO47" s="1634" t="s">
        <v>3348</v>
      </c>
      <c r="AP47" s="1634" t="s">
        <v>1327</v>
      </c>
      <c r="AQ47" s="1634" t="s">
        <v>1327</v>
      </c>
      <c r="AR47" s="1634" t="s">
        <v>1327</v>
      </c>
      <c r="AS47" s="1634" t="s">
        <v>3136</v>
      </c>
    </row>
    <row r="48" spans="1:45">
      <c r="A48" s="1634" t="s">
        <v>3662</v>
      </c>
      <c r="B48" s="1634" t="s">
        <v>3125</v>
      </c>
      <c r="C48" s="1634" t="s">
        <v>3344</v>
      </c>
      <c r="D48" s="1634" t="s">
        <v>3127</v>
      </c>
      <c r="E48" s="1634" t="s">
        <v>1327</v>
      </c>
      <c r="F48" s="1634" t="s">
        <v>3662</v>
      </c>
      <c r="G48" s="1634" t="s">
        <v>3430</v>
      </c>
      <c r="H48" s="1634" t="s">
        <v>3663</v>
      </c>
      <c r="I48" s="1634" t="s">
        <v>3367</v>
      </c>
      <c r="J48" s="1634">
        <v>33097</v>
      </c>
      <c r="K48" s="1634">
        <v>66194</v>
      </c>
      <c r="L48" s="1634" t="s">
        <v>3619</v>
      </c>
      <c r="M48" s="1634" t="s">
        <v>1327</v>
      </c>
      <c r="N48" s="1634" t="s">
        <v>3235</v>
      </c>
      <c r="O48" s="1634" t="s">
        <v>3227</v>
      </c>
      <c r="P48" s="1634" t="s">
        <v>1327</v>
      </c>
      <c r="Q48" s="1634" t="s">
        <v>1327</v>
      </c>
      <c r="R48" s="1634" t="s">
        <v>1327</v>
      </c>
      <c r="S48" s="1634" t="s">
        <v>1327</v>
      </c>
      <c r="T48" s="1634" t="s">
        <v>1327</v>
      </c>
      <c r="U48" s="1634" t="s">
        <v>1327</v>
      </c>
      <c r="V48" s="1634" t="s">
        <v>1327</v>
      </c>
      <c r="W48" s="1634" t="s">
        <v>3193</v>
      </c>
      <c r="X48" s="1634" t="s">
        <v>3657</v>
      </c>
      <c r="Y48" s="1634" t="s">
        <v>3248</v>
      </c>
      <c r="Z48" s="1634" t="s">
        <v>3248</v>
      </c>
      <c r="AA48" s="1634" t="s">
        <v>3248</v>
      </c>
      <c r="AB48" s="1634" t="s">
        <v>3664</v>
      </c>
      <c r="AC48" s="1634" t="s">
        <v>3134</v>
      </c>
      <c r="AD48" s="1634" t="s">
        <v>3229</v>
      </c>
      <c r="AE48" s="1634">
        <v>658</v>
      </c>
      <c r="AF48" s="1634">
        <v>3287</v>
      </c>
      <c r="AG48" s="1634">
        <v>3297</v>
      </c>
      <c r="AH48" s="1634">
        <v>66.209999999999994</v>
      </c>
      <c r="AI48" s="1634">
        <v>66.41</v>
      </c>
      <c r="AJ48" s="1634">
        <v>496.57</v>
      </c>
      <c r="AK48" s="1634">
        <v>498.07</v>
      </c>
      <c r="AL48" s="1634" t="s">
        <v>1327</v>
      </c>
      <c r="AM48" s="1634" t="s">
        <v>1327</v>
      </c>
      <c r="AN48" s="1634">
        <v>0.3</v>
      </c>
      <c r="AO48" s="1634" t="s">
        <v>3348</v>
      </c>
      <c r="AP48" s="1634" t="s">
        <v>1327</v>
      </c>
      <c r="AQ48" s="1634" t="s">
        <v>1327</v>
      </c>
      <c r="AR48" s="1634" t="s">
        <v>1327</v>
      </c>
      <c r="AS48" s="1634" t="s">
        <v>3136</v>
      </c>
    </row>
    <row r="49" spans="1:45">
      <c r="A49" s="1634" t="s">
        <v>3665</v>
      </c>
      <c r="B49" s="1634" t="s">
        <v>3125</v>
      </c>
      <c r="C49" s="1634" t="s">
        <v>3344</v>
      </c>
      <c r="D49" s="1634" t="s">
        <v>3127</v>
      </c>
      <c r="E49" s="1634" t="s">
        <v>1327</v>
      </c>
      <c r="F49" s="1634" t="s">
        <v>3665</v>
      </c>
      <c r="G49" s="1634" t="s">
        <v>3430</v>
      </c>
      <c r="H49" s="1634" t="s">
        <v>3666</v>
      </c>
      <c r="I49" s="1634" t="s">
        <v>3367</v>
      </c>
      <c r="J49" s="1634">
        <v>61109.279999999999</v>
      </c>
      <c r="K49" s="1634">
        <v>183327.8</v>
      </c>
      <c r="L49" s="1634" t="s">
        <v>3656</v>
      </c>
      <c r="M49" s="1634" t="s">
        <v>1327</v>
      </c>
      <c r="N49" s="1634" t="s">
        <v>3235</v>
      </c>
      <c r="O49" s="1634" t="s">
        <v>3178</v>
      </c>
      <c r="P49" s="1634" t="s">
        <v>1327</v>
      </c>
      <c r="Q49" s="1634" t="s">
        <v>1327</v>
      </c>
      <c r="R49" s="1634" t="s">
        <v>1327</v>
      </c>
      <c r="S49" s="1634" t="s">
        <v>1327</v>
      </c>
      <c r="T49" s="1634" t="s">
        <v>1327</v>
      </c>
      <c r="U49" s="1634" t="s">
        <v>1327</v>
      </c>
      <c r="V49" s="1634" t="s">
        <v>1327</v>
      </c>
      <c r="W49" s="1634" t="s">
        <v>3193</v>
      </c>
      <c r="X49" s="1634" t="s">
        <v>3657</v>
      </c>
      <c r="Y49" s="1634" t="s">
        <v>3248</v>
      </c>
      <c r="Z49" s="1634" t="s">
        <v>3248</v>
      </c>
      <c r="AA49" s="1634" t="s">
        <v>3248</v>
      </c>
      <c r="AB49" s="1634" t="s">
        <v>3667</v>
      </c>
      <c r="AC49" s="1634" t="s">
        <v>3134</v>
      </c>
      <c r="AD49" s="1634" t="s">
        <v>3668</v>
      </c>
      <c r="AE49" s="1634">
        <v>1320</v>
      </c>
      <c r="AF49" s="1634">
        <v>6600</v>
      </c>
      <c r="AG49" s="1634">
        <v>6610</v>
      </c>
      <c r="AH49" s="1634">
        <v>72</v>
      </c>
      <c r="AI49" s="1634">
        <v>72.11</v>
      </c>
      <c r="AJ49" s="1634">
        <v>360.01</v>
      </c>
      <c r="AK49" s="1634">
        <v>360.56</v>
      </c>
      <c r="AL49" s="1634" t="s">
        <v>1327</v>
      </c>
      <c r="AM49" s="1634" t="s">
        <v>1327</v>
      </c>
      <c r="AN49" s="1634">
        <v>0.15</v>
      </c>
      <c r="AO49" s="1634" t="s">
        <v>3348</v>
      </c>
      <c r="AP49" s="1634" t="s">
        <v>1327</v>
      </c>
      <c r="AQ49" s="1634" t="s">
        <v>1327</v>
      </c>
      <c r="AR49" s="1634" t="s">
        <v>1327</v>
      </c>
      <c r="AS49" s="1634" t="s">
        <v>3136</v>
      </c>
    </row>
    <row r="50" spans="1:45">
      <c r="A50" s="1634" t="s">
        <v>3669</v>
      </c>
      <c r="B50" s="1634" t="s">
        <v>3125</v>
      </c>
      <c r="C50" s="1634" t="s">
        <v>3344</v>
      </c>
      <c r="D50" s="1634" t="s">
        <v>3127</v>
      </c>
      <c r="E50" s="1634" t="s">
        <v>1327</v>
      </c>
      <c r="F50" s="1634" t="s">
        <v>3669</v>
      </c>
      <c r="G50" s="1634" t="s">
        <v>3430</v>
      </c>
      <c r="H50" s="1634" t="s">
        <v>3670</v>
      </c>
      <c r="I50" s="1634" t="s">
        <v>3671</v>
      </c>
      <c r="J50" s="1634">
        <v>86610.33</v>
      </c>
      <c r="K50" s="1634">
        <v>346441.3</v>
      </c>
      <c r="L50" s="1634" t="s">
        <v>3672</v>
      </c>
      <c r="M50" s="1634" t="s">
        <v>1327</v>
      </c>
      <c r="N50" s="1634" t="s">
        <v>3231</v>
      </c>
      <c r="O50" s="1634" t="s">
        <v>1327</v>
      </c>
      <c r="P50" s="1634" t="s">
        <v>3673</v>
      </c>
      <c r="Q50" s="1634">
        <v>147637</v>
      </c>
      <c r="R50" s="1634">
        <v>147637</v>
      </c>
      <c r="S50" s="1634" t="s">
        <v>1327</v>
      </c>
      <c r="T50" s="1634" t="s">
        <v>1327</v>
      </c>
      <c r="U50" s="1634" t="s">
        <v>1327</v>
      </c>
      <c r="V50" s="1634" t="s">
        <v>1327</v>
      </c>
      <c r="W50" s="1634" t="s">
        <v>3193</v>
      </c>
      <c r="X50" s="1634" t="s">
        <v>3674</v>
      </c>
      <c r="Y50" s="1634" t="s">
        <v>3675</v>
      </c>
      <c r="Z50" s="1634" t="s">
        <v>3676</v>
      </c>
      <c r="AA50" s="1634" t="s">
        <v>3676</v>
      </c>
      <c r="AB50" s="1634" t="s">
        <v>3677</v>
      </c>
      <c r="AC50" s="1634" t="s">
        <v>3134</v>
      </c>
      <c r="AD50" s="1634" t="s">
        <v>3678</v>
      </c>
      <c r="AE50" s="1634">
        <v>5000</v>
      </c>
      <c r="AF50" s="1634">
        <v>23385</v>
      </c>
      <c r="AG50" s="1634">
        <v>23485</v>
      </c>
      <c r="AH50" s="1634">
        <v>180</v>
      </c>
      <c r="AI50" s="1634">
        <v>180.77</v>
      </c>
      <c r="AJ50" s="1634">
        <v>675</v>
      </c>
      <c r="AK50" s="1634">
        <v>677.88</v>
      </c>
      <c r="AL50" s="1634">
        <v>1176</v>
      </c>
      <c r="AM50" s="1634">
        <v>1181</v>
      </c>
      <c r="AN50" s="1634">
        <v>0.43</v>
      </c>
      <c r="AO50" s="1634" t="s">
        <v>3348</v>
      </c>
      <c r="AP50" s="1634" t="s">
        <v>1327</v>
      </c>
      <c r="AQ50" s="1634" t="s">
        <v>1327</v>
      </c>
      <c r="AR50" s="1634" t="s">
        <v>1327</v>
      </c>
      <c r="AS50" s="1634" t="s">
        <v>3136</v>
      </c>
    </row>
    <row r="51" spans="1:45">
      <c r="A51" s="1634" t="s">
        <v>3679</v>
      </c>
      <c r="B51" s="1634" t="s">
        <v>3125</v>
      </c>
      <c r="C51" s="1634" t="s">
        <v>3344</v>
      </c>
      <c r="D51" s="1634" t="s">
        <v>3127</v>
      </c>
      <c r="E51" s="1634" t="s">
        <v>1327</v>
      </c>
      <c r="F51" s="1634" t="s">
        <v>3679</v>
      </c>
      <c r="G51" s="1634" t="s">
        <v>3430</v>
      </c>
      <c r="H51" s="1634" t="s">
        <v>3680</v>
      </c>
      <c r="I51" s="1634" t="s">
        <v>3367</v>
      </c>
      <c r="J51" s="1634">
        <v>27551.439999999999</v>
      </c>
      <c r="K51" s="1634">
        <v>110205.8</v>
      </c>
      <c r="L51" s="1634" t="s">
        <v>3681</v>
      </c>
      <c r="M51" s="1634" t="s">
        <v>1327</v>
      </c>
      <c r="N51" s="1634" t="s">
        <v>3148</v>
      </c>
      <c r="O51" s="1634" t="s">
        <v>3526</v>
      </c>
      <c r="P51" s="1634" t="s">
        <v>1327</v>
      </c>
      <c r="Q51" s="1634" t="s">
        <v>1327</v>
      </c>
      <c r="R51" s="1634" t="s">
        <v>1327</v>
      </c>
      <c r="S51" s="1634" t="s">
        <v>1327</v>
      </c>
      <c r="T51" s="1634" t="s">
        <v>1327</v>
      </c>
      <c r="U51" s="1634" t="s">
        <v>1327</v>
      </c>
      <c r="V51" s="1634" t="s">
        <v>1327</v>
      </c>
      <c r="W51" s="1634" t="s">
        <v>3193</v>
      </c>
      <c r="X51" s="1634" t="s">
        <v>3682</v>
      </c>
      <c r="Y51" s="1634" t="s">
        <v>3683</v>
      </c>
      <c r="Z51" s="1634" t="s">
        <v>3684</v>
      </c>
      <c r="AA51" s="1634" t="s">
        <v>3684</v>
      </c>
      <c r="AB51" s="1634" t="s">
        <v>3685</v>
      </c>
      <c r="AC51" s="1634" t="s">
        <v>3134</v>
      </c>
      <c r="AD51" s="1634" t="s">
        <v>3686</v>
      </c>
      <c r="AE51" s="1634">
        <v>2800</v>
      </c>
      <c r="AF51" s="1634">
        <v>5910</v>
      </c>
      <c r="AG51" s="1634">
        <v>5930</v>
      </c>
      <c r="AH51" s="1634">
        <v>143.01</v>
      </c>
      <c r="AI51" s="1634">
        <v>143.49</v>
      </c>
      <c r="AJ51" s="1634">
        <v>536.26</v>
      </c>
      <c r="AK51" s="1634">
        <v>538.08000000000004</v>
      </c>
      <c r="AL51" s="1634" t="s">
        <v>1327</v>
      </c>
      <c r="AM51" s="1634" t="s">
        <v>1327</v>
      </c>
      <c r="AN51" s="1634">
        <v>0.34</v>
      </c>
      <c r="AO51" s="1634" t="s">
        <v>3348</v>
      </c>
      <c r="AP51" s="1634" t="s">
        <v>1327</v>
      </c>
      <c r="AQ51" s="1634" t="s">
        <v>1327</v>
      </c>
      <c r="AR51" s="1634" t="s">
        <v>1327</v>
      </c>
      <c r="AS51" s="1634" t="s">
        <v>3136</v>
      </c>
    </row>
  </sheetData>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1636</v>
      </c>
      <c r="B2" s="2990" t="s">
        <v>1637</v>
      </c>
      <c r="C2" s="2990" t="s">
        <v>1638</v>
      </c>
      <c r="D2" s="2990" t="str">
        <f>结果表!D116</f>
        <v>出让国有建设用地使用权价值</v>
      </c>
      <c r="E2" s="2990"/>
      <c r="F2" s="2990" t="str">
        <f>结果表!F116</f>
        <v>在建建筑物价值</v>
      </c>
      <c r="G2" s="2990"/>
      <c r="H2" s="2990" t="str">
        <f>IF(项目基本情况!B9="房地产市场价值","房地产市场价值","房地产价值")</f>
        <v>房地产价值</v>
      </c>
      <c r="I2" s="2990"/>
    </row>
    <row r="3" spans="1:9" ht="15">
      <c r="A3" s="2991"/>
      <c r="B3" s="2991"/>
      <c r="C3" s="2991"/>
      <c r="D3" s="1044" t="s">
        <v>1633</v>
      </c>
      <c r="E3" s="1044" t="s">
        <v>1639</v>
      </c>
      <c r="F3" s="1044" t="s">
        <v>1633</v>
      </c>
      <c r="G3" s="1044" t="s">
        <v>1634</v>
      </c>
      <c r="H3" s="1044" t="s">
        <v>1633</v>
      </c>
      <c r="I3" s="1044" t="s">
        <v>1634</v>
      </c>
    </row>
    <row r="4" spans="1:9" ht="75">
      <c r="A4" s="1971" t="str">
        <f>项目基本情况!S2</f>
        <v>贵州省六盘水市钟山区红桥大道南侧、双龙一路西侧、南干线北侧住宅用地出让国有建设用地使用权出让国有建设用地使用权</v>
      </c>
      <c r="B4" s="1044">
        <f>项目基本情况!C17</f>
        <v>53306.400000000001</v>
      </c>
      <c r="C4" s="1044">
        <f>项目基本情况!C18</f>
        <v>21322.59</v>
      </c>
      <c r="D4" s="1044">
        <f ca="1">结果表!D118</f>
        <v>4649</v>
      </c>
      <c r="E4" s="1044">
        <f ca="1">结果表!E118</f>
        <v>872</v>
      </c>
      <c r="F4" s="1044">
        <f ca="1">结果表!F118</f>
        <v>0</v>
      </c>
      <c r="G4" s="1044">
        <f ca="1">结果表!G118</f>
        <v>0</v>
      </c>
      <c r="H4" s="1044">
        <f ca="1">结果表!H118</f>
        <v>4649</v>
      </c>
      <c r="I4" s="1044">
        <f ca="1">结果表!I118</f>
        <v>872</v>
      </c>
    </row>
    <row r="5" spans="1:9" ht="30" customHeight="1">
      <c r="A5" s="2991" t="s">
        <v>1635</v>
      </c>
      <c r="B5" s="2991"/>
      <c r="C5" s="2991"/>
      <c r="D5" s="2992" t="str">
        <f ca="1">结果表!D119</f>
        <v>肆仟陆佰肆拾玖万元整</v>
      </c>
      <c r="E5" s="2992"/>
      <c r="F5" s="2992" t="str">
        <f ca="1">结果表!F119</f>
        <v>零元整</v>
      </c>
      <c r="G5" s="2992"/>
      <c r="H5" s="2992" t="str">
        <f ca="1">结果表!H119</f>
        <v>肆仟陆佰肆拾玖万元整</v>
      </c>
      <c r="I5" s="2992"/>
    </row>
    <row r="6" spans="1:9" ht="15.75">
      <c r="A6" s="2993" t="str">
        <f>结果表!A120</f>
        <v>估价师知悉的法定优先受偿款</v>
      </c>
      <c r="B6" s="2993"/>
      <c r="C6" s="2993"/>
      <c r="D6" s="2993">
        <f>结果表!D120</f>
        <v>0</v>
      </c>
      <c r="E6" s="2993"/>
      <c r="F6" s="2993"/>
      <c r="G6" s="2993"/>
      <c r="H6" s="2993"/>
      <c r="I6" s="2993"/>
    </row>
    <row r="7" spans="1:9" ht="15">
      <c r="A7" s="2991" t="s">
        <v>1635</v>
      </c>
      <c r="B7" s="2991"/>
      <c r="C7" s="2991"/>
      <c r="D7" s="2994" t="str">
        <f>结果表!D121</f>
        <v>零元整</v>
      </c>
      <c r="E7" s="2995"/>
      <c r="F7" s="2995"/>
      <c r="G7" s="2995"/>
      <c r="H7" s="2995"/>
      <c r="I7" s="2996"/>
    </row>
    <row r="8" spans="1:9" ht="15.75">
      <c r="A8" s="2993" t="str">
        <f>结果表!A122</f>
        <v>房地产抵押价值</v>
      </c>
      <c r="B8" s="2993"/>
      <c r="C8" s="2993"/>
      <c r="D8" s="2993">
        <f ca="1">结果表!D122</f>
        <v>4649</v>
      </c>
      <c r="E8" s="2993"/>
      <c r="F8" s="2993"/>
      <c r="G8" s="2993"/>
      <c r="H8" s="2993"/>
      <c r="I8" s="2993"/>
    </row>
    <row r="9" spans="1:9" ht="15">
      <c r="A9" s="2991" t="s">
        <v>1635</v>
      </c>
      <c r="B9" s="2991"/>
      <c r="C9" s="2991"/>
      <c r="D9" s="2992" t="str">
        <f ca="1">结果表!D123</f>
        <v>肆仟陆佰肆拾玖万元整</v>
      </c>
      <c r="E9" s="2992"/>
      <c r="F9" s="2992"/>
      <c r="G9" s="2992"/>
      <c r="H9" s="2992"/>
      <c r="I9" s="2992"/>
    </row>
    <row r="10" spans="1:9" ht="15.75">
      <c r="A10" s="2993" t="str">
        <f>结果表!A124</f>
        <v/>
      </c>
      <c r="B10" s="2993"/>
      <c r="C10" s="2993"/>
      <c r="D10" s="2993" t="str">
        <f>结果表!D124</f>
        <v>——</v>
      </c>
      <c r="E10" s="2993"/>
      <c r="F10" s="2993"/>
      <c r="G10" s="2993"/>
      <c r="H10" s="2993"/>
      <c r="I10" s="2993"/>
    </row>
    <row r="11" spans="1:9" ht="15">
      <c r="A11" s="2991" t="s">
        <v>1635</v>
      </c>
      <c r="B11" s="2991"/>
      <c r="C11" s="2991"/>
      <c r="D11" s="2992" t="e">
        <f>结果表!D125</f>
        <v>#VALUE!</v>
      </c>
      <c r="E11" s="2992"/>
      <c r="F11" s="2992"/>
      <c r="G11" s="2992"/>
      <c r="H11" s="2992"/>
      <c r="I11" s="2992"/>
    </row>
    <row r="12" spans="1:9" ht="15.75">
      <c r="A12" s="2993" t="str">
        <f>结果表!A126</f>
        <v/>
      </c>
      <c r="B12" s="2993"/>
      <c r="C12" s="2993"/>
      <c r="D12" s="2993" t="str">
        <f>结果表!D126</f>
        <v>——</v>
      </c>
      <c r="E12" s="2993"/>
      <c r="F12" s="2993"/>
      <c r="G12" s="2993"/>
      <c r="H12" s="2993"/>
      <c r="I12" s="2993"/>
    </row>
    <row r="13" spans="1:9" ht="15.75" thickBot="1">
      <c r="A13" s="2997" t="s">
        <v>1635</v>
      </c>
      <c r="B13" s="2997"/>
      <c r="C13" s="2997"/>
      <c r="D13" s="2998" t="e">
        <f>结果表!D127</f>
        <v>#VALUE!</v>
      </c>
      <c r="E13" s="2998"/>
      <c r="F13" s="2998"/>
      <c r="G13" s="2998"/>
      <c r="H13" s="2998"/>
      <c r="I13" s="2998"/>
    </row>
    <row r="14" spans="1:9" ht="15" thickTop="1">
      <c r="A14" s="2999" t="s">
        <v>1640</v>
      </c>
      <c r="B14" s="2999"/>
      <c r="C14" s="2999"/>
      <c r="D14" s="2999"/>
      <c r="E14" s="2999"/>
      <c r="F14" s="2999"/>
      <c r="G14" s="2999"/>
      <c r="H14" s="2999"/>
      <c r="I14" s="2999"/>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0" t="s">
        <v>1657</v>
      </c>
      <c r="B1" s="3000"/>
      <c r="C1" s="3000"/>
      <c r="D1" s="3000"/>
    </row>
    <row r="2" spans="1:4" ht="18">
      <c r="A2" s="3001" t="s">
        <v>1641</v>
      </c>
      <c r="B2" s="3001"/>
      <c r="C2" s="3001"/>
      <c r="D2" s="3001"/>
    </row>
    <row r="3" spans="1:4" ht="18.75">
      <c r="A3" s="1975" t="s">
        <v>1642</v>
      </c>
      <c r="B3" s="1975" t="s">
        <v>1643</v>
      </c>
      <c r="C3" s="1975" t="s">
        <v>1644</v>
      </c>
      <c r="D3" s="1975" t="s">
        <v>1645</v>
      </c>
    </row>
    <row r="4" spans="1:4" ht="56.25" customHeight="1">
      <c r="A4" s="1976" t="str">
        <f>项目基本情况!B4</f>
        <v>吴薇</v>
      </c>
      <c r="B4" s="1977">
        <f ca="1">项目基本情况!C4</f>
        <v>0</v>
      </c>
      <c r="C4" s="1978"/>
      <c r="D4" s="1979" t="s">
        <v>1646</v>
      </c>
    </row>
    <row r="5" spans="1:4" ht="56.25" customHeight="1">
      <c r="A5" s="1976" t="str">
        <f>项目基本情况!D4</f>
        <v>崔锴</v>
      </c>
      <c r="B5" s="1977">
        <f ca="1">项目基本情况!E4</f>
        <v>1120100036</v>
      </c>
      <c r="C5" s="1980"/>
      <c r="D5" s="1979" t="s">
        <v>1646</v>
      </c>
    </row>
    <row r="6" spans="1:4" ht="18">
      <c r="A6" s="3001" t="s">
        <v>1647</v>
      </c>
      <c r="B6" s="3001"/>
      <c r="C6" s="3001"/>
      <c r="D6" s="3001"/>
    </row>
    <row r="7" spans="1:4" ht="18.75">
      <c r="A7" s="1975" t="s">
        <v>1642</v>
      </c>
      <c r="B7" s="1977" t="s">
        <v>1648</v>
      </c>
      <c r="C7" s="1975" t="s">
        <v>1644</v>
      </c>
      <c r="D7" s="1975" t="s">
        <v>1645</v>
      </c>
    </row>
    <row r="8" spans="1:4" ht="56.25" customHeight="1">
      <c r="A8" s="1981" t="s">
        <v>866</v>
      </c>
      <c r="B8" s="1981" t="s">
        <v>1</v>
      </c>
      <c r="C8" s="1978"/>
      <c r="D8" s="1979" t="s">
        <v>1646</v>
      </c>
    </row>
    <row r="9" spans="1:4">
      <c r="A9" s="728"/>
      <c r="B9" s="728"/>
      <c r="C9" s="728"/>
      <c r="D9" s="728"/>
    </row>
    <row r="10" spans="1:4" ht="18.75">
      <c r="A10" s="1982" t="s">
        <v>1649</v>
      </c>
      <c r="B10" s="728"/>
      <c r="C10" s="728"/>
      <c r="D10" s="728"/>
    </row>
    <row r="11" spans="1:4" ht="30" customHeight="1">
      <c r="A11" s="3002" t="s">
        <v>1650</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3003" t="str">
        <f>IF(项目基本情况!B8="抵押","4.本次评估估价师所知悉的法定优先受偿款情况说明如下：","——")</f>
        <v>4.本次评估估价师所知悉的法定优先受偿款情况说明如下：</v>
      </c>
      <c r="B14" s="3004"/>
      <c r="C14" s="3004"/>
      <c r="D14" s="3004"/>
    </row>
    <row r="15" spans="1:4" ht="42" customHeight="1">
      <c r="A15" s="3003" t="str">
        <f>IF(项目基本情况!B8="抵押","（1）"&amp;CONCATENATE(项目基本情况!L20,项目基本情况!L21,项目基本情况!L22),"——")</f>
        <v>（1）根据估价对象《不动产权证书》复印件、，截至价值时点，估价对象抵押权未见登记。</v>
      </c>
      <c r="B15" s="3003"/>
      <c r="C15" s="3003"/>
      <c r="D15" s="3003"/>
    </row>
    <row r="16" spans="1:4" ht="30" customHeight="1">
      <c r="A16" s="3006" t="s">
        <v>1651</v>
      </c>
      <c r="B16" s="3006"/>
      <c r="C16" s="3006"/>
      <c r="D16" s="3006"/>
    </row>
    <row r="17" spans="1:4" ht="144" customHeight="1">
      <c r="A17" s="3006" t="s">
        <v>1652</v>
      </c>
      <c r="B17" s="3006"/>
      <c r="C17" s="3006"/>
      <c r="D17" s="3006"/>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3"/>
      <c r="C20" s="3003"/>
      <c r="D20" s="3003"/>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7"/>
      <c r="C21" s="3007"/>
      <c r="D21" s="3007"/>
    </row>
    <row r="22" spans="1:4" ht="18.75" customHeight="1">
      <c r="A22" s="3008" t="s">
        <v>1653</v>
      </c>
      <c r="B22" s="3008"/>
      <c r="C22" s="3008"/>
      <c r="D22" s="3008"/>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3005">
        <v>42551</v>
      </c>
      <c r="D31" s="30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14" t="s">
        <v>1664</v>
      </c>
      <c r="B15" s="3009" t="s">
        <v>136</v>
      </c>
      <c r="C15" s="3010"/>
    </row>
    <row r="16" spans="1:7" ht="13.5">
      <c r="A16" s="3015"/>
      <c r="B16" s="3009" t="s">
        <v>69</v>
      </c>
      <c r="C16" s="3010"/>
    </row>
    <row r="17" spans="1:3" ht="13.5">
      <c r="A17" s="3015"/>
      <c r="B17" s="3012" t="s">
        <v>1665</v>
      </c>
      <c r="C17" s="1998" t="s">
        <v>1664</v>
      </c>
    </row>
    <row r="18" spans="1:3" ht="13.5">
      <c r="A18" s="3015"/>
      <c r="B18" s="3012"/>
      <c r="C18" s="1998" t="s">
        <v>1666</v>
      </c>
    </row>
    <row r="19" spans="1:3" ht="13.5">
      <c r="A19" s="3015"/>
      <c r="B19" s="3012"/>
      <c r="C19" s="1998" t="s">
        <v>1667</v>
      </c>
    </row>
    <row r="20" spans="1:3" ht="13.5">
      <c r="A20" s="3016"/>
      <c r="B20" s="3011" t="s">
        <v>1668</v>
      </c>
      <c r="C20" s="3010"/>
    </row>
    <row r="21" spans="1:3" ht="13.5">
      <c r="A21" s="1999" t="s">
        <v>1669</v>
      </c>
      <c r="B21" s="2000"/>
      <c r="C21" s="2001"/>
    </row>
    <row r="22" spans="1:3" ht="13.5">
      <c r="A22" s="3013" t="s">
        <v>1670</v>
      </c>
      <c r="B22" s="3011" t="s">
        <v>1671</v>
      </c>
      <c r="C22" s="3010"/>
    </row>
    <row r="23" spans="1:3" ht="13.5">
      <c r="A23" s="3013"/>
      <c r="B23" s="3011" t="s">
        <v>1672</v>
      </c>
      <c r="C23" s="3010"/>
    </row>
    <row r="24" spans="1:3" ht="13.5">
      <c r="A24" s="3013"/>
      <c r="B24" s="3011" t="s">
        <v>1673</v>
      </c>
      <c r="C24" s="3010"/>
    </row>
    <row r="25" spans="1:3" ht="13.5">
      <c r="A25" s="3013"/>
      <c r="B25" s="3012" t="s">
        <v>1674</v>
      </c>
      <c r="C25" s="1998" t="s">
        <v>1675</v>
      </c>
    </row>
    <row r="26" spans="1:3" ht="13.5">
      <c r="A26" s="3013"/>
      <c r="B26" s="3012"/>
      <c r="C26" s="1998" t="s">
        <v>1676</v>
      </c>
    </row>
    <row r="27" spans="1:3" ht="13.5">
      <c r="A27" s="3013"/>
      <c r="B27" s="3012"/>
      <c r="C27" s="1998" t="s">
        <v>1677</v>
      </c>
    </row>
    <row r="28" spans="1:3" ht="13.5">
      <c r="A28" s="3013"/>
      <c r="B28" s="3012"/>
      <c r="C28" s="1998" t="s">
        <v>1678</v>
      </c>
    </row>
    <row r="29" spans="1:3" ht="13.5">
      <c r="A29" s="3013"/>
      <c r="B29" s="3012"/>
      <c r="C29" s="1998" t="s">
        <v>1679</v>
      </c>
    </row>
    <row r="30" spans="1:3" ht="13.5">
      <c r="A30" s="3013"/>
      <c r="B30" s="3012"/>
      <c r="C30" s="1998" t="s">
        <v>1680</v>
      </c>
    </row>
    <row r="31" spans="1:3" ht="13.5">
      <c r="A31" s="3013"/>
      <c r="B31" s="3012"/>
      <c r="C31" s="1998" t="s">
        <v>1681</v>
      </c>
    </row>
    <row r="32" spans="1:3" ht="13.5">
      <c r="A32" s="3013"/>
      <c r="B32" s="3012"/>
      <c r="C32" s="1998" t="s">
        <v>1682</v>
      </c>
    </row>
    <row r="33" spans="1:3" ht="13.5">
      <c r="A33" s="3013"/>
      <c r="B33" s="3012"/>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44019</v>
      </c>
      <c r="C2" s="1019" t="s">
        <v>826</v>
      </c>
      <c r="D2" s="1019"/>
    </row>
    <row r="3" spans="1:6" ht="24" customHeight="1">
      <c r="A3" s="1020" t="s">
        <v>827</v>
      </c>
      <c r="B3" s="1021" t="s">
        <v>828</v>
      </c>
      <c r="C3" s="2342" t="s">
        <v>829</v>
      </c>
      <c r="D3" s="2345" t="s">
        <v>830</v>
      </c>
      <c r="E3" s="1022" t="s">
        <v>831</v>
      </c>
      <c r="F3" s="1021" t="s">
        <v>829</v>
      </c>
    </row>
    <row r="4" spans="1:6" ht="24" customHeight="1">
      <c r="A4" s="1701" t="s">
        <v>832</v>
      </c>
      <c r="B4" s="1022" t="str">
        <f ca="1">IF(C4&lt;B2,"已过期",1119970066)</f>
        <v>已过期</v>
      </c>
      <c r="C4" s="2343">
        <v>43849</v>
      </c>
      <c r="D4" s="2346" t="s">
        <v>832</v>
      </c>
      <c r="E4" s="1022">
        <f ca="1">IF(F4&lt;B2,"已过期",96010014)</f>
        <v>96010014</v>
      </c>
      <c r="F4" s="1030">
        <v>47118</v>
      </c>
    </row>
    <row r="5" spans="1:6" ht="24" customHeight="1">
      <c r="A5" s="1701" t="s">
        <v>833</v>
      </c>
      <c r="B5" s="1022" t="str">
        <f ca="1">IF(C5&lt;B2,"已过期",1119970074)</f>
        <v>已过期</v>
      </c>
      <c r="C5" s="2343">
        <v>43849</v>
      </c>
      <c r="D5" s="2346" t="s">
        <v>833</v>
      </c>
      <c r="E5" s="1022">
        <f ca="1">IF(F5&lt;B2,"已过期",2002110027)</f>
        <v>2002110027</v>
      </c>
      <c r="F5" s="1030">
        <v>46752</v>
      </c>
    </row>
    <row r="6" spans="1:6" ht="24" customHeight="1">
      <c r="A6" s="1701" t="s">
        <v>834</v>
      </c>
      <c r="B6" s="1022" t="str">
        <f ca="1">IF(C6&lt;B2,"已过期",1119970111)</f>
        <v>已过期</v>
      </c>
      <c r="C6" s="2343">
        <v>43849</v>
      </c>
      <c r="D6" s="2346" t="s">
        <v>834</v>
      </c>
      <c r="E6" s="1022">
        <f ca="1">IF(F6&lt;B2,"已过期",94010078)</f>
        <v>94010078</v>
      </c>
      <c r="F6" s="1030">
        <v>46387</v>
      </c>
    </row>
    <row r="7" spans="1:6" ht="24" customHeight="1">
      <c r="A7" s="1701" t="s">
        <v>835</v>
      </c>
      <c r="B7" s="1022">
        <f ca="1">IF(C7&lt;B2,"已过期",1120050019)</f>
        <v>1120050019</v>
      </c>
      <c r="C7" s="2343">
        <v>44395</v>
      </c>
      <c r="D7" s="2346" t="s">
        <v>835</v>
      </c>
      <c r="E7" s="1022">
        <f ca="1">IF(F7&lt;B2,"已过期",2002110030)</f>
        <v>2002110030</v>
      </c>
      <c r="F7" s="1030">
        <v>46387</v>
      </c>
    </row>
    <row r="8" spans="1:6" ht="24" customHeight="1">
      <c r="A8" s="1701" t="s">
        <v>836</v>
      </c>
      <c r="B8" s="1022" t="str">
        <f ca="1">IF(C8&lt;B2,"已过期",1120000080)</f>
        <v>已过期</v>
      </c>
      <c r="C8" s="2343">
        <v>43849</v>
      </c>
      <c r="D8" s="2346" t="s">
        <v>836</v>
      </c>
      <c r="E8" s="1022">
        <f ca="1">IF(F8&lt;B2,"已过期",2000110082)</f>
        <v>2000110082</v>
      </c>
      <c r="F8" s="1030">
        <v>46387</v>
      </c>
    </row>
    <row r="9" spans="1:6" ht="24" customHeight="1">
      <c r="A9" s="1701" t="s">
        <v>837</v>
      </c>
      <c r="B9" s="1022" t="str">
        <f ca="1">IF(C9&lt;B2,"已过期",1419970001)</f>
        <v>已过期</v>
      </c>
      <c r="C9" s="2343">
        <v>43867</v>
      </c>
      <c r="D9" s="2346" t="s">
        <v>837</v>
      </c>
      <c r="E9" s="1022">
        <f ca="1">IF(F9&lt;B2,"已过期",2002110125)</f>
        <v>2002110125</v>
      </c>
      <c r="F9" s="1030">
        <v>47118</v>
      </c>
    </row>
    <row r="10" spans="1:6" ht="24" customHeight="1">
      <c r="A10" s="1701" t="s">
        <v>838</v>
      </c>
      <c r="B10" s="1022">
        <f ca="1">IF(C10&lt;B2,"已过期",1120060040)</f>
        <v>1120060040</v>
      </c>
      <c r="C10" s="2343">
        <v>44554</v>
      </c>
      <c r="D10" s="2346" t="s">
        <v>838</v>
      </c>
      <c r="E10" s="1022">
        <f ca="1">IF(F10&lt;B2,"已过期",2004110096)</f>
        <v>2004110096</v>
      </c>
      <c r="F10" s="1030">
        <v>47118</v>
      </c>
    </row>
    <row r="11" spans="1:6" ht="24" customHeight="1">
      <c r="A11" s="1701" t="s">
        <v>839</v>
      </c>
      <c r="B11" s="1022">
        <f ca="1">IF(C11&lt;B2,"已过期",1120100036)</f>
        <v>1120100036</v>
      </c>
      <c r="C11" s="2343">
        <v>44675</v>
      </c>
      <c r="D11" s="2346" t="s">
        <v>839</v>
      </c>
      <c r="E11" s="1022">
        <f ca="1">IF(F11&lt;B2,"已过期",2010110070)</f>
        <v>2010110070</v>
      </c>
      <c r="F11" s="1030">
        <v>47907</v>
      </c>
    </row>
    <row r="12" spans="1:6" ht="24" customHeight="1">
      <c r="A12" s="1701"/>
      <c r="B12" s="1022"/>
      <c r="C12" s="2922"/>
      <c r="D12" s="1701"/>
      <c r="E12" s="1022"/>
      <c r="F12" s="1030"/>
    </row>
    <row r="13" spans="1:6" ht="24" customHeight="1">
      <c r="A13" s="1701" t="s">
        <v>840</v>
      </c>
      <c r="B13" s="1022" t="str">
        <f ca="1">IF(C13&lt;B2,"已过期",1120070131)</f>
        <v>已过期</v>
      </c>
      <c r="C13" s="2343">
        <v>43814</v>
      </c>
      <c r="D13" s="2346" t="s">
        <v>840</v>
      </c>
      <c r="E13" s="1022">
        <f ca="1">IF(F13&lt;B2,"已过期",2014110011)</f>
        <v>2014110011</v>
      </c>
      <c r="F13" s="1030">
        <v>49302</v>
      </c>
    </row>
    <row r="14" spans="1:6" ht="24" customHeight="1">
      <c r="A14" s="1701" t="s">
        <v>3031</v>
      </c>
      <c r="B14" s="1022" t="str">
        <f ca="1">IF(C14&lt;B2,"已过期",1120040230)</f>
        <v>已过期</v>
      </c>
      <c r="C14" s="2343">
        <v>43835</v>
      </c>
      <c r="D14" s="2346" t="s">
        <v>3031</v>
      </c>
      <c r="E14" s="1022">
        <f ca="1">IF(F14&lt;B2,"已过期",98030020)</f>
        <v>98030020</v>
      </c>
      <c r="F14" s="1030">
        <v>47118</v>
      </c>
    </row>
    <row r="15" spans="1:6" ht="24" customHeight="1">
      <c r="A15" s="1702" t="s">
        <v>3032</v>
      </c>
      <c r="B15" s="1022" t="str">
        <f ca="1">IF(C15&lt;B2,"已过期",1120070085)</f>
        <v>已过期</v>
      </c>
      <c r="C15" s="2343">
        <v>43814</v>
      </c>
      <c r="D15" s="2347" t="s">
        <v>3032</v>
      </c>
      <c r="E15" s="1022">
        <f ca="1">IF(F15&lt;B2,"已过期",2004110128)</f>
        <v>2004110128</v>
      </c>
      <c r="F15" s="1023">
        <v>47118</v>
      </c>
    </row>
    <row r="16" spans="1:6" ht="24" customHeight="1">
      <c r="A16" s="1701" t="s">
        <v>3033</v>
      </c>
      <c r="B16" s="1022">
        <f ca="1">IF(C16&lt;B2,"已过期",1120140022)</f>
        <v>1120140022</v>
      </c>
      <c r="C16" s="2922">
        <v>44029</v>
      </c>
      <c r="D16" s="2346" t="s">
        <v>3033</v>
      </c>
      <c r="E16" s="1022">
        <f ca="1">IF(F16&lt;B2,"已过期",2008110059)</f>
        <v>2008110059</v>
      </c>
      <c r="F16" s="1030">
        <v>47177</v>
      </c>
    </row>
    <row r="17" spans="1:7" ht="24" customHeight="1">
      <c r="A17" s="1701"/>
      <c r="B17" s="1022"/>
      <c r="C17" s="2343"/>
      <c r="D17" s="2346" t="s">
        <v>3034</v>
      </c>
      <c r="E17" s="1022">
        <f ca="1">IF(F17&lt;B2,"已过期",2014110076)</f>
        <v>2014110076</v>
      </c>
      <c r="F17" s="1030">
        <v>49302</v>
      </c>
    </row>
    <row r="18" spans="1:7" ht="24" customHeight="1">
      <c r="A18" s="1701"/>
      <c r="B18" s="1022"/>
      <c r="C18" s="2343"/>
      <c r="D18" s="2346"/>
      <c r="E18" s="1022"/>
      <c r="F18" s="1030"/>
    </row>
    <row r="19" spans="1:7" ht="24" customHeight="1">
      <c r="A19" s="1701"/>
      <c r="B19" s="1022"/>
      <c r="C19" s="2343"/>
      <c r="D19" s="2346"/>
      <c r="E19" s="1022"/>
      <c r="F19" s="1022"/>
    </row>
    <row r="20" spans="1:7" ht="24" customHeight="1">
      <c r="A20" s="1701"/>
      <c r="B20" s="1022"/>
      <c r="C20" s="2343"/>
      <c r="D20" s="2346"/>
      <c r="E20" s="1022"/>
      <c r="F20" s="1022"/>
    </row>
    <row r="21" spans="1:7" ht="24" customHeight="1">
      <c r="A21" s="1701"/>
      <c r="B21" s="1022"/>
      <c r="C21" s="2343"/>
      <c r="D21" s="2346" t="s">
        <v>841</v>
      </c>
      <c r="E21" s="1022">
        <f ca="1">IF(F21&lt;B2,"已过期",2011110090)</f>
        <v>2011110090</v>
      </c>
      <c r="F21" s="1030">
        <v>48302</v>
      </c>
    </row>
    <row r="22" spans="1:7" ht="24" customHeight="1">
      <c r="A22" s="1701" t="s">
        <v>842</v>
      </c>
      <c r="B22" s="1022">
        <f ca="1">IF(C22&lt;B2,"已过期",1120020033)</f>
        <v>1120020033</v>
      </c>
      <c r="C22" s="2922">
        <v>44339</v>
      </c>
      <c r="D22" s="2346" t="s">
        <v>842</v>
      </c>
      <c r="E22" s="1022">
        <f ca="1">IF(F22&lt;B2,"已过期",2000110137)</f>
        <v>2000110137</v>
      </c>
      <c r="F22" s="1030">
        <v>46387</v>
      </c>
    </row>
    <row r="23" spans="1:7" ht="24" customHeight="1">
      <c r="A23" s="1701"/>
      <c r="B23" s="1022"/>
      <c r="C23" s="2343"/>
      <c r="D23" s="2346"/>
      <c r="E23" s="1022"/>
      <c r="F23" s="1022"/>
    </row>
    <row r="24" spans="1:7" s="1024" customFormat="1" ht="24" customHeight="1">
      <c r="A24" s="1702" t="s">
        <v>1329</v>
      </c>
      <c r="B24" s="1702" t="s">
        <v>1329</v>
      </c>
      <c r="C24" s="2344" t="s">
        <v>1329</v>
      </c>
      <c r="D24" s="2347" t="s">
        <v>1329</v>
      </c>
      <c r="E24" s="1702" t="s">
        <v>1329</v>
      </c>
      <c r="F24" s="1702" t="s">
        <v>1329</v>
      </c>
    </row>
    <row r="25" spans="1:7" ht="24" customHeight="1">
      <c r="A25" s="3017" t="s">
        <v>843</v>
      </c>
      <c r="B25" s="3017"/>
      <c r="C25" s="3017"/>
      <c r="D25" s="3017"/>
      <c r="E25" s="3017"/>
      <c r="F25" s="3017"/>
      <c r="G25" s="3017"/>
    </row>
    <row r="26" spans="1:7" s="1025" customFormat="1" ht="24" customHeight="1">
      <c r="A26" s="3018" t="s">
        <v>844</v>
      </c>
      <c r="B26" s="3018"/>
      <c r="C26" s="3019"/>
      <c r="D26" s="3020" t="s">
        <v>845</v>
      </c>
      <c r="E26" s="3018"/>
      <c r="F26" s="3018"/>
    </row>
    <row r="27" spans="1:7" s="1027" customFormat="1" ht="24" customHeight="1">
      <c r="A27" s="1026" t="s">
        <v>846</v>
      </c>
      <c r="B27" s="1021" t="s">
        <v>847</v>
      </c>
      <c r="C27" s="2342" t="s">
        <v>848</v>
      </c>
      <c r="D27" s="2350" t="s">
        <v>846</v>
      </c>
      <c r="E27" s="1021" t="s">
        <v>847</v>
      </c>
      <c r="F27" s="1021" t="s">
        <v>848</v>
      </c>
    </row>
    <row r="28" spans="1:7" s="1027" customFormat="1" ht="24" customHeight="1">
      <c r="A28" s="1028" t="s">
        <v>849</v>
      </c>
      <c r="B28" s="1029" t="s">
        <v>850</v>
      </c>
      <c r="C28" s="2348">
        <v>43725</v>
      </c>
      <c r="D28" s="2351" t="s">
        <v>851</v>
      </c>
      <c r="E28" s="1028" t="s">
        <v>852</v>
      </c>
      <c r="F28" s="1058">
        <v>44377</v>
      </c>
    </row>
    <row r="29" spans="1:7" s="1027" customFormat="1" ht="24" customHeight="1">
      <c r="A29" s="1028"/>
      <c r="B29" s="1028"/>
      <c r="C29" s="2349"/>
      <c r="D29" s="2351" t="s">
        <v>853</v>
      </c>
      <c r="E29" s="1202" t="s">
        <v>3038</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分户表</vt:lpstr>
      <vt:lpstr>土地案例</vt:lpstr>
      <vt:lpstr>成本法（废）</vt:lpstr>
      <vt:lpstr>区片价</vt:lpstr>
      <vt:lpstr>因素修正幅度</vt:lpstr>
      <vt:lpstr>存贷款利率</vt:lpstr>
      <vt:lpstr>区片价（范围）</vt:lpstr>
      <vt:lpstr>案例</vt:lpstr>
      <vt:lpstr>土地</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2020-07-07T05:13:34Z</dcterms:modified>
</cp:coreProperties>
</file>