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沧州土地\"/>
    </mc:Choice>
  </mc:AlternateContent>
  <bookViews>
    <workbookView xWindow="11628" yWindow="168" windowWidth="11388" windowHeight="9468" tabRatio="899"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案例" sheetId="77"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6" i="68" l="1"/>
  <c r="E109" i="40"/>
  <c r="F109" i="40" s="1"/>
  <c r="G109" i="40" s="1"/>
  <c r="D109" i="40"/>
  <c r="I34" i="40"/>
  <c r="G34" i="40"/>
  <c r="E34" i="40"/>
  <c r="C34" i="40"/>
  <c r="I5" i="40"/>
  <c r="G5" i="40"/>
  <c r="E5" i="40"/>
  <c r="I7" i="40"/>
  <c r="G7" i="40"/>
  <c r="E7" i="40"/>
  <c r="AS16" i="77"/>
  <c r="AS15" i="77"/>
  <c r="AS14" i="77"/>
  <c r="AS13" i="77"/>
  <c r="AS12" i="77"/>
  <c r="AS11" i="77"/>
  <c r="AS10" i="77"/>
  <c r="AS9" i="77"/>
  <c r="AS8" i="77"/>
  <c r="AS7" i="77"/>
  <c r="AS6" i="77"/>
  <c r="AS5" i="77"/>
  <c r="AS4" i="77"/>
  <c r="AS3" i="77"/>
  <c r="AS2" i="77"/>
  <c r="C11" i="40"/>
  <c r="B29" i="1"/>
  <c r="W21" i="1"/>
  <c r="W22" i="1" s="1"/>
  <c r="X22" i="1" s="1"/>
  <c r="W20" i="1"/>
  <c r="U21" i="1"/>
  <c r="U20" i="1"/>
  <c r="F19" i="6"/>
  <c r="D3" i="4"/>
  <c r="AH5" i="71" l="1"/>
  <c r="AG5" i="71"/>
  <c r="AE5" i="71"/>
  <c r="AF5" i="71" s="1"/>
  <c r="AD5" i="71"/>
  <c r="Q5" i="71"/>
  <c r="Q6" i="71"/>
  <c r="Q7" i="71"/>
  <c r="P5" i="71"/>
  <c r="P6" i="71"/>
  <c r="P7" i="71"/>
  <c r="O5" i="71"/>
  <c r="O6" i="71"/>
  <c r="O7" i="71"/>
  <c r="N5" i="71"/>
  <c r="N6" i="71"/>
  <c r="N7" i="71"/>
  <c r="AH6" i="71"/>
  <c r="AG6" i="71"/>
  <c r="AE6" i="71"/>
  <c r="AF6" i="71"/>
  <c r="AD6" i="71"/>
  <c r="F24" i="12"/>
  <c r="C24" i="12" s="1"/>
  <c r="F7" i="69"/>
  <c r="F7" i="68"/>
  <c r="C7" i="68" s="1"/>
  <c r="M15" i="45"/>
  <c r="L15" i="45"/>
  <c r="K15" i="45"/>
  <c r="J15" i="45"/>
  <c r="I15" i="45"/>
  <c r="H15" i="45"/>
  <c r="G15" i="45"/>
  <c r="F15" i="45"/>
  <c r="E15" i="45"/>
  <c r="D15" i="45"/>
  <c r="C15" i="45"/>
  <c r="B15" i="45"/>
  <c r="AH7" i="71"/>
  <c r="AG7" i="71"/>
  <c r="AE7" i="71"/>
  <c r="AF7" i="71" s="1"/>
  <c r="AD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s="1"/>
  <c r="AD10" i="71"/>
  <c r="Q11" i="71"/>
  <c r="P11" i="71"/>
  <c r="O11" i="71"/>
  <c r="M19" i="43"/>
  <c r="D13" i="71"/>
  <c r="AH11" i="71"/>
  <c r="AG11" i="71"/>
  <c r="AE11" i="71"/>
  <c r="AF11" i="71" s="1"/>
  <c r="AD11" i="71"/>
  <c r="AD12" i="71"/>
  <c r="AG12" i="71"/>
  <c r="AH12" i="71"/>
  <c r="AE12" i="71"/>
  <c r="AF12" i="71" s="1"/>
  <c r="N12" i="71"/>
  <c r="Q12" i="71"/>
  <c r="P12" i="71"/>
  <c r="O12" i="71"/>
  <c r="Q13" i="71"/>
  <c r="P13" i="71"/>
  <c r="E12" i="71"/>
  <c r="E11" i="71" s="1"/>
  <c r="E10" i="71" s="1"/>
  <c r="O13" i="71"/>
  <c r="N13" i="71"/>
  <c r="V12" i="71"/>
  <c r="A2" i="53"/>
  <c r="B19" i="72" s="1"/>
  <c r="K59" i="67"/>
  <c r="P61" i="67"/>
  <c r="K59" i="15"/>
  <c r="P74" i="15" s="1"/>
  <c r="P61" i="15"/>
  <c r="P74" i="67"/>
  <c r="D116" i="39"/>
  <c r="E116" i="39"/>
  <c r="F116" i="39"/>
  <c r="G116" i="39"/>
  <c r="H116" i="39"/>
  <c r="I116" i="39"/>
  <c r="J116" i="39"/>
  <c r="K116" i="39"/>
  <c r="L116" i="39"/>
  <c r="M116" i="39"/>
  <c r="C116" i="39"/>
  <c r="A21" i="62"/>
  <c r="B67" i="72" s="1"/>
  <c r="A20" i="62"/>
  <c r="A22" i="51"/>
  <c r="A21" i="51"/>
  <c r="B16" i="72" s="1"/>
  <c r="A20" i="51"/>
  <c r="B15" i="72" s="1"/>
  <c r="A15" i="62"/>
  <c r="A14" i="62"/>
  <c r="B60" i="72" s="1"/>
  <c r="A13" i="62"/>
  <c r="B59" i="72" s="1"/>
  <c r="A19" i="62"/>
  <c r="B65" i="72" s="1"/>
  <c r="A12" i="62"/>
  <c r="B58" i="72" s="1"/>
  <c r="A120" i="9"/>
  <c r="H2" i="52"/>
  <c r="A1" i="52"/>
  <c r="A3" i="53"/>
  <c r="Q14" i="71"/>
  <c r="P14" i="71"/>
  <c r="O14" i="71"/>
  <c r="N14"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s="1"/>
  <c r="A10" i="52" s="1"/>
  <c r="B55" i="72" s="1"/>
  <c r="B44" i="72"/>
  <c r="B42" i="72"/>
  <c r="B69" i="72"/>
  <c r="B68" i="72"/>
  <c r="B63" i="72"/>
  <c r="B62" i="72"/>
  <c r="B66" i="72"/>
  <c r="B10" i="72"/>
  <c r="C53" i="10"/>
  <c r="B51" i="10"/>
  <c r="A18" i="51"/>
  <c r="B13" i="72" s="1"/>
  <c r="C8" i="68"/>
  <c r="B49" i="48"/>
  <c r="B5" i="72"/>
  <c r="I19" i="43"/>
  <c r="D77" i="71"/>
  <c r="F76" i="71"/>
  <c r="E76" i="71"/>
  <c r="E75" i="71" s="1"/>
  <c r="E74" i="71" s="1"/>
  <c r="C76" i="71"/>
  <c r="D76" i="71"/>
  <c r="B76" i="71"/>
  <c r="F75" i="71"/>
  <c r="F74" i="71" s="1"/>
  <c r="B75" i="71"/>
  <c r="B74" i="71" s="1"/>
  <c r="D73" i="71"/>
  <c r="F72" i="71"/>
  <c r="E72" i="71"/>
  <c r="E71" i="71" s="1"/>
  <c r="E70" i="71"/>
  <c r="C72" i="71"/>
  <c r="D72" i="71"/>
  <c r="B72" i="71"/>
  <c r="F71" i="71"/>
  <c r="F70" i="71" s="1"/>
  <c r="B71" i="71"/>
  <c r="B70" i="71" s="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E56" i="71"/>
  <c r="P56" i="71" s="1"/>
  <c r="C56" i="71"/>
  <c r="B56" i="71"/>
  <c r="S56" i="71"/>
  <c r="B55" i="71"/>
  <c r="B54" i="71" s="1"/>
  <c r="N53" i="71" s="1"/>
  <c r="D53" i="71"/>
  <c r="Q52" i="71"/>
  <c r="P52" i="71"/>
  <c r="O52" i="71"/>
  <c r="N52" i="71"/>
  <c r="Q51" i="71"/>
  <c r="P51" i="71"/>
  <c r="O51" i="71"/>
  <c r="N51" i="71"/>
  <c r="Q50" i="71"/>
  <c r="P50" i="71"/>
  <c r="O50" i="71"/>
  <c r="N50" i="71"/>
  <c r="Q49" i="71"/>
  <c r="F50" i="71" s="1"/>
  <c r="F51" i="71" s="1"/>
  <c r="F52" i="71" s="1"/>
  <c r="V52" i="71"/>
  <c r="P49" i="71"/>
  <c r="E50" i="71"/>
  <c r="E51" i="71" s="1"/>
  <c r="O49" i="71"/>
  <c r="C50" i="71"/>
  <c r="D50" i="71" s="1"/>
  <c r="N49" i="71"/>
  <c r="B50" i="71"/>
  <c r="B51" i="71" s="1"/>
  <c r="B52" i="71" s="1"/>
  <c r="S52" i="71" s="1"/>
  <c r="D49" i="71"/>
  <c r="Q48" i="71"/>
  <c r="P48" i="71"/>
  <c r="O48" i="71"/>
  <c r="N48" i="71"/>
  <c r="Q47" i="71"/>
  <c r="P47" i="71"/>
  <c r="O47" i="71"/>
  <c r="N47" i="71"/>
  <c r="Q46" i="71"/>
  <c r="P46" i="71"/>
  <c r="O46" i="71"/>
  <c r="N46" i="71"/>
  <c r="Q45" i="71"/>
  <c r="F46" i="71"/>
  <c r="F47" i="71" s="1"/>
  <c r="F48" i="71" s="1"/>
  <c r="V48" i="71" s="1"/>
  <c r="P45" i="71"/>
  <c r="E46" i="71" s="1"/>
  <c r="O45" i="71"/>
  <c r="C46" i="71" s="1"/>
  <c r="D46" i="71" s="1"/>
  <c r="N45" i="71"/>
  <c r="B46" i="71" s="1"/>
  <c r="B47" i="71" s="1"/>
  <c r="B48" i="71" s="1"/>
  <c r="S48" i="71" s="1"/>
  <c r="D45" i="71"/>
  <c r="Q44" i="71"/>
  <c r="P44" i="71"/>
  <c r="O44" i="71"/>
  <c r="N44" i="71"/>
  <c r="Q43" i="71"/>
  <c r="P43" i="71"/>
  <c r="O43" i="71"/>
  <c r="N43" i="71"/>
  <c r="Q42" i="71"/>
  <c r="P42" i="71"/>
  <c r="O42" i="71"/>
  <c r="N42" i="71"/>
  <c r="C42" i="71"/>
  <c r="D42" i="71" s="1"/>
  <c r="Q41" i="71"/>
  <c r="F42" i="71"/>
  <c r="F43" i="71" s="1"/>
  <c r="F44" i="71" s="1"/>
  <c r="V44" i="71" s="1"/>
  <c r="P41" i="71"/>
  <c r="E42" i="71" s="1"/>
  <c r="E43" i="71" s="1"/>
  <c r="O41" i="71"/>
  <c r="N41" i="71"/>
  <c r="B42" i="71"/>
  <c r="B43" i="71" s="1"/>
  <c r="B44" i="71"/>
  <c r="S44" i="71" s="1"/>
  <c r="D41" i="71"/>
  <c r="Q40" i="71"/>
  <c r="P40" i="71"/>
  <c r="O40" i="71"/>
  <c r="N40" i="71"/>
  <c r="Q39" i="71"/>
  <c r="P39" i="71"/>
  <c r="O39" i="71"/>
  <c r="N39" i="71"/>
  <c r="Q38" i="71"/>
  <c r="P38" i="71"/>
  <c r="O38" i="71"/>
  <c r="N38" i="71"/>
  <c r="Q37" i="71"/>
  <c r="F38" i="71"/>
  <c r="F39" i="71" s="1"/>
  <c r="P37" i="71"/>
  <c r="E38" i="71"/>
  <c r="E39" i="71" s="1"/>
  <c r="E40" i="71"/>
  <c r="U40" i="71" s="1"/>
  <c r="O37" i="71"/>
  <c r="C38" i="71" s="1"/>
  <c r="D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c r="U32" i="71" s="1"/>
  <c r="O29" i="71"/>
  <c r="C30" i="71" s="1"/>
  <c r="C31" i="71" s="1"/>
  <c r="D31" i="71" s="1"/>
  <c r="N29" i="71"/>
  <c r="B30" i="71" s="1"/>
  <c r="B31" i="71" s="1"/>
  <c r="B32" i="71" s="1"/>
  <c r="S32" i="71" s="1"/>
  <c r="D29" i="71"/>
  <c r="Q28" i="71"/>
  <c r="P28" i="71"/>
  <c r="O28" i="71"/>
  <c r="N28" i="71"/>
  <c r="AB27" i="71"/>
  <c r="Q27" i="71"/>
  <c r="P27" i="71"/>
  <c r="O27" i="71"/>
  <c r="Y27" i="71" s="1"/>
  <c r="Z27" i="71"/>
  <c r="N27" i="71"/>
  <c r="X27" i="71"/>
  <c r="Q26" i="71"/>
  <c r="AB26" i="71"/>
  <c r="P26" i="71"/>
  <c r="O26" i="71"/>
  <c r="Y26" i="71" s="1"/>
  <c r="Z26" i="71" s="1"/>
  <c r="N26" i="71"/>
  <c r="Q25" i="71"/>
  <c r="F26" i="71" s="1"/>
  <c r="F27" i="71" s="1"/>
  <c r="F28" i="71" s="1"/>
  <c r="V28" i="71" s="1"/>
  <c r="P25" i="71"/>
  <c r="O25" i="71"/>
  <c r="C26" i="71" s="1"/>
  <c r="N25" i="71"/>
  <c r="D25" i="71"/>
  <c r="Q24" i="71"/>
  <c r="AB24" i="71"/>
  <c r="P24" i="71"/>
  <c r="O24" i="71"/>
  <c r="N24" i="71"/>
  <c r="Q23" i="71"/>
  <c r="AB23" i="71" s="1"/>
  <c r="P23" i="71"/>
  <c r="O23" i="71"/>
  <c r="N23" i="71"/>
  <c r="Q22" i="71"/>
  <c r="AB22" i="71"/>
  <c r="P22" i="71"/>
  <c r="O22" i="71"/>
  <c r="Y22" i="71" s="1"/>
  <c r="Z22" i="71" s="1"/>
  <c r="N22" i="71"/>
  <c r="Q21" i="71"/>
  <c r="F22" i="71" s="1"/>
  <c r="F23" i="71" s="1"/>
  <c r="F24" i="71" s="1"/>
  <c r="V24" i="71" s="1"/>
  <c r="P21" i="71"/>
  <c r="O21" i="71"/>
  <c r="N21" i="71"/>
  <c r="D21" i="71"/>
  <c r="Q20" i="71"/>
  <c r="P20" i="71"/>
  <c r="O20" i="71"/>
  <c r="N20" i="71"/>
  <c r="Q19" i="71"/>
  <c r="AB19" i="71" s="1"/>
  <c r="P19" i="71"/>
  <c r="O19" i="71"/>
  <c r="N19" i="71"/>
  <c r="X17" i="71" s="1"/>
  <c r="Q18" i="71"/>
  <c r="AB18" i="71"/>
  <c r="P18" i="71"/>
  <c r="O18" i="71"/>
  <c r="Y18" i="71" s="1"/>
  <c r="Z18" i="71" s="1"/>
  <c r="N18" i="71"/>
  <c r="Q17" i="71"/>
  <c r="P17" i="71"/>
  <c r="O17" i="71"/>
  <c r="N17" i="71"/>
  <c r="D17" i="71"/>
  <c r="O16" i="71"/>
  <c r="N16" i="71"/>
  <c r="B18" i="71"/>
  <c r="B19" i="71"/>
  <c r="E18" i="71"/>
  <c r="E19" i="71" s="1"/>
  <c r="E20" i="71"/>
  <c r="U20" i="71" s="1"/>
  <c r="AA17" i="71"/>
  <c r="B22" i="71"/>
  <c r="B23" i="71"/>
  <c r="B24" i="71" s="1"/>
  <c r="S24" i="71"/>
  <c r="B26" i="71"/>
  <c r="B27" i="71" s="1"/>
  <c r="B28" i="71"/>
  <c r="S28" i="71" s="1"/>
  <c r="X25" i="71"/>
  <c r="E26" i="71"/>
  <c r="E27" i="71"/>
  <c r="E28" i="71" s="1"/>
  <c r="U28" i="71"/>
  <c r="N56" i="71"/>
  <c r="E22" i="71"/>
  <c r="E23" i="71"/>
  <c r="E24" i="71" s="1"/>
  <c r="U24" i="71"/>
  <c r="C18" i="71"/>
  <c r="D18" i="71" s="1"/>
  <c r="X19" i="71"/>
  <c r="X20" i="71"/>
  <c r="C22" i="71"/>
  <c r="C23" i="71" s="1"/>
  <c r="D23" i="71" s="1"/>
  <c r="Y21" i="71"/>
  <c r="Z21" i="71" s="1"/>
  <c r="AB21" i="71"/>
  <c r="AA22" i="71"/>
  <c r="AA23" i="71"/>
  <c r="X24" i="71"/>
  <c r="AA24" i="71"/>
  <c r="Y25" i="71"/>
  <c r="Z25" i="71" s="1"/>
  <c r="AB25" i="71"/>
  <c r="X26" i="71"/>
  <c r="AA26" i="71"/>
  <c r="F40" i="71"/>
  <c r="V40" i="71" s="1"/>
  <c r="C16" i="71"/>
  <c r="C15" i="71" s="1"/>
  <c r="X13" i="71"/>
  <c r="X15" i="71"/>
  <c r="C19" i="71"/>
  <c r="D19" i="71" s="1"/>
  <c r="D22" i="71"/>
  <c r="D26" i="71"/>
  <c r="D30" i="71"/>
  <c r="C39" i="71"/>
  <c r="D39" i="71" s="1"/>
  <c r="P16" i="71"/>
  <c r="E44" i="71"/>
  <c r="U44" i="71" s="1"/>
  <c r="E47" i="71"/>
  <c r="E48" i="71" s="1"/>
  <c r="U48" i="71"/>
  <c r="E52" i="71"/>
  <c r="U52" i="71" s="1"/>
  <c r="U56" i="71"/>
  <c r="E55" i="71"/>
  <c r="E54" i="71" s="1"/>
  <c r="P54" i="71" s="1"/>
  <c r="Q16" i="71"/>
  <c r="C43" i="71"/>
  <c r="D43" i="71" s="1"/>
  <c r="C47" i="71"/>
  <c r="D47" i="71" s="1"/>
  <c r="C51" i="71"/>
  <c r="C52" i="71" s="1"/>
  <c r="T52" i="71" s="1"/>
  <c r="N55" i="71"/>
  <c r="O56" i="71"/>
  <c r="C55" i="71"/>
  <c r="O55" i="71" s="1"/>
  <c r="C59" i="71"/>
  <c r="D59" i="71" s="1"/>
  <c r="E59" i="71"/>
  <c r="E58" i="71"/>
  <c r="D60" i="71"/>
  <c r="C63" i="71"/>
  <c r="C62" i="71" s="1"/>
  <c r="E63" i="71"/>
  <c r="E62" i="71"/>
  <c r="C67" i="71"/>
  <c r="C66" i="71" s="1"/>
  <c r="D66" i="71" s="1"/>
  <c r="E67" i="71"/>
  <c r="E66" i="71"/>
  <c r="D68" i="71"/>
  <c r="C71" i="71"/>
  <c r="D71" i="71" s="1"/>
  <c r="C75" i="71"/>
  <c r="T16" i="71"/>
  <c r="F16" i="71"/>
  <c r="F15" i="71"/>
  <c r="F14" i="71" s="1"/>
  <c r="AB13" i="71"/>
  <c r="AB15" i="71"/>
  <c r="E16" i="71"/>
  <c r="AA13" i="71"/>
  <c r="AA15" i="71"/>
  <c r="D16" i="71"/>
  <c r="U16" i="71" s="1"/>
  <c r="D55" i="71"/>
  <c r="C70" i="71"/>
  <c r="D70" i="71" s="1"/>
  <c r="D63" i="71"/>
  <c r="D62" i="71"/>
  <c r="N54" i="71"/>
  <c r="D75" i="71"/>
  <c r="C74" i="71"/>
  <c r="D74" i="71" s="1"/>
  <c r="D67" i="71"/>
  <c r="C58" i="71"/>
  <c r="D58" i="71" s="1"/>
  <c r="C48" i="71"/>
  <c r="T48" i="71" s="1"/>
  <c r="C44" i="71"/>
  <c r="T44" i="71" s="1"/>
  <c r="P55" i="71"/>
  <c r="C40" i="71"/>
  <c r="T40" i="71" s="1"/>
  <c r="C32" i="71"/>
  <c r="T32" i="71" s="1"/>
  <c r="C24" i="71"/>
  <c r="T24" i="71" s="1"/>
  <c r="C20" i="71"/>
  <c r="T20" i="71" s="1"/>
  <c r="C14" i="71"/>
  <c r="D14" i="71" s="1"/>
  <c r="D15" i="71"/>
  <c r="P53" i="71"/>
  <c r="D20" i="71"/>
  <c r="D24" i="71"/>
  <c r="D32" i="71"/>
  <c r="D40" i="71"/>
  <c r="D48" i="71"/>
  <c r="D52"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E6" i="70" s="1"/>
  <c r="Q25" i="40"/>
  <c r="Z25" i="40" s="1"/>
  <c r="D94" i="40"/>
  <c r="E94" i="40" s="1"/>
  <c r="F25" i="40"/>
  <c r="AA25" i="40" s="1"/>
  <c r="Z29" i="39"/>
  <c r="Q29" i="39"/>
  <c r="D103" i="39"/>
  <c r="E103"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18" i="36"/>
  <c r="U18" i="36"/>
  <c r="S21" i="34"/>
  <c r="F94" i="40"/>
  <c r="H25" i="40"/>
  <c r="G94" i="40"/>
  <c r="J25" i="40"/>
  <c r="AC25" i="40" s="1"/>
  <c r="F103" i="39"/>
  <c r="H29" i="39"/>
  <c r="AB29" i="39" s="1"/>
  <c r="G103" i="39"/>
  <c r="J29" i="39"/>
  <c r="AC29" i="39" s="1"/>
  <c r="J18" i="36"/>
  <c r="AC18" i="36" s="1"/>
  <c r="F68" i="35"/>
  <c r="H18" i="35"/>
  <c r="AB18" i="35" s="1"/>
  <c r="G68" i="35"/>
  <c r="J18" i="35"/>
  <c r="F77" i="37"/>
  <c r="G77" i="37" s="1"/>
  <c r="H21" i="37"/>
  <c r="F21" i="37"/>
  <c r="AA21" i="37" s="1"/>
  <c r="F84" i="34"/>
  <c r="H21" i="34"/>
  <c r="AB21" i="34" s="1"/>
  <c r="F83" i="33"/>
  <c r="H21" i="33"/>
  <c r="U21" i="33" s="1"/>
  <c r="F21" i="33"/>
  <c r="E83" i="21"/>
  <c r="F83" i="21" s="1"/>
  <c r="G83" i="21" s="1"/>
  <c r="S21" i="21"/>
  <c r="H1" i="69"/>
  <c r="W25" i="40"/>
  <c r="AB25" i="40"/>
  <c r="U25" i="40"/>
  <c r="U29" i="39"/>
  <c r="W29" i="39"/>
  <c r="W18" i="36"/>
  <c r="AB21" i="37"/>
  <c r="U21" i="37"/>
  <c r="S21" i="37"/>
  <c r="U21" i="34"/>
  <c r="AA21" i="33"/>
  <c r="S21" i="33"/>
  <c r="U18" i="35"/>
  <c r="AC18" i="35"/>
  <c r="W18" i="35"/>
  <c r="J21" i="37"/>
  <c r="AC21" i="37" s="1"/>
  <c r="G84" i="34"/>
  <c r="J21" i="34"/>
  <c r="AC21" i="34" s="1"/>
  <c r="G83" i="33"/>
  <c r="J21" i="33"/>
  <c r="AC21" i="33" s="1"/>
  <c r="H21" i="21"/>
  <c r="AB21" i="21" s="1"/>
  <c r="F38" i="69"/>
  <c r="E37" i="69"/>
  <c r="F36" i="69"/>
  <c r="F35" i="69"/>
  <c r="F21" i="69"/>
  <c r="C21" i="69" s="1"/>
  <c r="F20" i="69"/>
  <c r="E10" i="69"/>
  <c r="E9" i="69"/>
  <c r="C7" i="69"/>
  <c r="W21" i="37"/>
  <c r="W21" i="34"/>
  <c r="W21" i="33"/>
  <c r="U21" i="21"/>
  <c r="J21" i="21"/>
  <c r="W21" i="21" s="1"/>
  <c r="F38" i="68"/>
  <c r="E37" i="68"/>
  <c r="F36" i="68"/>
  <c r="F35" i="68"/>
  <c r="F21" i="68"/>
  <c r="F20" i="68"/>
  <c r="E10" i="68"/>
  <c r="E9" i="68"/>
  <c r="AC21" i="21"/>
  <c r="Q72" i="67"/>
  <c r="Q59" i="67"/>
  <c r="Q58" i="67"/>
  <c r="Q51" i="67"/>
  <c r="J50" i="67"/>
  <c r="M47" i="67"/>
  <c r="D46" i="67"/>
  <c r="F33" i="67"/>
  <c r="F61" i="67"/>
  <c r="F23" i="67"/>
  <c r="D24" i="67" s="1"/>
  <c r="F21" i="67"/>
  <c r="F20" i="67"/>
  <c r="M19" i="67"/>
  <c r="F18" i="67"/>
  <c r="F17" i="67"/>
  <c r="F15" i="67"/>
  <c r="D22" i="67"/>
  <c r="S2" i="4"/>
  <c r="C51" i="10" s="1"/>
  <c r="A13" i="51" s="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G6" i="1" s="1"/>
  <c r="D9" i="1"/>
  <c r="D10" i="1"/>
  <c r="G10" i="1" s="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13" i="53"/>
  <c r="B29" i="72" s="1"/>
  <c r="R35" i="4"/>
  <c r="Q35" i="4"/>
  <c r="P35" i="4"/>
  <c r="O35" i="4"/>
  <c r="N35" i="4"/>
  <c r="M35" i="4"/>
  <c r="L35" i="4"/>
  <c r="K34" i="4"/>
  <c r="T34" i="4"/>
  <c r="G11" i="1"/>
  <c r="I15" i="4"/>
  <c r="H15" i="4"/>
  <c r="G15" i="4"/>
  <c r="E15" i="4"/>
  <c r="D15" i="4"/>
  <c r="F7" i="1"/>
  <c r="G7" i="1" s="1"/>
  <c r="L21" i="4"/>
  <c r="F19" i="4"/>
  <c r="F2" i="52"/>
  <c r="B50" i="72" s="1"/>
  <c r="D2" i="52"/>
  <c r="B46" i="72" s="1"/>
  <c r="B8" i="53"/>
  <c r="B23" i="72" s="1"/>
  <c r="L4" i="9"/>
  <c r="B17"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s="1"/>
  <c r="O53" i="9" s="1"/>
  <c r="D89" i="9"/>
  <c r="C89" i="9" s="1"/>
  <c r="C87" i="9" s="1"/>
  <c r="J55" i="9"/>
  <c r="B31" i="1"/>
  <c r="E19" i="69"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W8" i="40"/>
  <c r="AC40" i="40"/>
  <c r="AC9" i="40"/>
  <c r="U38" i="40"/>
  <c r="S40" i="40"/>
  <c r="W31"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AB46"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W43" i="39"/>
  <c r="AB45" i="39"/>
  <c r="U44" i="39"/>
  <c r="G101" i="39"/>
  <c r="H37" i="39"/>
  <c r="AB37" i="39" s="1"/>
  <c r="AC37" i="39"/>
  <c r="H25" i="39"/>
  <c r="AB25" i="39" s="1"/>
  <c r="J25" i="39"/>
  <c r="F25" i="39"/>
  <c r="AA25" i="39"/>
  <c r="F15" i="39"/>
  <c r="AA15" i="39"/>
  <c r="H15" i="39"/>
  <c r="U15" i="39" s="1"/>
  <c r="J15" i="39"/>
  <c r="W15" i="39" s="1"/>
  <c r="H41" i="39"/>
  <c r="W27" i="39"/>
  <c r="AB34" i="39"/>
  <c r="U40" i="39"/>
  <c r="S42" i="39"/>
  <c r="W14" i="39"/>
  <c r="AA41" i="39"/>
  <c r="W9" i="39"/>
  <c r="W8" i="39"/>
  <c r="J19" i="40"/>
  <c r="AC19" i="40"/>
  <c r="J50" i="40"/>
  <c r="B54" i="72"/>
  <c r="H103" i="9"/>
  <c r="D8" i="53"/>
  <c r="B16" i="53"/>
  <c r="B33" i="72" s="1"/>
  <c r="C7" i="37"/>
  <c r="C7" i="34"/>
  <c r="C7" i="36"/>
  <c r="W35" i="40"/>
  <c r="A4" i="52"/>
  <c r="B41" i="72" s="1"/>
  <c r="J11" i="39"/>
  <c r="W11" i="39" s="1"/>
  <c r="F11" i="39"/>
  <c r="AA11" i="39" s="1"/>
  <c r="S11" i="39"/>
  <c r="G4" i="4"/>
  <c r="I4" i="4"/>
  <c r="K5" i="4"/>
  <c r="B47" i="48" s="1"/>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R5" i="3"/>
  <c r="G28" i="6"/>
  <c r="AZ384" i="3"/>
  <c r="AZ388" i="3"/>
  <c r="AZ392" i="3"/>
  <c r="AZ396" i="3"/>
  <c r="AZ394" i="3"/>
  <c r="AZ499"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9"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K6" i="1"/>
  <c r="M6" i="1" s="1"/>
  <c r="O6" i="1" s="1"/>
  <c r="P6" i="1" s="1"/>
  <c r="G29" i="6"/>
  <c r="AC26" i="33"/>
  <c r="W26" i="33"/>
  <c r="W27" i="34"/>
  <c r="AC27" i="34"/>
  <c r="AB34" i="36"/>
  <c r="U34" i="36"/>
  <c r="AB33" i="36"/>
  <c r="U33" i="36"/>
  <c r="AC12" i="39"/>
  <c r="W12" i="39"/>
  <c r="AZ401" i="3"/>
  <c r="AZ412" i="3"/>
  <c r="AZ417" i="3"/>
  <c r="AZ428" i="3"/>
  <c r="AZ433" i="3"/>
  <c r="AZ465" i="3"/>
  <c r="AZ586" i="3"/>
  <c r="G101" i="4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c r="R9" i="1"/>
  <c r="J51" i="67"/>
  <c r="C42" i="1"/>
  <c r="H100" i="43"/>
  <c r="C30" i="66"/>
  <c r="E26" i="66" s="1"/>
  <c r="AC34" i="33"/>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s="1"/>
  <c r="M20" i="67"/>
  <c r="F34" i="15"/>
  <c r="F62" i="15" s="1"/>
  <c r="BL17" i="3"/>
  <c r="AZ17" i="3" s="1"/>
  <c r="BL13" i="3"/>
  <c r="G30" i="6"/>
  <c r="G31" i="6" s="1"/>
  <c r="J56" i="9"/>
  <c r="J57" i="9" s="1"/>
  <c r="J59" i="9" s="1"/>
  <c r="A24" i="51"/>
  <c r="B18" i="72" s="1"/>
  <c r="U29" i="34"/>
  <c r="E5" i="6"/>
  <c r="D9" i="11" s="1"/>
  <c r="C9" i="11" s="1"/>
  <c r="H22" i="43"/>
  <c r="E32" i="6"/>
  <c r="L19" i="6"/>
  <c r="G1" i="68"/>
  <c r="K1" i="12"/>
  <c r="E28" i="6"/>
  <c r="AR12" i="1"/>
  <c r="AQ12" i="1"/>
  <c r="T12" i="1"/>
  <c r="AR10" i="1"/>
  <c r="T10" i="1"/>
  <c r="E19" i="68"/>
  <c r="E1" i="73"/>
  <c r="G41" i="69"/>
  <c r="G22" i="69"/>
  <c r="G41" i="68"/>
  <c r="G22" i="68"/>
  <c r="G27" i="12"/>
  <c r="G26" i="12"/>
  <c r="G41" i="11"/>
  <c r="G22" i="11"/>
  <c r="G25" i="12"/>
  <c r="C100" i="43"/>
  <c r="E11" i="43"/>
  <c r="E10" i="43"/>
  <c r="E9" i="43"/>
  <c r="E8" i="43"/>
  <c r="C7" i="43" s="1"/>
  <c r="E81" i="43"/>
  <c r="B79" i="43" s="1"/>
  <c r="AI11" i="43"/>
  <c r="AI13" i="43" s="1"/>
  <c r="E48" i="43"/>
  <c r="B46" i="43"/>
  <c r="E70" i="43"/>
  <c r="B68" i="43"/>
  <c r="G109" i="43"/>
  <c r="F100" i="43"/>
  <c r="H17" i="43"/>
  <c r="D9" i="53"/>
  <c r="B25" i="72" s="1"/>
  <c r="B24" i="72"/>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D58" i="33" s="1"/>
  <c r="C7" i="21"/>
  <c r="C58" i="21" s="1"/>
  <c r="C7" i="40"/>
  <c r="C63" i="40" s="1"/>
  <c r="M47" i="9"/>
  <c r="G19" i="43"/>
  <c r="O19" i="43"/>
  <c r="C19" i="43" s="1"/>
  <c r="T35" i="4"/>
  <c r="A19" i="51"/>
  <c r="B14" i="72" s="1"/>
  <c r="C46" i="36"/>
  <c r="D46" i="36" s="1"/>
  <c r="C59" i="34"/>
  <c r="D59" i="34" s="1"/>
  <c r="E59" i="34" s="1"/>
  <c r="C52" i="37"/>
  <c r="D52" i="37" s="1"/>
  <c r="E52" i="37" s="1"/>
  <c r="C48" i="35"/>
  <c r="D48" i="35" s="1"/>
  <c r="E48" i="35"/>
  <c r="H66" i="43"/>
  <c r="H65" i="43"/>
  <c r="H64" i="43"/>
  <c r="H63" i="43"/>
  <c r="H55" i="43"/>
  <c r="H56" i="43"/>
  <c r="H72" i="43"/>
  <c r="L20" i="6"/>
  <c r="B6" i="1"/>
  <c r="E6" i="1"/>
  <c r="S8" i="1"/>
  <c r="AQ8" i="1" s="1"/>
  <c r="K11" i="1"/>
  <c r="M11" i="1" s="1"/>
  <c r="AP6" i="1"/>
  <c r="B9" i="1"/>
  <c r="E9" i="1"/>
  <c r="K7" i="1"/>
  <c r="C34" i="69" s="1"/>
  <c r="G1" i="15"/>
  <c r="G1" i="69"/>
  <c r="G1" i="67"/>
  <c r="W23" i="40"/>
  <c r="U32" i="40"/>
  <c r="AB31" i="40"/>
  <c r="S37" i="40"/>
  <c r="AB28" i="40"/>
  <c r="W28"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c r="M101" i="21" s="1"/>
  <c r="F33" i="2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C4" i="4"/>
  <c r="K4" i="4" s="1"/>
  <c r="B46" i="48" s="1"/>
  <c r="B4" i="72" s="1"/>
  <c r="AQ13" i="1"/>
  <c r="T11" i="1"/>
  <c r="D9" i="69"/>
  <c r="C9" i="69" s="1"/>
  <c r="D19" i="12"/>
  <c r="C19" i="12" s="1"/>
  <c r="AQ9" i="1"/>
  <c r="AR11" i="1"/>
  <c r="T9" i="1"/>
  <c r="T13" i="1"/>
  <c r="E261" i="3"/>
  <c r="E183" i="3"/>
  <c r="E503" i="3"/>
  <c r="D9" i="68"/>
  <c r="C9" i="68" s="1"/>
  <c r="S7" i="1"/>
  <c r="AQ7" i="1" s="1"/>
  <c r="E7" i="70"/>
  <c r="AA39" i="40"/>
  <c r="S39" i="40"/>
  <c r="S12" i="33"/>
  <c r="AA12" i="33"/>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s="1"/>
  <c r="H23" i="21"/>
  <c r="S13" i="21"/>
  <c r="D6" i="52"/>
  <c r="D121" i="9"/>
  <c r="D7" i="52"/>
  <c r="K120" i="9"/>
  <c r="E347" i="3"/>
  <c r="E399" i="3"/>
  <c r="E124" i="3"/>
  <c r="K14" i="1"/>
  <c r="M14" i="1" s="1"/>
  <c r="BL5" i="3"/>
  <c r="J61" i="9"/>
  <c r="E533" i="3"/>
  <c r="E561" i="3"/>
  <c r="E439" i="3"/>
  <c r="E231" i="3"/>
  <c r="E185" i="3"/>
  <c r="E161" i="3"/>
  <c r="E207" i="3"/>
  <c r="E271" i="3"/>
  <c r="E145" i="3"/>
  <c r="E107"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74" i="3"/>
  <c r="E93" i="3"/>
  <c r="E32" i="3"/>
  <c r="E75" i="3"/>
  <c r="E409" i="3"/>
  <c r="E473" i="3"/>
  <c r="E15" i="3"/>
  <c r="E455" i="3"/>
  <c r="E79" i="3"/>
  <c r="E38" i="3"/>
  <c r="E100" i="3"/>
  <c r="E170" i="3"/>
  <c r="E137" i="3"/>
  <c r="E194" i="3"/>
  <c r="E234" i="3"/>
  <c r="E219" i="3"/>
  <c r="E299" i="3"/>
  <c r="E339" i="3"/>
  <c r="E325" i="3"/>
  <c r="E392" i="3"/>
  <c r="AQ6" i="3"/>
  <c r="E52"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T8" i="1"/>
  <c r="R22" i="31"/>
  <c r="B21" i="31" s="1"/>
  <c r="B5" i="62"/>
  <c r="B73" i="72" s="1"/>
  <c r="L27" i="6"/>
  <c r="AP7" i="1"/>
  <c r="M7" i="1"/>
  <c r="O7" i="1" s="1"/>
  <c r="P7" i="1" s="1"/>
  <c r="AB45" i="21"/>
  <c r="AC33" i="21"/>
  <c r="W33" i="21"/>
  <c r="S33" i="21"/>
  <c r="AA33" i="21"/>
  <c r="W32" i="21"/>
  <c r="AC32" i="21"/>
  <c r="AB9" i="21"/>
  <c r="U9" i="21"/>
  <c r="AA32" i="21"/>
  <c r="W9" i="21"/>
  <c r="AB32" i="21"/>
  <c r="AA10" i="21"/>
  <c r="S10" i="21"/>
  <c r="A18" i="62"/>
  <c r="B64" i="72" s="1"/>
  <c r="U32" i="39"/>
  <c r="AB32" i="39"/>
  <c r="AC32" i="39"/>
  <c r="W19" i="37"/>
  <c r="AC19" i="37"/>
  <c r="W23" i="37"/>
  <c r="AB11" i="37"/>
  <c r="U11" i="37"/>
  <c r="H63" i="37"/>
  <c r="I63" i="37" s="1"/>
  <c r="J63" i="37" s="1"/>
  <c r="K63" i="37" s="1"/>
  <c r="L63" i="37" s="1"/>
  <c r="M63" i="37" s="1"/>
  <c r="J11" i="37"/>
  <c r="AC11" i="37" s="1"/>
  <c r="AC10" i="37"/>
  <c r="U11" i="34"/>
  <c r="AB11" i="34"/>
  <c r="W10" i="34"/>
  <c r="J11" i="34"/>
  <c r="AC36" i="33"/>
  <c r="W36" i="33"/>
  <c r="U36" i="33"/>
  <c r="AB36" i="33"/>
  <c r="W27" i="33"/>
  <c r="AC27" i="33"/>
  <c r="W25" i="33"/>
  <c r="AC25" i="33"/>
  <c r="AA23" i="33"/>
  <c r="S23" i="33"/>
  <c r="AB19" i="33"/>
  <c r="U19" i="33"/>
  <c r="AA17" i="33"/>
  <c r="S17" i="33"/>
  <c r="U17" i="33"/>
  <c r="AB17" i="33"/>
  <c r="U23" i="21"/>
  <c r="AB23" i="21"/>
  <c r="AC23" i="21"/>
  <c r="W23" i="21"/>
  <c r="W11" i="37"/>
  <c r="W11" i="34"/>
  <c r="AC11" i="34"/>
  <c r="R7" i="1"/>
  <c r="R8" i="1"/>
  <c r="AE7" i="1"/>
  <c r="AE8" i="1"/>
  <c r="AG6" i="1"/>
  <c r="H109" i="9"/>
  <c r="D16" i="53"/>
  <c r="B34" i="72" s="1"/>
  <c r="D59" i="9"/>
  <c r="M55" i="9"/>
  <c r="AD3" i="71"/>
  <c r="B4" i="62"/>
  <c r="B71" i="72" s="1"/>
  <c r="C65" i="40"/>
  <c r="D63" i="40"/>
  <c r="E63"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48" i="35"/>
  <c r="G48" i="35" s="1"/>
  <c r="E46" i="36"/>
  <c r="F46" i="36"/>
  <c r="G46" i="36" s="1"/>
  <c r="D58" i="21"/>
  <c r="AB10" i="71"/>
  <c r="X8" i="71"/>
  <c r="X7" i="71"/>
  <c r="AA8" i="71"/>
  <c r="AA7" i="71"/>
  <c r="X11" i="71"/>
  <c r="Y7" i="71"/>
  <c r="Z7" i="71" s="1"/>
  <c r="AB8" i="71"/>
  <c r="AB7" i="71"/>
  <c r="Y8" i="71"/>
  <c r="Z8" i="71" s="1"/>
  <c r="AB3" i="71"/>
  <c r="X3" i="71"/>
  <c r="E9" i="71"/>
  <c r="E8" i="71"/>
  <c r="E7" i="71" s="1"/>
  <c r="E6" i="71" s="1"/>
  <c r="E5" i="71" s="1"/>
  <c r="AF3" i="71"/>
  <c r="P24" i="43"/>
  <c r="B66" i="40" s="1"/>
  <c r="P21" i="43"/>
  <c r="P22" i="43"/>
  <c r="G20" i="43"/>
  <c r="D65" i="40"/>
  <c r="G17" i="43"/>
  <c r="C16" i="43" s="1"/>
  <c r="E58" i="21"/>
  <c r="F58" i="21" s="1"/>
  <c r="V8" i="71"/>
  <c r="P23" i="43"/>
  <c r="B71" i="39"/>
  <c r="P25" i="43"/>
  <c r="E41" i="43"/>
  <c r="C41" i="43" s="1"/>
  <c r="C20" i="43"/>
  <c r="B10" i="76"/>
  <c r="F20" i="31"/>
  <c r="F5" i="73"/>
  <c r="F7" i="73"/>
  <c r="E9" i="76"/>
  <c r="E2" i="68"/>
  <c r="D2" i="36"/>
  <c r="B13" i="76"/>
  <c r="B7" i="76"/>
  <c r="AO8" i="1"/>
  <c r="F6" i="73"/>
  <c r="D2" i="37"/>
  <c r="B11" i="76"/>
  <c r="AO11" i="1"/>
  <c r="AO10" i="1"/>
  <c r="E2" i="69"/>
  <c r="E13" i="76"/>
  <c r="L48" i="67"/>
  <c r="D2" i="34"/>
  <c r="D2" i="33"/>
  <c r="F40" i="15"/>
  <c r="M27" i="67"/>
  <c r="B8" i="76"/>
  <c r="AO7" i="1"/>
  <c r="D2" i="21"/>
  <c r="E11" i="76"/>
  <c r="F43" i="15"/>
  <c r="F36" i="67"/>
  <c r="AO12" i="1"/>
  <c r="D34" i="9"/>
  <c r="F8" i="15"/>
  <c r="F40" i="67"/>
  <c r="M21" i="67"/>
  <c r="F35" i="67"/>
  <c r="J15" i="15"/>
  <c r="D7" i="73"/>
  <c r="L48" i="15"/>
  <c r="F26" i="67"/>
  <c r="F7" i="67"/>
  <c r="AO13" i="1"/>
  <c r="B9" i="76"/>
  <c r="F13" i="15"/>
  <c r="J15" i="67"/>
  <c r="L47" i="67"/>
  <c r="M22" i="67"/>
  <c r="AO9" i="1"/>
  <c r="F37" i="15"/>
  <c r="D5" i="73"/>
  <c r="E7" i="76"/>
  <c r="M23" i="67"/>
  <c r="F42" i="15"/>
  <c r="D2" i="35"/>
  <c r="F26" i="15"/>
  <c r="F43" i="67"/>
  <c r="M27" i="15"/>
  <c r="M24" i="67"/>
  <c r="F7" i="15"/>
  <c r="M28" i="67"/>
  <c r="M23" i="15"/>
  <c r="F3" i="73"/>
  <c r="M29" i="15"/>
  <c r="M8" i="67"/>
  <c r="M6" i="15"/>
  <c r="F37" i="67"/>
  <c r="F8" i="67"/>
  <c r="E10" i="76"/>
  <c r="E12" i="76"/>
  <c r="E8" i="76"/>
  <c r="F4" i="73"/>
  <c r="B12" i="76"/>
  <c r="D35" i="9"/>
  <c r="W34" i="40" l="1"/>
  <c r="S34" i="40"/>
  <c r="J11" i="40"/>
  <c r="H11" i="40"/>
  <c r="AB11" i="40" s="1"/>
  <c r="U34" i="40"/>
  <c r="AA9" i="40"/>
  <c r="U9" i="40"/>
  <c r="S11" i="40"/>
  <c r="U11" i="40"/>
  <c r="C92" i="9"/>
  <c r="C94" i="9"/>
  <c r="D93" i="9"/>
  <c r="B41" i="1"/>
  <c r="C13" i="12"/>
  <c r="C40" i="11"/>
  <c r="C40" i="69"/>
  <c r="E19" i="11"/>
  <c r="C5" i="11"/>
  <c r="C5" i="68"/>
  <c r="D22" i="15"/>
  <c r="D23" i="67"/>
  <c r="C36" i="69"/>
  <c r="G105" i="43"/>
  <c r="G107" i="43"/>
  <c r="G104" i="43"/>
  <c r="G102" i="43"/>
  <c r="G103" i="43"/>
  <c r="G106" i="43"/>
  <c r="F22" i="43"/>
  <c r="B113" i="43"/>
  <c r="J101" i="43"/>
  <c r="L101" i="43"/>
  <c r="D101" i="43"/>
  <c r="M101" i="43"/>
  <c r="I101" i="43"/>
  <c r="E101" i="43"/>
  <c r="AJ11" i="43"/>
  <c r="AJ13" i="43" s="1"/>
  <c r="AF11" i="43"/>
  <c r="AB11" i="43"/>
  <c r="AB13" i="43" s="1"/>
  <c r="Z7" i="43"/>
  <c r="AG11" i="43"/>
  <c r="AC11" i="43"/>
  <c r="N104" i="46"/>
  <c r="H101" i="43"/>
  <c r="G22" i="43"/>
  <c r="AH11" i="43"/>
  <c r="Z11" i="43"/>
  <c r="AE11" i="43"/>
  <c r="AE13" i="43" s="1"/>
  <c r="Y11" i="43"/>
  <c r="Y13" i="43" s="1"/>
  <c r="J22" i="4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37" i="3"/>
  <c r="E304" i="3"/>
  <c r="E565" i="3"/>
  <c r="E213" i="3"/>
  <c r="E17" i="3"/>
  <c r="E302" i="3"/>
  <c r="E583" i="3"/>
  <c r="X6" i="3"/>
  <c r="E336" i="3"/>
  <c r="E246" i="3"/>
  <c r="E293" i="3"/>
  <c r="E390" i="3"/>
  <c r="S6" i="3"/>
  <c r="E523" i="3"/>
  <c r="E506" i="3"/>
  <c r="E418" i="3"/>
  <c r="E338" i="3"/>
  <c r="E321" i="3"/>
  <c r="E298" i="3"/>
  <c r="E169" i="3"/>
  <c r="E61" i="3"/>
  <c r="E290" i="3"/>
  <c r="E117"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BB5" i="3"/>
  <c r="BA13" i="3"/>
  <c r="O10" i="1"/>
  <c r="P10" i="1" s="1"/>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35" i="3"/>
  <c r="E522" i="3"/>
  <c r="E342" i="3"/>
  <c r="E383" i="3"/>
  <c r="E324" i="3"/>
  <c r="E235" i="3"/>
  <c r="E275" i="3"/>
  <c r="E220" i="3"/>
  <c r="E174" i="3"/>
  <c r="E190" i="3"/>
  <c r="E129" i="3"/>
  <c r="E78" i="3"/>
  <c r="E96" i="3"/>
  <c r="E18" i="3"/>
  <c r="E412" i="3"/>
  <c r="E482" i="3"/>
  <c r="E428" i="3"/>
  <c r="E488" i="3"/>
  <c r="E43" i="3"/>
  <c r="E94" i="3"/>
  <c r="E60"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64" i="3"/>
  <c r="E204" i="3"/>
  <c r="E252" i="3"/>
  <c r="E135" i="3"/>
  <c r="E216" i="3"/>
  <c r="E380" i="3"/>
  <c r="E538" i="3"/>
  <c r="AR6" i="3"/>
  <c r="E270" i="3"/>
  <c r="E280" i="3"/>
  <c r="AA6" i="3"/>
  <c r="E361" i="3"/>
  <c r="E528" i="3"/>
  <c r="AA11" i="43"/>
  <c r="AA13" i="43" s="1"/>
  <c r="AD11" i="43"/>
  <c r="E2" i="70"/>
  <c r="H107" i="43"/>
  <c r="O8" i="1"/>
  <c r="P8" i="1" s="1"/>
  <c r="M16" i="1"/>
  <c r="AR7" i="1"/>
  <c r="H106" i="43"/>
  <c r="H109" i="43"/>
  <c r="H104" i="43"/>
  <c r="H103" i="43"/>
  <c r="C101" i="43"/>
  <c r="E22" i="43"/>
  <c r="N101" i="43"/>
  <c r="F101" i="43"/>
  <c r="K101" i="43"/>
  <c r="A2" i="9"/>
  <c r="A118" i="9"/>
  <c r="G12" i="1"/>
  <c r="G16" i="1" s="1"/>
  <c r="G13" i="1"/>
  <c r="E14" i="49"/>
  <c r="B8" i="49"/>
  <c r="B14" i="49"/>
  <c r="B9" i="49"/>
  <c r="E7" i="49"/>
  <c r="H111" i="9"/>
  <c r="H112" i="9"/>
  <c r="D21" i="53" s="1"/>
  <c r="B39" i="72" s="1"/>
  <c r="H110" i="9"/>
  <c r="D18" i="53" s="1"/>
  <c r="B35" i="72" s="1"/>
  <c r="D68" i="39"/>
  <c r="C70" i="39"/>
  <c r="B22" i="49"/>
  <c r="E4" i="49"/>
  <c r="E6" i="49"/>
  <c r="B13" i="49"/>
  <c r="E10" i="49"/>
  <c r="G58" i="21"/>
  <c r="H58" i="21" s="1"/>
  <c r="I58" i="21" s="1"/>
  <c r="J58" i="21" s="1"/>
  <c r="K58" i="21" s="1"/>
  <c r="L58" i="21" s="1"/>
  <c r="M58" i="21" s="1"/>
  <c r="N58" i="21" s="1"/>
  <c r="O58" i="21" s="1"/>
  <c r="H46" i="36"/>
  <c r="I46" i="36" s="1"/>
  <c r="J46" i="36" s="1"/>
  <c r="K46" i="36" s="1"/>
  <c r="L46" i="36" s="1"/>
  <c r="M46" i="36" s="1"/>
  <c r="N46" i="36" s="1"/>
  <c r="O46" i="36" s="1"/>
  <c r="H48" i="35"/>
  <c r="I48" i="35" s="1"/>
  <c r="J48" i="35" s="1"/>
  <c r="K48" i="35" s="1"/>
  <c r="L48" i="35" s="1"/>
  <c r="M48" i="35" s="1"/>
  <c r="N48" i="35" s="1"/>
  <c r="O48" i="35" s="1"/>
  <c r="F63" i="40"/>
  <c r="E65" i="40"/>
  <c r="F52" i="37"/>
  <c r="G52" i="37" s="1"/>
  <c r="H52" i="37" s="1"/>
  <c r="I52" i="37" s="1"/>
  <c r="J52" i="37" s="1"/>
  <c r="K52" i="37" s="1"/>
  <c r="L52" i="37" s="1"/>
  <c r="M52" i="37" s="1"/>
  <c r="N52" i="37" s="1"/>
  <c r="O52" i="37" s="1"/>
  <c r="E58" i="33"/>
  <c r="F58" i="33" s="1"/>
  <c r="G58" i="33" s="1"/>
  <c r="H58" i="33" s="1"/>
  <c r="I58" i="33" s="1"/>
  <c r="J58" i="33" s="1"/>
  <c r="K58" i="33" s="1"/>
  <c r="L58" i="33" s="1"/>
  <c r="M58" i="33" s="1"/>
  <c r="N58" i="33" s="1"/>
  <c r="O58" i="33" s="1"/>
  <c r="F7" i="33"/>
  <c r="C5" i="43"/>
  <c r="D5" i="43"/>
  <c r="F7" i="21"/>
  <c r="F59" i="34"/>
  <c r="G59" i="34" s="1"/>
  <c r="H59" i="34" s="1"/>
  <c r="I59" i="34" s="1"/>
  <c r="J59" i="34" s="1"/>
  <c r="K59" i="34" s="1"/>
  <c r="L59" i="34" s="1"/>
  <c r="M59" i="34" s="1"/>
  <c r="N59" i="34" s="1"/>
  <c r="O59" i="34" s="1"/>
  <c r="J7" i="36"/>
  <c r="F7" i="34"/>
  <c r="H7" i="36"/>
  <c r="H7" i="37"/>
  <c r="D17" i="53"/>
  <c r="B36" i="72" s="1"/>
  <c r="D124" i="9"/>
  <c r="T7" i="1"/>
  <c r="H16" i="1"/>
  <c r="Q16" i="1"/>
  <c r="O14" i="1"/>
  <c r="P14" i="1" s="1"/>
  <c r="AC17" i="21"/>
  <c r="W17" i="21"/>
  <c r="AB33" i="21"/>
  <c r="U33" i="21"/>
  <c r="O11" i="1"/>
  <c r="P11" i="1" s="1"/>
  <c r="O9" i="1"/>
  <c r="F30" i="6"/>
  <c r="E29"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AB27" i="36"/>
  <c r="AA34" i="33"/>
  <c r="AA39" i="34"/>
  <c r="AC9" i="34"/>
  <c r="W9" i="34"/>
  <c r="AC34" i="35"/>
  <c r="W34" i="35"/>
  <c r="AZ521" i="3"/>
  <c r="S12" i="34"/>
  <c r="AA12" i="34"/>
  <c r="AC30" i="34"/>
  <c r="W11" i="35"/>
  <c r="S11" i="36"/>
  <c r="AB11" i="36"/>
  <c r="AA14" i="33"/>
  <c r="AA44" i="33"/>
  <c r="H9" i="34"/>
  <c r="F34" i="35"/>
  <c r="H34" i="35"/>
  <c r="J36" i="35"/>
  <c r="J39" i="40"/>
  <c r="H39" i="40"/>
  <c r="AZ409"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F38" i="40"/>
  <c r="J38" i="40"/>
  <c r="AZ118" i="3"/>
  <c r="AZ121" i="3"/>
  <c r="AZ134" i="3"/>
  <c r="AZ137" i="3"/>
  <c r="AZ145" i="3"/>
  <c r="AZ161" i="3"/>
  <c r="AZ177" i="3"/>
  <c r="AZ193" i="3"/>
  <c r="AZ34" i="3"/>
  <c r="AZ38" i="3"/>
  <c r="AZ44" i="3"/>
  <c r="AZ48" i="3"/>
  <c r="AZ60" i="3"/>
  <c r="AZ64" i="3"/>
  <c r="AZ78" i="3"/>
  <c r="AZ91" i="3"/>
  <c r="AZ98" i="3"/>
  <c r="AZ104" i="3"/>
  <c r="AZ108" i="3"/>
  <c r="C21" i="68"/>
  <c r="C40" i="68"/>
  <c r="AB21" i="33"/>
  <c r="E15" i="71"/>
  <c r="E14" i="71" s="1"/>
  <c r="V16" i="71"/>
  <c r="X21" i="71"/>
  <c r="X22" i="71"/>
  <c r="X23" i="71"/>
  <c r="AA27" i="71"/>
  <c r="AA25" i="71"/>
  <c r="C35" i="71"/>
  <c r="D35" i="71" s="1"/>
  <c r="D34" i="71"/>
  <c r="T56" i="71"/>
  <c r="D56" i="71"/>
  <c r="V56" i="71"/>
  <c r="F55" i="71"/>
  <c r="Q56" i="71"/>
  <c r="T64" i="71"/>
  <c r="D64" i="71"/>
  <c r="AJ10" i="43"/>
  <c r="S18" i="35"/>
  <c r="S29" i="39"/>
  <c r="C29" i="39"/>
  <c r="B66" i="43"/>
  <c r="D44" i="71"/>
  <c r="D51" i="71"/>
  <c r="C54" i="71"/>
  <c r="AA3" i="71"/>
  <c r="AA14" i="71"/>
  <c r="AA16" i="71"/>
  <c r="X18" i="71"/>
  <c r="B20" i="71"/>
  <c r="S20" i="71" s="1"/>
  <c r="X12" i="71"/>
  <c r="B16" i="71"/>
  <c r="X14" i="71"/>
  <c r="X16" i="71"/>
  <c r="Y17" i="71"/>
  <c r="Z17" i="71" s="1"/>
  <c r="Y3" i="71"/>
  <c r="Z3" i="71" s="1"/>
  <c r="Y13" i="71"/>
  <c r="Z13" i="71" s="1"/>
  <c r="Y14" i="71"/>
  <c r="Z14" i="71" s="1"/>
  <c r="Y15" i="71"/>
  <c r="Z15" i="71" s="1"/>
  <c r="Y16" i="71"/>
  <c r="Z16" i="71" s="1"/>
  <c r="AB17" i="71"/>
  <c r="AB14" i="71"/>
  <c r="AB16" i="71"/>
  <c r="F18" i="71"/>
  <c r="F19" i="71" s="1"/>
  <c r="F20" i="71" s="1"/>
  <c r="V20" i="71" s="1"/>
  <c r="Y19" i="71"/>
  <c r="Z19" i="71" s="1"/>
  <c r="AA18" i="71"/>
  <c r="AA19" i="71"/>
  <c r="Y20" i="71"/>
  <c r="Z20" i="71" s="1"/>
  <c r="AB20" i="71"/>
  <c r="Y23" i="71"/>
  <c r="Z23" i="71" s="1"/>
  <c r="AA21" i="71"/>
  <c r="AA20" i="71"/>
  <c r="Y24" i="71"/>
  <c r="Z24" i="71" s="1"/>
  <c r="C27" i="71"/>
  <c r="Z12" i="43"/>
  <c r="Z10" i="43"/>
  <c r="AD12" i="43"/>
  <c r="AD10" i="43"/>
  <c r="AF12" i="43"/>
  <c r="AF13" i="43" s="1"/>
  <c r="AF10" i="43"/>
  <c r="AH12" i="43"/>
  <c r="AH13" i="43" s="1"/>
  <c r="AH10" i="43"/>
  <c r="AC12" i="43"/>
  <c r="AC13" i="43" s="1"/>
  <c r="AC10" i="43"/>
  <c r="AG12" i="43"/>
  <c r="AG13" i="43" s="1"/>
  <c r="AG10" i="43"/>
  <c r="K56" i="9"/>
  <c r="Y9" i="71"/>
  <c r="Z9" i="71" s="1"/>
  <c r="Y10" i="71"/>
  <c r="Z10" i="71" s="1"/>
  <c r="Y11" i="71"/>
  <c r="Z11" i="71" s="1"/>
  <c r="C12" i="71"/>
  <c r="AB9" i="71"/>
  <c r="AB11" i="71"/>
  <c r="AB12" i="71"/>
  <c r="AA9" i="71"/>
  <c r="X6" i="71"/>
  <c r="AA5" i="71"/>
  <c r="X5" i="71"/>
  <c r="Y12" i="71"/>
  <c r="Z12" i="71" s="1"/>
  <c r="F12" i="71"/>
  <c r="F11" i="71" s="1"/>
  <c r="F10" i="71" s="1"/>
  <c r="F9" i="71" s="1"/>
  <c r="F8" i="71" s="1"/>
  <c r="F7" i="71" s="1"/>
  <c r="F6" i="71" s="1"/>
  <c r="F5" i="71" s="1"/>
  <c r="AA10" i="71"/>
  <c r="AA11" i="71"/>
  <c r="AA12" i="71"/>
  <c r="X10" i="71"/>
  <c r="B12" i="71"/>
  <c r="X9" i="71"/>
  <c r="Y5" i="71"/>
  <c r="Z5" i="71" s="1"/>
  <c r="AB5" i="71"/>
  <c r="AA6" i="71"/>
  <c r="Y6" i="71"/>
  <c r="Z6" i="71" s="1"/>
  <c r="AB6" i="71"/>
  <c r="E9" i="49"/>
  <c r="E13" i="49"/>
  <c r="B11" i="49"/>
  <c r="E21" i="49"/>
  <c r="E8" i="49"/>
  <c r="B10" i="49"/>
  <c r="E11" i="49"/>
  <c r="E22" i="49"/>
  <c r="B4" i="49"/>
  <c r="B6" i="49"/>
  <c r="F71" i="67"/>
  <c r="C27" i="15"/>
  <c r="I1" i="73"/>
  <c r="B39" i="1" s="1"/>
  <c r="B10" i="70"/>
  <c r="F51" i="67"/>
  <c r="B11" i="70"/>
  <c r="F65" i="15"/>
  <c r="F65" i="67"/>
  <c r="B9" i="70"/>
  <c r="M59" i="67"/>
  <c r="L58" i="67"/>
  <c r="N59" i="67"/>
  <c r="L59" i="67"/>
  <c r="B8" i="70"/>
  <c r="F50" i="15"/>
  <c r="M7" i="15"/>
  <c r="B13" i="70"/>
  <c r="M7" i="67"/>
  <c r="F50" i="67"/>
  <c r="C34" i="67"/>
  <c r="F63" i="67"/>
  <c r="C62" i="67" s="1"/>
  <c r="J20" i="67"/>
  <c r="F68" i="67"/>
  <c r="F51" i="15"/>
  <c r="B12" i="70"/>
  <c r="F64" i="67"/>
  <c r="F71" i="15"/>
  <c r="B20" i="31"/>
  <c r="B7" i="70"/>
  <c r="F68" i="15"/>
  <c r="C27" i="67"/>
  <c r="J53" i="15"/>
  <c r="L56" i="15" s="1"/>
  <c r="J57" i="15"/>
  <c r="J55" i="15" s="1"/>
  <c r="J58" i="15" s="1"/>
  <c r="Q50" i="15" s="1"/>
  <c r="I54" i="15"/>
  <c r="J53" i="67"/>
  <c r="J57" i="67"/>
  <c r="J55" i="67" s="1"/>
  <c r="J58" i="67" s="1"/>
  <c r="Q50" i="67" s="1"/>
  <c r="L56" i="67"/>
  <c r="I54" i="67"/>
  <c r="C38" i="69"/>
  <c r="C35" i="69"/>
  <c r="F6" i="15"/>
  <c r="F41" i="67"/>
  <c r="M28" i="15"/>
  <c r="F38" i="67"/>
  <c r="M24" i="15"/>
  <c r="D6" i="73"/>
  <c r="F9" i="67"/>
  <c r="F16" i="67"/>
  <c r="F38" i="15"/>
  <c r="C76" i="67"/>
  <c r="C76" i="15"/>
  <c r="F42" i="67"/>
  <c r="M6" i="67"/>
  <c r="M29" i="67"/>
  <c r="M9" i="67"/>
  <c r="F59" i="15"/>
  <c r="M17" i="67"/>
  <c r="D3" i="73"/>
  <c r="M26" i="67"/>
  <c r="D4" i="73"/>
  <c r="M9" i="15"/>
  <c r="M22" i="15"/>
  <c r="F9" i="15"/>
  <c r="C14" i="15"/>
  <c r="L47" i="15"/>
  <c r="M26" i="15"/>
  <c r="M8" i="15"/>
  <c r="F13" i="67"/>
  <c r="F36" i="15"/>
  <c r="F6" i="67"/>
  <c r="F16" i="15"/>
  <c r="F59" i="67"/>
  <c r="M17" i="15"/>
  <c r="C17" i="15"/>
  <c r="C17" i="67"/>
  <c r="C14" i="67"/>
  <c r="F31" i="15"/>
  <c r="F31" i="67"/>
  <c r="W11" i="40" l="1"/>
  <c r="AC11" i="40"/>
  <c r="F30" i="11"/>
  <c r="F28" i="67"/>
  <c r="C28" i="67" s="1"/>
  <c r="F52" i="9"/>
  <c r="F32" i="67"/>
  <c r="F60" i="67" s="1"/>
  <c r="F30" i="69"/>
  <c r="F32" i="15"/>
  <c r="F60" i="15" s="1"/>
  <c r="M18" i="15"/>
  <c r="D68" i="9"/>
  <c r="F53" i="9"/>
  <c r="F30" i="68"/>
  <c r="F31" i="12"/>
  <c r="M18" i="67"/>
  <c r="F28" i="15"/>
  <c r="C28" i="15" s="1"/>
  <c r="F54" i="9"/>
  <c r="Z13" i="43"/>
  <c r="L16" i="1"/>
  <c r="D22" i="43"/>
  <c r="AC6" i="3"/>
  <c r="E12" i="6"/>
  <c r="E8" i="6"/>
  <c r="E15" i="6"/>
  <c r="E11" i="6"/>
  <c r="E14" i="6"/>
  <c r="E10" i="6"/>
  <c r="AD13" i="43"/>
  <c r="O16" i="1"/>
  <c r="E13" i="6"/>
  <c r="BA5" i="3"/>
  <c r="AZ13" i="3"/>
  <c r="AZ5" i="3" s="1"/>
  <c r="H102" i="43"/>
  <c r="H105" i="43"/>
  <c r="E104" i="43"/>
  <c r="E107" i="43"/>
  <c r="E105" i="43"/>
  <c r="E106" i="43"/>
  <c r="E102" i="43"/>
  <c r="E103" i="43"/>
  <c r="E109" i="43"/>
  <c r="M109" i="43"/>
  <c r="M102" i="43"/>
  <c r="M106" i="43"/>
  <c r="M103" i="43"/>
  <c r="M104" i="43"/>
  <c r="M105" i="43"/>
  <c r="M107" i="43"/>
  <c r="L109" i="43"/>
  <c r="L102" i="43"/>
  <c r="L105" i="43"/>
  <c r="L104" i="43"/>
  <c r="L106" i="43"/>
  <c r="L103" i="43"/>
  <c r="L107"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D118" i="43"/>
  <c r="E118" i="43" s="1"/>
  <c r="F118" i="43" s="1"/>
  <c r="I117" i="43"/>
  <c r="J117" i="43" s="1"/>
  <c r="K117" i="43" s="1"/>
  <c r="L117" i="43" s="1"/>
  <c r="M117" i="43" s="1"/>
  <c r="I118" i="43"/>
  <c r="J118" i="43" s="1"/>
  <c r="K118" i="43" s="1"/>
  <c r="L118" i="43" s="1"/>
  <c r="M118" i="43" s="1"/>
  <c r="I116" i="43"/>
  <c r="J116" i="43" s="1"/>
  <c r="K116" i="43" s="1"/>
  <c r="L116" i="43" s="1"/>
  <c r="M116" i="43" s="1"/>
  <c r="B116" i="43"/>
  <c r="C116" i="43" s="1"/>
  <c r="I102" i="43"/>
  <c r="I106" i="43"/>
  <c r="I103" i="43"/>
  <c r="I104" i="43"/>
  <c r="I105" i="43"/>
  <c r="I109" i="43"/>
  <c r="I107" i="43"/>
  <c r="D103" i="43"/>
  <c r="D104" i="43"/>
  <c r="D107" i="43"/>
  <c r="D109" i="43"/>
  <c r="D106" i="43"/>
  <c r="D105" i="43"/>
  <c r="D102" i="43"/>
  <c r="J104" i="43"/>
  <c r="J103" i="43"/>
  <c r="J106" i="43"/>
  <c r="J107" i="43"/>
  <c r="J105" i="43"/>
  <c r="J102" i="43"/>
  <c r="J109" i="43"/>
  <c r="P9" i="1"/>
  <c r="P16" i="1" s="1"/>
  <c r="C11" i="12" s="1"/>
  <c r="C12" i="12" s="1"/>
  <c r="E58" i="40"/>
  <c r="E63" i="39"/>
  <c r="N16" i="1"/>
  <c r="E16" i="6"/>
  <c r="F107" i="43"/>
  <c r="F106" i="43"/>
  <c r="F105" i="43"/>
  <c r="F109" i="43"/>
  <c r="F104" i="43"/>
  <c r="F102" i="43"/>
  <c r="F103" i="43"/>
  <c r="K107" i="43"/>
  <c r="K104" i="43"/>
  <c r="K105" i="43"/>
  <c r="K109" i="43"/>
  <c r="K103" i="43"/>
  <c r="K102" i="43"/>
  <c r="K106" i="43"/>
  <c r="N103" i="43"/>
  <c r="N106" i="43"/>
  <c r="N104" i="43"/>
  <c r="N109" i="43"/>
  <c r="N102" i="43"/>
  <c r="N105" i="43"/>
  <c r="N107" i="43"/>
  <c r="C104" i="43"/>
  <c r="C105" i="43"/>
  <c r="C106" i="43"/>
  <c r="C107" i="43"/>
  <c r="C103" i="43"/>
  <c r="C102" i="43"/>
  <c r="C109" i="43"/>
  <c r="C49" i="15"/>
  <c r="D126" i="9"/>
  <c r="D19" i="53"/>
  <c r="F7" i="37"/>
  <c r="F7" i="35"/>
  <c r="S7" i="35" s="1"/>
  <c r="J7" i="21"/>
  <c r="H7" i="34"/>
  <c r="U7" i="34" s="1"/>
  <c r="J7" i="34"/>
  <c r="J7" i="35"/>
  <c r="W7" i="35" s="1"/>
  <c r="H7" i="33"/>
  <c r="J7" i="33"/>
  <c r="AC7" i="33" s="1"/>
  <c r="V48" i="33" s="1"/>
  <c r="I48" i="33" s="1"/>
  <c r="J7" i="37"/>
  <c r="H7" i="35"/>
  <c r="U7" i="35" s="1"/>
  <c r="F7" i="36"/>
  <c r="H7" i="21"/>
  <c r="U7" i="21" s="1"/>
  <c r="E68" i="39"/>
  <c r="D70" i="39"/>
  <c r="C6" i="67"/>
  <c r="F64" i="15"/>
  <c r="N59" i="15"/>
  <c r="M59" i="15"/>
  <c r="L59" i="15" s="1"/>
  <c r="Q74" i="15" s="1"/>
  <c r="L58" i="15"/>
  <c r="Q73" i="15" s="1"/>
  <c r="C15" i="15"/>
  <c r="C18" i="15"/>
  <c r="E20" i="43"/>
  <c r="M28" i="43" s="1"/>
  <c r="K1" i="73"/>
  <c r="F70" i="67"/>
  <c r="Q71" i="15"/>
  <c r="Q71" i="67"/>
  <c r="F66" i="15"/>
  <c r="F66" i="67"/>
  <c r="F69" i="67"/>
  <c r="C6" i="15"/>
  <c r="B11" i="71"/>
  <c r="B10" i="71" s="1"/>
  <c r="B9" i="71" s="1"/>
  <c r="B8" i="71" s="1"/>
  <c r="S12" i="71"/>
  <c r="C11" i="71"/>
  <c r="T12" i="71"/>
  <c r="D12" i="71"/>
  <c r="U12" i="71" s="1"/>
  <c r="D54" i="71"/>
  <c r="O53" i="71"/>
  <c r="O54" i="71"/>
  <c r="AC38" i="40"/>
  <c r="W38" i="40"/>
  <c r="AC39" i="40"/>
  <c r="W39" i="40"/>
  <c r="AB34" i="35"/>
  <c r="U34" i="35"/>
  <c r="AB9" i="34"/>
  <c r="U9" i="34"/>
  <c r="S7" i="37"/>
  <c r="AA7" i="37"/>
  <c r="R42" i="37" s="1"/>
  <c r="AA7" i="35"/>
  <c r="R38" i="35" s="1"/>
  <c r="AC7" i="21"/>
  <c r="V48" i="21" s="1"/>
  <c r="I48" i="21" s="1"/>
  <c r="W7" i="21"/>
  <c r="AB7" i="34"/>
  <c r="T49" i="34" s="1"/>
  <c r="G49" i="34" s="1"/>
  <c r="W7" i="36"/>
  <c r="AC7" i="36"/>
  <c r="V36" i="36" s="1"/>
  <c r="I36" i="36" s="1"/>
  <c r="C39" i="43"/>
  <c r="C38" i="43"/>
  <c r="C36" i="43"/>
  <c r="C35" i="43"/>
  <c r="C37" i="43"/>
  <c r="C33" i="43"/>
  <c r="C34" i="43"/>
  <c r="AA7" i="33"/>
  <c r="R48" i="33" s="1"/>
  <c r="S7" i="33"/>
  <c r="F65" i="40"/>
  <c r="G63" i="40"/>
  <c r="AB7" i="21"/>
  <c r="T48" i="21" s="1"/>
  <c r="G48" i="21" s="1"/>
  <c r="J6" i="67"/>
  <c r="D27" i="71"/>
  <c r="C28" i="71"/>
  <c r="S16" i="71"/>
  <c r="B15" i="71"/>
  <c r="B14" i="71" s="1"/>
  <c r="F54" i="71"/>
  <c r="Q55" i="71"/>
  <c r="S38" i="40"/>
  <c r="AA38" i="40"/>
  <c r="U39" i="40"/>
  <c r="AB39" i="40"/>
  <c r="AC36" i="35"/>
  <c r="W36" i="35"/>
  <c r="AA34" i="35"/>
  <c r="S34" i="35"/>
  <c r="E6" i="3"/>
  <c r="E30" i="6"/>
  <c r="K15" i="1"/>
  <c r="K16" i="1" s="1"/>
  <c r="F27" i="68"/>
  <c r="C29" i="68" s="1"/>
  <c r="D27" i="68" s="1"/>
  <c r="F27" i="69"/>
  <c r="F28" i="12"/>
  <c r="C29" i="12" s="1"/>
  <c r="D28" i="12" s="1"/>
  <c r="F27" i="11"/>
  <c r="D10" i="52"/>
  <c r="D125" i="9"/>
  <c r="D11" i="52" s="1"/>
  <c r="H14" i="74"/>
  <c r="B7" i="74" s="1"/>
  <c r="F10" i="39"/>
  <c r="F10" i="40"/>
  <c r="H10" i="40"/>
  <c r="J10" i="40"/>
  <c r="J10" i="39"/>
  <c r="H10" i="39"/>
  <c r="U7" i="37"/>
  <c r="AB7" i="37"/>
  <c r="T42" i="37" s="1"/>
  <c r="G42" i="37" s="1"/>
  <c r="U7" i="36"/>
  <c r="AB7" i="36"/>
  <c r="T36" i="36" s="1"/>
  <c r="G36" i="36" s="1"/>
  <c r="AA7" i="34"/>
  <c r="R49" i="34" s="1"/>
  <c r="S7" i="34"/>
  <c r="AC7" i="34"/>
  <c r="V49" i="34" s="1"/>
  <c r="I49" i="34" s="1"/>
  <c r="W7" i="34"/>
  <c r="AC7" i="35"/>
  <c r="V38" i="35" s="1"/>
  <c r="I38" i="35" s="1"/>
  <c r="AA7" i="21"/>
  <c r="R48" i="21" s="1"/>
  <c r="S7" i="21"/>
  <c r="T14" i="43"/>
  <c r="V14" i="43" s="1"/>
  <c r="T8" i="43"/>
  <c r="V8" i="43" s="1"/>
  <c r="T13" i="43"/>
  <c r="V13" i="43" s="1"/>
  <c r="T16" i="43"/>
  <c r="V16" i="43" s="1"/>
  <c r="T15" i="43"/>
  <c r="V15" i="43" s="1"/>
  <c r="T9" i="43"/>
  <c r="V9" i="43" s="1"/>
  <c r="T12" i="43"/>
  <c r="V12" i="43" s="1"/>
  <c r="T10" i="43"/>
  <c r="V10" i="43" s="1"/>
  <c r="T11" i="43"/>
  <c r="V11" i="43" s="1"/>
  <c r="U7" i="33"/>
  <c r="AB7" i="33"/>
  <c r="T48" i="33" s="1"/>
  <c r="G48" i="33" s="1"/>
  <c r="W7" i="33"/>
  <c r="W7" i="37"/>
  <c r="AC7" i="37"/>
  <c r="V42" i="37" s="1"/>
  <c r="I42" i="37" s="1"/>
  <c r="AB7" i="35"/>
  <c r="T38" i="35" s="1"/>
  <c r="G38" i="35" s="1"/>
  <c r="AA7" i="36"/>
  <c r="R36" i="36" s="1"/>
  <c r="S7" i="36"/>
  <c r="C15" i="67"/>
  <c r="C18" i="67"/>
  <c r="Q61" i="67"/>
  <c r="Q74" i="67"/>
  <c r="Q60" i="67"/>
  <c r="Q73" i="67"/>
  <c r="C49" i="67"/>
  <c r="F11" i="67"/>
  <c r="M11" i="67"/>
  <c r="J10" i="67" s="1"/>
  <c r="M11" i="15"/>
  <c r="F11" i="15"/>
  <c r="Q52" i="67"/>
  <c r="F1" i="67"/>
  <c r="Q52" i="15"/>
  <c r="F1" i="15"/>
  <c r="J6" i="15"/>
  <c r="AE6" i="1"/>
  <c r="F41" i="15" s="1"/>
  <c r="C16" i="15"/>
  <c r="G1" i="73"/>
  <c r="C16" i="67"/>
  <c r="F34" i="68" l="1"/>
  <c r="F34" i="11"/>
  <c r="F11" i="12"/>
  <c r="C15" i="12"/>
  <c r="F69" i="15"/>
  <c r="J18" i="67"/>
  <c r="C32" i="15"/>
  <c r="C32" i="67"/>
  <c r="C30" i="68"/>
  <c r="C48" i="68"/>
  <c r="C30" i="69"/>
  <c r="C48" i="69"/>
  <c r="C30" i="11"/>
  <c r="C48" i="11"/>
  <c r="E3" i="6"/>
  <c r="AY6" i="3"/>
  <c r="E64" i="39"/>
  <c r="E59" i="40"/>
  <c r="E60" i="40"/>
  <c r="E65" i="39"/>
  <c r="E57" i="40"/>
  <c r="E62" i="39"/>
  <c r="C115" i="43"/>
  <c r="D113" i="43"/>
  <c r="E61" i="39"/>
  <c r="E56" i="40"/>
  <c r="F27" i="6"/>
  <c r="F31" i="6" s="1"/>
  <c r="E51" i="40"/>
  <c r="E56" i="39"/>
  <c r="E66" i="39" s="1"/>
  <c r="F50" i="11"/>
  <c r="F50" i="69"/>
  <c r="F50" i="68"/>
  <c r="S2" i="43"/>
  <c r="T2" i="43" s="1"/>
  <c r="V2" i="43" s="1"/>
  <c r="S5" i="43"/>
  <c r="T5" i="43" s="1"/>
  <c r="V5" i="43" s="1"/>
  <c r="C23" i="43"/>
  <c r="C21" i="43" s="1"/>
  <c r="C29" i="43" s="1"/>
  <c r="S4" i="43"/>
  <c r="T4" i="43" s="1"/>
  <c r="V4" i="43" s="1"/>
  <c r="S7" i="43"/>
  <c r="T7" i="43" s="1"/>
  <c r="V7" i="43" s="1"/>
  <c r="S6" i="43"/>
  <c r="T6" i="43" s="1"/>
  <c r="V6" i="43" s="1"/>
  <c r="S3" i="43"/>
  <c r="T3" i="43" s="1"/>
  <c r="V3" i="43" s="1"/>
  <c r="N28" i="43"/>
  <c r="O28" i="43"/>
  <c r="B38" i="72"/>
  <c r="D20" i="53"/>
  <c r="B40" i="72" s="1"/>
  <c r="D127" i="9"/>
  <c r="D13" i="52" s="1"/>
  <c r="I14" i="74"/>
  <c r="B8" i="74" s="1"/>
  <c r="D12" i="52"/>
  <c r="J5" i="67"/>
  <c r="J24" i="67" s="1"/>
  <c r="Q60" i="15"/>
  <c r="Q61" i="15"/>
  <c r="F68" i="39"/>
  <c r="E70" i="39"/>
  <c r="P28" i="43"/>
  <c r="B40" i="1"/>
  <c r="F24" i="67" s="1"/>
  <c r="C24" i="67" s="1"/>
  <c r="C19" i="15"/>
  <c r="C20" i="15" s="1"/>
  <c r="E36" i="36"/>
  <c r="R37" i="36"/>
  <c r="G42" i="35"/>
  <c r="H42" i="35" s="1"/>
  <c r="G43" i="35"/>
  <c r="H43" i="35" s="1"/>
  <c r="C19" i="67"/>
  <c r="C20" i="67" s="1"/>
  <c r="C26" i="67" s="1"/>
  <c r="I46" i="37"/>
  <c r="J46" i="37" s="1"/>
  <c r="I52" i="33"/>
  <c r="J52" i="33" s="1"/>
  <c r="G52" i="33"/>
  <c r="H52" i="33" s="1"/>
  <c r="G53" i="33"/>
  <c r="H53" i="33" s="1"/>
  <c r="G40" i="36"/>
  <c r="H40" i="36" s="1"/>
  <c r="G41" i="36"/>
  <c r="H41" i="36" s="1"/>
  <c r="G46" i="37"/>
  <c r="H46" i="37" s="1"/>
  <c r="G47" i="37"/>
  <c r="H47" i="37" s="1"/>
  <c r="AB10" i="39"/>
  <c r="U10" i="39"/>
  <c r="AC10" i="40"/>
  <c r="W10" i="40"/>
  <c r="S10" i="40"/>
  <c r="AA10" i="40"/>
  <c r="C47" i="68"/>
  <c r="D45" i="68" s="1"/>
  <c r="Q54" i="71"/>
  <c r="Q53" i="71"/>
  <c r="G52" i="21"/>
  <c r="H52" i="21" s="1"/>
  <c r="G53" i="21"/>
  <c r="H53" i="21" s="1"/>
  <c r="H63" i="40"/>
  <c r="G65" i="40"/>
  <c r="E34" i="43"/>
  <c r="G34" i="43"/>
  <c r="I34" i="43" s="1"/>
  <c r="E37" i="43"/>
  <c r="G37" i="43"/>
  <c r="I37" i="43" s="1"/>
  <c r="E36" i="43"/>
  <c r="G36" i="43"/>
  <c r="I36" i="43" s="1"/>
  <c r="E39" i="43"/>
  <c r="G39" i="43"/>
  <c r="I39" i="43" s="1"/>
  <c r="G53" i="34"/>
  <c r="H53" i="34" s="1"/>
  <c r="G54" i="34"/>
  <c r="H54" i="34" s="1"/>
  <c r="I52" i="21"/>
  <c r="J52" i="21" s="1"/>
  <c r="R39" i="35"/>
  <c r="E38" i="35"/>
  <c r="C10" i="71"/>
  <c r="D11" i="71"/>
  <c r="B7" i="71"/>
  <c r="B6" i="71" s="1"/>
  <c r="B5" i="71" s="1"/>
  <c r="S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29" i="43"/>
  <c r="C30" i="43"/>
  <c r="E30" i="43" s="1"/>
  <c r="R49" i="21"/>
  <c r="E48" i="21"/>
  <c r="I42" i="35"/>
  <c r="J42" i="35" s="1"/>
  <c r="I43" i="35"/>
  <c r="J43" i="35" s="1"/>
  <c r="I53" i="34"/>
  <c r="J53" i="34" s="1"/>
  <c r="E49" i="34"/>
  <c r="I54" i="34" s="1"/>
  <c r="J54" i="34" s="1"/>
  <c r="R50" i="34"/>
  <c r="AC10" i="39"/>
  <c r="W10" i="39"/>
  <c r="AB10" i="40"/>
  <c r="U10" i="40"/>
  <c r="AA10" i="39"/>
  <c r="S10" i="39"/>
  <c r="C47" i="11"/>
  <c r="D45" i="11" s="1"/>
  <c r="C29" i="11"/>
  <c r="D27" i="11" s="1"/>
  <c r="C47" i="69"/>
  <c r="D45" i="69" s="1"/>
  <c r="C29" i="69"/>
  <c r="D27" i="69" s="1"/>
  <c r="T28" i="71"/>
  <c r="D28" i="71"/>
  <c r="R49" i="33"/>
  <c r="E48" i="33"/>
  <c r="E33" i="43"/>
  <c r="G33" i="43"/>
  <c r="I33" i="43" s="1"/>
  <c r="E35" i="43"/>
  <c r="G35" i="43"/>
  <c r="I35" i="43" s="1"/>
  <c r="G38" i="43"/>
  <c r="I38" i="43" s="1"/>
  <c r="E38" i="43"/>
  <c r="I40" i="36"/>
  <c r="J40" i="36" s="1"/>
  <c r="I41" i="36"/>
  <c r="J41" i="36" s="1"/>
  <c r="E42" i="37"/>
  <c r="R43" i="37"/>
  <c r="D3" i="34"/>
  <c r="D3" i="33"/>
  <c r="E6" i="6"/>
  <c r="D37" i="11"/>
  <c r="C37" i="11" s="1"/>
  <c r="D14" i="12"/>
  <c r="M18" i="9"/>
  <c r="B118" i="9" s="1"/>
  <c r="B14" i="74" s="1"/>
  <c r="B1" i="74" s="1"/>
  <c r="C8" i="74" s="1"/>
  <c r="D3" i="21"/>
  <c r="D19" i="11"/>
  <c r="C19" i="11" s="1"/>
  <c r="C17" i="4"/>
  <c r="B4" i="52" s="1"/>
  <c r="B43" i="72" s="1"/>
  <c r="L18" i="9"/>
  <c r="D3" i="37"/>
  <c r="J10" i="15"/>
  <c r="J5" i="15" s="1"/>
  <c r="J18" i="15"/>
  <c r="C53" i="15"/>
  <c r="C48" i="15" s="1"/>
  <c r="C10" i="15"/>
  <c r="C5" i="15" s="1"/>
  <c r="C10" i="67"/>
  <c r="C5" i="67" s="1"/>
  <c r="C53" i="67"/>
  <c r="C48" i="67" s="1"/>
  <c r="C36" i="11" l="1"/>
  <c r="C34" i="11"/>
  <c r="C36" i="68"/>
  <c r="C34" i="68"/>
  <c r="J26" i="67"/>
  <c r="J29" i="67" s="1"/>
  <c r="E27" i="6"/>
  <c r="F22" i="69"/>
  <c r="C44" i="69" s="1"/>
  <c r="D41" i="69" s="1"/>
  <c r="F22" i="68"/>
  <c r="C23" i="68" s="1"/>
  <c r="F25" i="12"/>
  <c r="C26" i="12" s="1"/>
  <c r="D25" i="12" s="1"/>
  <c r="F22" i="11"/>
  <c r="C44" i="11" s="1"/>
  <c r="D41" i="11" s="1"/>
  <c r="F24" i="15"/>
  <c r="C24" i="15" s="1"/>
  <c r="F70" i="39"/>
  <c r="G68" i="39"/>
  <c r="D17" i="12"/>
  <c r="C17" i="12" s="1"/>
  <c r="C14" i="12"/>
  <c r="C16" i="12" s="1"/>
  <c r="D10" i="11"/>
  <c r="C10" i="11" s="1"/>
  <c r="D20" i="12"/>
  <c r="C20" i="12" s="1"/>
  <c r="C18" i="12" s="1"/>
  <c r="D10" i="69"/>
  <c r="D10" i="68"/>
  <c r="E47" i="37"/>
  <c r="F47" i="37" s="1"/>
  <c r="E46" i="37"/>
  <c r="F46" i="37" s="1"/>
  <c r="C49" i="33"/>
  <c r="B2" i="33" s="1"/>
  <c r="B3" i="33" s="1"/>
  <c r="C48" i="33"/>
  <c r="E54" i="34"/>
  <c r="F54" i="34" s="1"/>
  <c r="E53" i="34"/>
  <c r="F53" i="34" s="1"/>
  <c r="C49" i="21"/>
  <c r="B2" i="21" s="1"/>
  <c r="B3" i="21" s="1"/>
  <c r="C48" i="21"/>
  <c r="C26" i="43"/>
  <c r="D10" i="71"/>
  <c r="C9" i="71"/>
  <c r="C39" i="35"/>
  <c r="B2" i="35" s="1"/>
  <c r="B3" i="35" s="1"/>
  <c r="C38" i="35"/>
  <c r="I63" i="40"/>
  <c r="H65" i="40"/>
  <c r="I47" i="37"/>
  <c r="J47" i="37" s="1"/>
  <c r="C36" i="36"/>
  <c r="C37" i="36"/>
  <c r="B2" i="36" s="1"/>
  <c r="B3" i="36" s="1"/>
  <c r="C20" i="11"/>
  <c r="C28" i="11" s="1"/>
  <c r="C27" i="11" s="1"/>
  <c r="C42" i="37"/>
  <c r="C43" i="37"/>
  <c r="B2" i="37" s="1"/>
  <c r="B3" i="37" s="1"/>
  <c r="E53" i="33"/>
  <c r="F53" i="33" s="1"/>
  <c r="E52" i="33"/>
  <c r="F52" i="33" s="1"/>
  <c r="C49" i="34"/>
  <c r="C50" i="34"/>
  <c r="B2" i="34" s="1"/>
  <c r="B3" i="34" s="1"/>
  <c r="E52" i="21"/>
  <c r="F52" i="21" s="1"/>
  <c r="E53" i="21"/>
  <c r="F53" i="21" s="1"/>
  <c r="C27" i="43"/>
  <c r="D25" i="6"/>
  <c r="D15" i="6"/>
  <c r="D22" i="6"/>
  <c r="D21" i="6"/>
  <c r="D24" i="6"/>
  <c r="D20" i="6"/>
  <c r="D6" i="6"/>
  <c r="D9" i="6"/>
  <c r="D10" i="6"/>
  <c r="L19" i="9"/>
  <c r="D29" i="6"/>
  <c r="M19" i="9"/>
  <c r="C118" i="9" s="1"/>
  <c r="C14" i="74" s="1"/>
  <c r="B2" i="74" s="1"/>
  <c r="D19" i="6"/>
  <c r="D26" i="6"/>
  <c r="C18" i="4"/>
  <c r="D8" i="6"/>
  <c r="D23" i="6"/>
  <c r="D14" i="6"/>
  <c r="D5" i="6"/>
  <c r="D12" i="6"/>
  <c r="D11" i="6"/>
  <c r="D13" i="6"/>
  <c r="D28" i="6"/>
  <c r="D30" i="6" s="1"/>
  <c r="E61" i="40"/>
  <c r="E43" i="35"/>
  <c r="F43" i="35" s="1"/>
  <c r="E42" i="35"/>
  <c r="F42" i="35" s="1"/>
  <c r="I53" i="21"/>
  <c r="J53" i="21" s="1"/>
  <c r="C7" i="74"/>
  <c r="I53" i="33"/>
  <c r="J53" i="33" s="1"/>
  <c r="E40" i="36"/>
  <c r="F40" i="36" s="1"/>
  <c r="E41" i="36"/>
  <c r="F41" i="36" s="1"/>
  <c r="C23" i="67"/>
  <c r="C29" i="67" s="1"/>
  <c r="C66" i="67"/>
  <c r="C60" i="67"/>
  <c r="C26" i="15"/>
  <c r="C60" i="15"/>
  <c r="C66" i="15"/>
  <c r="C38" i="67"/>
  <c r="C38" i="15"/>
  <c r="J26" i="15"/>
  <c r="J29" i="15" s="1"/>
  <c r="J24" i="15"/>
  <c r="E6" i="76"/>
  <c r="C26" i="69" l="1"/>
  <c r="D22" i="69" s="1"/>
  <c r="C35" i="68"/>
  <c r="C38" i="68"/>
  <c r="C35" i="11"/>
  <c r="C38" i="11"/>
  <c r="C33" i="11" s="1"/>
  <c r="C44" i="68"/>
  <c r="D41" i="68" s="1"/>
  <c r="C23" i="15"/>
  <c r="C29" i="15" s="1"/>
  <c r="Q49" i="15" s="1"/>
  <c r="D16" i="6"/>
  <c r="K26" i="6"/>
  <c r="M26" i="6" s="1"/>
  <c r="I26" i="6" s="1"/>
  <c r="K24" i="6"/>
  <c r="M24" i="6" s="1"/>
  <c r="I24" i="6" s="1"/>
  <c r="K19" i="6"/>
  <c r="S6" i="1" s="1"/>
  <c r="K21" i="6"/>
  <c r="M21" i="6" s="1"/>
  <c r="I21" i="6" s="1"/>
  <c r="K25" i="6"/>
  <c r="M25" i="6" s="1"/>
  <c r="I25" i="6" s="1"/>
  <c r="K20" i="6"/>
  <c r="M20" i="6" s="1"/>
  <c r="I20" i="6" s="1"/>
  <c r="K22" i="6"/>
  <c r="M22" i="6" s="1"/>
  <c r="I22" i="6" s="1"/>
  <c r="K23" i="6"/>
  <c r="M23" i="6" s="1"/>
  <c r="I23" i="6" s="1"/>
  <c r="E31" i="6"/>
  <c r="C26" i="11"/>
  <c r="D22" i="11" s="1"/>
  <c r="C26" i="68"/>
  <c r="D22" i="68" s="1"/>
  <c r="C25" i="11"/>
  <c r="C24" i="11"/>
  <c r="C23" i="11"/>
  <c r="H68" i="39"/>
  <c r="G70" i="39"/>
  <c r="E2" i="76"/>
  <c r="A7" i="51"/>
  <c r="B7" i="72" s="1"/>
  <c r="C4" i="52"/>
  <c r="B45" i="72" s="1"/>
  <c r="A10" i="51"/>
  <c r="B9" i="72" s="1"/>
  <c r="D27" i="6"/>
  <c r="D31" i="6" s="1"/>
  <c r="C8" i="71"/>
  <c r="D9" i="71"/>
  <c r="C10" i="68"/>
  <c r="D19" i="68"/>
  <c r="C21" i="12"/>
  <c r="D8" i="74"/>
  <c r="D7" i="74"/>
  <c r="I65" i="40"/>
  <c r="J63" i="40"/>
  <c r="B2" i="43"/>
  <c r="C10" i="69"/>
  <c r="C8" i="69" s="1"/>
  <c r="C5" i="69" s="1"/>
  <c r="D19" i="69"/>
  <c r="J19" i="67"/>
  <c r="J17" i="67" s="1"/>
  <c r="C33" i="67"/>
  <c r="C31" i="67" s="1"/>
  <c r="C13" i="67"/>
  <c r="C57" i="67"/>
  <c r="Q49" i="67"/>
  <c r="C36" i="67"/>
  <c r="J14" i="67"/>
  <c r="J59" i="67"/>
  <c r="J60" i="67" s="1"/>
  <c r="B6" i="76"/>
  <c r="C39" i="11" l="1"/>
  <c r="C42" i="11"/>
  <c r="C22" i="11"/>
  <c r="C31" i="11" s="1"/>
  <c r="AQ6" i="1"/>
  <c r="T6" i="1"/>
  <c r="T16" i="1" s="1"/>
  <c r="AR6" i="1"/>
  <c r="S16" i="1"/>
  <c r="S23" i="6"/>
  <c r="H23" i="6"/>
  <c r="R23" i="6" s="1"/>
  <c r="S20" i="6"/>
  <c r="H20" i="6"/>
  <c r="R20" i="6" s="1"/>
  <c r="S21" i="6"/>
  <c r="H21" i="6"/>
  <c r="R21" i="6" s="1"/>
  <c r="S24" i="6"/>
  <c r="H24" i="6"/>
  <c r="R24" i="6" s="1"/>
  <c r="S22" i="6"/>
  <c r="H22" i="6"/>
  <c r="R22" i="6" s="1"/>
  <c r="S25" i="6"/>
  <c r="H25" i="6"/>
  <c r="R25" i="6" s="1"/>
  <c r="K27" i="6"/>
  <c r="M19" i="6"/>
  <c r="S26" i="6"/>
  <c r="H26" i="6"/>
  <c r="R26" i="6" s="1"/>
  <c r="J59" i="15"/>
  <c r="J60" i="15" s="1"/>
  <c r="Q48" i="15" s="1"/>
  <c r="C33" i="15"/>
  <c r="J19" i="15"/>
  <c r="J14" i="15"/>
  <c r="J13" i="15" s="1"/>
  <c r="J23" i="15" s="1"/>
  <c r="I68" i="39"/>
  <c r="H70" i="39"/>
  <c r="C13" i="15"/>
  <c r="Q70" i="15" s="1"/>
  <c r="C57" i="15"/>
  <c r="C64" i="15" s="1"/>
  <c r="C36" i="15"/>
  <c r="B2" i="76"/>
  <c r="B3" i="76" s="1"/>
  <c r="I6" i="6"/>
  <c r="I5" i="6"/>
  <c r="C23" i="69"/>
  <c r="J65" i="40"/>
  <c r="K63" i="40"/>
  <c r="C19" i="68"/>
  <c r="D37" i="68"/>
  <c r="C37" i="68" s="1"/>
  <c r="C33" i="68" s="1"/>
  <c r="C19" i="69"/>
  <c r="C24" i="69" s="1"/>
  <c r="D37" i="69"/>
  <c r="C37" i="69" s="1"/>
  <c r="C33" i="69" s="1"/>
  <c r="B3" i="43"/>
  <c r="C22" i="12"/>
  <c r="C7" i="71"/>
  <c r="T8" i="71"/>
  <c r="D8" i="71"/>
  <c r="U8" i="71" s="1"/>
  <c r="Q48" i="67"/>
  <c r="L46" i="67"/>
  <c r="C64" i="67"/>
  <c r="C61" i="67"/>
  <c r="C59" i="67" s="1"/>
  <c r="J13" i="67"/>
  <c r="J23" i="67" s="1"/>
  <c r="J22" i="67"/>
  <c r="C75" i="67"/>
  <c r="C56" i="67"/>
  <c r="C65" i="67" s="1"/>
  <c r="C37" i="67"/>
  <c r="C30" i="67" s="1"/>
  <c r="C39" i="67" s="1"/>
  <c r="Q70" i="67"/>
  <c r="C46" i="11" l="1"/>
  <c r="C45" i="11" s="1"/>
  <c r="C43" i="11"/>
  <c r="C41" i="11" s="1"/>
  <c r="C49" i="11" s="1"/>
  <c r="C51" i="11" s="1"/>
  <c r="C37" i="15"/>
  <c r="M27" i="6"/>
  <c r="I19" i="6"/>
  <c r="J22" i="15"/>
  <c r="C75" i="15"/>
  <c r="C56" i="15"/>
  <c r="C65" i="15" s="1"/>
  <c r="C61" i="15"/>
  <c r="I70" i="39"/>
  <c r="J68" i="39"/>
  <c r="C6" i="71"/>
  <c r="D7" i="71"/>
  <c r="C20" i="68"/>
  <c r="C24" i="68"/>
  <c r="C20" i="69"/>
  <c r="C39" i="69"/>
  <c r="C42" i="69"/>
  <c r="C39" i="68"/>
  <c r="C42" i="68"/>
  <c r="K65" i="40"/>
  <c r="L63" i="40"/>
  <c r="J16" i="67"/>
  <c r="J25" i="67" s="1"/>
  <c r="Q69" i="67"/>
  <c r="Q68" i="67" s="1"/>
  <c r="C40" i="67"/>
  <c r="C80" i="67"/>
  <c r="C79" i="67" s="1"/>
  <c r="C58" i="67"/>
  <c r="C67" i="67" s="1"/>
  <c r="C68" i="67" s="1"/>
  <c r="L51" i="67"/>
  <c r="C52" i="11" l="1"/>
  <c r="B2" i="11" s="1"/>
  <c r="B3" i="11" s="1"/>
  <c r="S19" i="6"/>
  <c r="S27" i="6" s="1"/>
  <c r="I27" i="6"/>
  <c r="H19" i="6"/>
  <c r="K68" i="39"/>
  <c r="J70" i="39"/>
  <c r="C46" i="68"/>
  <c r="C45" i="68" s="1"/>
  <c r="C43" i="68"/>
  <c r="C41" i="68" s="1"/>
  <c r="C46" i="69"/>
  <c r="C45" i="69" s="1"/>
  <c r="C43" i="69"/>
  <c r="C41" i="69" s="1"/>
  <c r="L65" i="40"/>
  <c r="M63" i="40"/>
  <c r="C28" i="69"/>
  <c r="C27" i="69" s="1"/>
  <c r="C25" i="69"/>
  <c r="C22" i="69" s="1"/>
  <c r="C28" i="68"/>
  <c r="C27" i="68" s="1"/>
  <c r="C25" i="68"/>
  <c r="C22" i="68" s="1"/>
  <c r="C5" i="71"/>
  <c r="D6" i="71"/>
  <c r="Q67" i="67"/>
  <c r="L57" i="67"/>
  <c r="L60" i="67" s="1"/>
  <c r="C45" i="67"/>
  <c r="C46" i="67" s="1"/>
  <c r="C71" i="67"/>
  <c r="Q56" i="67"/>
  <c r="C43" i="67"/>
  <c r="Q47" i="67"/>
  <c r="Q53" i="67" s="1"/>
  <c r="Q65" i="67"/>
  <c r="D2" i="67"/>
  <c r="C83" i="67"/>
  <c r="C82" i="67" s="1"/>
  <c r="C56" i="11" l="1"/>
  <c r="C57" i="11" s="1"/>
  <c r="H27" i="6"/>
  <c r="R19" i="6"/>
  <c r="C49" i="69"/>
  <c r="C51" i="69" s="1"/>
  <c r="C49" i="68"/>
  <c r="C51" i="68" s="1"/>
  <c r="L68" i="39"/>
  <c r="K70" i="39"/>
  <c r="C31" i="68"/>
  <c r="D5" i="71"/>
  <c r="M20" i="43"/>
  <c r="C31" i="69"/>
  <c r="M65" i="40"/>
  <c r="N63" i="40"/>
  <c r="B3" i="67"/>
  <c r="B2" i="67"/>
  <c r="Q66" i="67"/>
  <c r="Q75" i="67" s="1"/>
  <c r="Q57" i="67"/>
  <c r="Q62" i="67" s="1"/>
  <c r="R27" i="6" l="1"/>
  <c r="R6" i="1"/>
  <c r="C52" i="69"/>
  <c r="B2" i="69" s="1"/>
  <c r="B3" i="69" s="1"/>
  <c r="C52" i="68"/>
  <c r="B2" i="68" s="1"/>
  <c r="L70" i="39"/>
  <c r="M68" i="39"/>
  <c r="N65" i="40"/>
  <c r="O63" i="40"/>
  <c r="O65" i="40" s="1"/>
  <c r="C57" i="69"/>
  <c r="C56" i="69" s="1"/>
  <c r="C19" i="9"/>
  <c r="F35" i="15"/>
  <c r="M21" i="15"/>
  <c r="C102" i="9" l="1"/>
  <c r="C21" i="9"/>
  <c r="B3" i="68"/>
  <c r="J20" i="15"/>
  <c r="J17" i="15" s="1"/>
  <c r="J16" i="15" s="1"/>
  <c r="J25" i="15" s="1"/>
  <c r="C34" i="15"/>
  <c r="C31" i="15" s="1"/>
  <c r="C30" i="15" s="1"/>
  <c r="C39" i="15" s="1"/>
  <c r="F63" i="15"/>
  <c r="C62" i="15" s="1"/>
  <c r="C59" i="15" s="1"/>
  <c r="C58" i="15" s="1"/>
  <c r="C67" i="15" s="1"/>
  <c r="C68" i="15" s="1"/>
  <c r="R16" i="1"/>
  <c r="C57" i="68"/>
  <c r="C56" i="68" s="1"/>
  <c r="N68" i="39"/>
  <c r="M70" i="39"/>
  <c r="H7" i="40"/>
  <c r="J7" i="40"/>
  <c r="F7" i="40"/>
  <c r="C20" i="9"/>
  <c r="L51" i="15"/>
  <c r="C103" i="9" l="1"/>
  <c r="Q67" i="15"/>
  <c r="L57" i="15"/>
  <c r="L60" i="15" s="1"/>
  <c r="Q69" i="15"/>
  <c r="Q68" i="15" s="1"/>
  <c r="C80" i="15"/>
  <c r="C79" i="15" s="1"/>
  <c r="C40" i="15"/>
  <c r="C8" i="12" s="1"/>
  <c r="C4" i="12" s="1"/>
  <c r="C71" i="15"/>
  <c r="C46" i="15"/>
  <c r="O68" i="39"/>
  <c r="O70" i="39" s="1"/>
  <c r="N70" i="39"/>
  <c r="AC7" i="40"/>
  <c r="V42" i="40" s="1"/>
  <c r="I42" i="40" s="1"/>
  <c r="W7" i="40"/>
  <c r="AA7" i="40"/>
  <c r="R42" i="40" s="1"/>
  <c r="S7" i="40"/>
  <c r="U7" i="40"/>
  <c r="AB7" i="40"/>
  <c r="T42" i="40" s="1"/>
  <c r="G42" i="40" s="1"/>
  <c r="C23" i="12" l="1"/>
  <c r="C31" i="12"/>
  <c r="L46" i="15"/>
  <c r="B2" i="15" s="1"/>
  <c r="Q66" i="15"/>
  <c r="Q57" i="15"/>
  <c r="Q56" i="15"/>
  <c r="Q65" i="15"/>
  <c r="Q47" i="15"/>
  <c r="Q53" i="15" s="1"/>
  <c r="C83" i="15"/>
  <c r="C82" i="15" s="1"/>
  <c r="C43" i="15"/>
  <c r="C6" i="12" s="1"/>
  <c r="F7" i="39"/>
  <c r="J7" i="39"/>
  <c r="H7" i="39"/>
  <c r="E42" i="40"/>
  <c r="I47" i="40" s="1"/>
  <c r="J47" i="40" s="1"/>
  <c r="R43" i="40"/>
  <c r="G47" i="40"/>
  <c r="H47" i="40" s="1"/>
  <c r="G46" i="40"/>
  <c r="H46" i="40" s="1"/>
  <c r="I46" i="40"/>
  <c r="J46" i="40" s="1"/>
  <c r="AO6" i="1"/>
  <c r="C30" i="12" l="1"/>
  <c r="C28" i="12" s="1"/>
  <c r="C27" i="12"/>
  <c r="C25" i="12" s="1"/>
  <c r="C32" i="12" s="1"/>
  <c r="B2" i="12" s="1"/>
  <c r="Q75" i="15"/>
  <c r="B6" i="70"/>
  <c r="B2" i="70" s="1"/>
  <c r="B3" i="70" s="1"/>
  <c r="B3" i="15"/>
  <c r="Q62" i="15"/>
  <c r="AC7" i="39"/>
  <c r="V47" i="39" s="1"/>
  <c r="I47" i="39" s="1"/>
  <c r="W7" i="39"/>
  <c r="AB7" i="39"/>
  <c r="T47" i="39" s="1"/>
  <c r="G47" i="39" s="1"/>
  <c r="U7" i="39"/>
  <c r="S7" i="39"/>
  <c r="AA7" i="39"/>
  <c r="R47" i="39" s="1"/>
  <c r="C42" i="40"/>
  <c r="C43" i="40"/>
  <c r="E47" i="40"/>
  <c r="F47" i="40" s="1"/>
  <c r="E46" i="40"/>
  <c r="F46" i="40" s="1"/>
  <c r="D19" i="9"/>
  <c r="D102" i="9" l="1"/>
  <c r="D21" i="9"/>
  <c r="G19" i="9"/>
  <c r="D22" i="9"/>
  <c r="B3" i="12"/>
  <c r="R48" i="39"/>
  <c r="E47" i="39"/>
  <c r="I52" i="39" s="1"/>
  <c r="J52" i="39" s="1"/>
  <c r="G51" i="39"/>
  <c r="H51" i="39" s="1"/>
  <c r="G52" i="39"/>
  <c r="H52" i="39" s="1"/>
  <c r="I51" i="39"/>
  <c r="J51" i="39" s="1"/>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D20" i="9"/>
  <c r="D103" i="9" l="1"/>
  <c r="G20" i="9"/>
  <c r="C32" i="9"/>
  <c r="G21" i="9"/>
  <c r="E52" i="39"/>
  <c r="F52" i="39" s="1"/>
  <c r="E51" i="39"/>
  <c r="F51" i="39" s="1"/>
  <c r="C48" i="39"/>
  <c r="C47" i="39"/>
  <c r="C35" i="9" l="1"/>
  <c r="F118" i="9" s="1"/>
  <c r="H118" i="9"/>
  <c r="B61" i="39"/>
  <c r="F61" i="39" s="1"/>
  <c r="B59" i="39"/>
  <c r="F59" i="39" s="1"/>
  <c r="B63" i="39"/>
  <c r="F63" i="39" s="1"/>
  <c r="B58" i="39"/>
  <c r="F58" i="39" s="1"/>
  <c r="B57" i="39"/>
  <c r="F57" i="39" s="1"/>
  <c r="B56" i="39"/>
  <c r="F56" i="39" s="1"/>
  <c r="F66" i="39" s="1"/>
  <c r="B2" i="39" s="1"/>
  <c r="B3" i="39" s="1"/>
  <c r="B65" i="39"/>
  <c r="F65" i="39" s="1"/>
  <c r="B60" i="39"/>
  <c r="F60" i="39" s="1"/>
  <c r="B64" i="39"/>
  <c r="F64" i="39" s="1"/>
  <c r="B62" i="39"/>
  <c r="F62" i="39" s="1"/>
  <c r="C34" i="9" l="1"/>
  <c r="D118" i="9" s="1"/>
  <c r="D14" i="74"/>
  <c r="H101" i="9"/>
  <c r="I118" i="9"/>
  <c r="H4" i="52"/>
  <c r="H119" i="9"/>
  <c r="H5" i="52" s="1"/>
  <c r="C104" i="9"/>
  <c r="G118" i="9"/>
  <c r="G4" i="52" s="1"/>
  <c r="B52" i="72" s="1"/>
  <c r="F4" i="52"/>
  <c r="B51" i="72" s="1"/>
  <c r="F119" i="9"/>
  <c r="F5" i="52" s="1"/>
  <c r="B53" i="72" s="1"/>
  <c r="E118" i="9" l="1"/>
  <c r="E4" i="52" s="1"/>
  <c r="B48" i="72" s="1"/>
  <c r="I4" i="52"/>
  <c r="C105" i="9"/>
  <c r="H102" i="9"/>
  <c r="D7" i="53" s="1"/>
  <c r="B21" i="72" s="1"/>
  <c r="E14" i="74"/>
  <c r="F14" i="74"/>
  <c r="B5" i="74"/>
  <c r="D45" i="9"/>
  <c r="M48" i="9"/>
  <c r="D5" i="53"/>
  <c r="H107" i="9"/>
  <c r="D4" i="52"/>
  <c r="B47" i="72" s="1"/>
  <c r="D119" i="9"/>
  <c r="D5" i="52" s="1"/>
  <c r="B49" i="72" s="1"/>
  <c r="B20" i="72" l="1"/>
  <c r="D6" i="53"/>
  <c r="B22" i="72" s="1"/>
  <c r="D55" i="9"/>
  <c r="M53" i="9" s="1"/>
  <c r="C72" i="9"/>
  <c r="C64" i="9"/>
  <c r="C63" i="9" s="1"/>
  <c r="C67" i="9" s="1"/>
  <c r="C68" i="9" s="1"/>
  <c r="D54" i="9" s="1"/>
  <c r="C93" i="9"/>
  <c r="C86" i="9" s="1"/>
  <c r="C78" i="9"/>
  <c r="C73" i="9" s="1"/>
  <c r="D52" i="9"/>
  <c r="C85" i="9"/>
  <c r="D53" i="9"/>
  <c r="M49" i="9"/>
  <c r="D13" i="53"/>
  <c r="H108" i="9"/>
  <c r="D15" i="53" s="1"/>
  <c r="B31" i="72" s="1"/>
  <c r="D122" i="9"/>
  <c r="D5" i="74"/>
  <c r="C5" i="74"/>
  <c r="C95" i="9" l="1"/>
  <c r="D123" i="9"/>
  <c r="D9" i="52" s="1"/>
  <c r="D8" i="52"/>
  <c r="G14" i="74"/>
  <c r="B6" i="74" s="1"/>
  <c r="B30" i="72"/>
  <c r="D14" i="53"/>
  <c r="B32" i="72" s="1"/>
  <c r="C79" i="9"/>
  <c r="L63" i="9"/>
  <c r="M63" i="9" s="1"/>
  <c r="L67" i="9"/>
  <c r="M67" i="9" s="1"/>
  <c r="L68" i="9"/>
  <c r="M68" i="9" s="1"/>
  <c r="L64" i="9"/>
  <c r="M64" i="9" s="1"/>
  <c r="L65" i="9"/>
  <c r="M65" i="9" s="1"/>
  <c r="L66" i="9"/>
  <c r="M66" i="9" s="1"/>
  <c r="C97" i="9"/>
  <c r="D58" i="9" s="1"/>
  <c r="D56" i="9" s="1"/>
  <c r="M54" i="9" s="1"/>
  <c r="N57" i="9" s="1"/>
  <c r="C96" i="9"/>
  <c r="E96" i="9" s="1"/>
  <c r="E97" i="9" s="1"/>
  <c r="M69" i="9" l="1"/>
  <c r="N69" i="9" s="1"/>
  <c r="P57" i="9"/>
  <c r="N58" i="9"/>
  <c r="C80" i="9"/>
  <c r="E80" i="9" s="1"/>
  <c r="E81" i="9" s="1"/>
  <c r="N59" i="9"/>
  <c r="C6" i="74"/>
  <c r="D6" i="74"/>
  <c r="C81" i="9" l="1"/>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<sst xmlns="http://schemas.openxmlformats.org/spreadsheetml/2006/main" count="7841" uniqueCount="3236">
  <si>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</si>
  <si>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</si>
  <si>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</si>
  <si>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</si>
  <si>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</si>
  <si>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</si>
  <si>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</si>
  <si>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</si>
  <si>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</si>
  <si>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</si>
  <si>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</si>
  <si>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</si>
  <si>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</si>
  <si>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</si>
  <si>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</si>
  <si>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</si>
  <si>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</si>
  <si>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</si>
  <si>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</si>
  <si>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</si>
  <si>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</si>
  <si>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</si>
  <si>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</si>
  <si>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</si>
  <si>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</si>
  <si>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</si>
  <si>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</si>
  <si>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</si>
  <si>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</si>
  <si>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</si>
  <si>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</si>
  <si>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</si>
  <si>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</si>
  <si>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</si>
  <si>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</si>
  <si>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</si>
  <si>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</si>
  <si>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</si>
  <si>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</si>
  <si>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</si>
  <si>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</si>
  <si>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</si>
  <si>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</si>
  <si>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</si>
  <si>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</si>
  <si>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</si>
  <si>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</si>
  <si>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</si>
  <si>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</si>
  <si>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</si>
  <si>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</si>
  <si>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</si>
  <si>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</si>
  <si>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</si>
  <si>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</si>
  <si>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</si>
  <si>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</si>
  <si>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</si>
  <si>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</si>
  <si>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</si>
  <si>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</si>
  <si>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</si>
  <si>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</si>
  <si>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</si>
  <si>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</si>
  <si>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</si>
  <si>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</si>
  <si>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</si>
  <si>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</si>
  <si>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</si>
  <si>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</si>
  <si>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</si>
  <si>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</si>
  <si>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</si>
  <si>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</si>
  <si>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</si>
  <si>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</si>
  <si>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</si>
  <si>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</si>
  <si>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</si>
  <si>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</si>
  <si>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</si>
  <si>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</si>
  <si>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</si>
  <si>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</si>
  <si>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</si>
  <si>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</si>
  <si>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</si>
  <si>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</si>
  <si>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</si>
  <si>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</si>
  <si>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</si>
  <si>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</si>
  <si>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</si>
  <si>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</si>
  <si>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</si>
  <si>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</si>
  <si>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</si>
  <si>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</si>
  <si>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</si>
  <si>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</si>
  <si>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</si>
  <si>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</si>
  <si>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</si>
  <si>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</si>
  <si>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</si>
  <si>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</si>
  <si>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</si>
  <si>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</si>
  <si>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</si>
  <si>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</si>
  <si>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</si>
  <si>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</si>
  <si>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</si>
  <si>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</si>
  <si>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</si>
  <si>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</si>
  <si>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</si>
  <si>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</si>
  <si>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</si>
  <si>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</si>
  <si>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</si>
  <si>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</si>
  <si>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</si>
  <si>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</si>
  <si>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</si>
  <si>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</si>
  <si>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</si>
  <si>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</si>
  <si>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</si>
  <si>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</si>
  <si>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</si>
  <si>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</si>
  <si>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</si>
  <si>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</si>
  <si>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</si>
  <si>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</si>
  <si>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</si>
  <si>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</si>
  <si>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</si>
  <si>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</si>
  <si>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</si>
  <si>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</si>
  <si>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</si>
  <si>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</si>
  <si>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</si>
  <si>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</si>
  <si>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</si>
  <si>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</si>
  <si>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</si>
  <si>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</si>
  <si>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</si>
  <si>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</si>
  <si>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</si>
  <si>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</si>
  <si>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</si>
  <si>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</si>
  <si>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</si>
  <si>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</si>
  <si>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</si>
  <si>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</si>
  <si>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</si>
  <si>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</si>
  <si>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</si>
  <si>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</si>
  <si>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</si>
  <si>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</si>
  <si>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</si>
  <si>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</si>
  <si>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</si>
  <si>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</si>
  <si>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</si>
  <si>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</si>
  <si>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</si>
  <si>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</si>
  <si>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</si>
  <si>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</si>
  <si>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</si>
  <si>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</si>
  <si>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</si>
  <si>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</si>
  <si>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</si>
  <si>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</si>
  <si>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</si>
  <si>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</si>
  <si>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</si>
  <si>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</si>
  <si>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</si>
  <si>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</si>
  <si>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</si>
  <si>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</si>
  <si>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</si>
  <si>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</si>
  <si>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</si>
  <si>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</si>
  <si>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</si>
  <si>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</si>
  <si>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</si>
  <si>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</si>
  <si>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</si>
  <si>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</si>
  <si>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</si>
  <si>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</si>
  <si>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</si>
  <si>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</si>
  <si>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</si>
  <si>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</si>
  <si>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</si>
  <si>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</si>
  <si>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</si>
  <si>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</si>
  <si>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</si>
  <si>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</si>
  <si>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</si>
  <si>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</si>
  <si>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</si>
  <si>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</si>
  <si>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</si>
  <si>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</si>
  <si>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</si>
  <si>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</si>
  <si>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</si>
  <si>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</si>
  <si>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</si>
  <si>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</si>
  <si>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</si>
  <si>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</si>
  <si>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</si>
  <si>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</si>
  <si>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</si>
  <si>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</si>
  <si>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</si>
  <si>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</si>
  <si>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</si>
  <si>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</si>
  <si>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</si>
  <si>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</si>
  <si>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</si>
  <si>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</si>
  <si>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</si>
  <si>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</si>
  <si>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</si>
  <si>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</si>
  <si>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</si>
  <si>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</si>
  <si>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</si>
  <si>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</si>
  <si>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</si>
  <si>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</si>
  <si>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</si>
  <si>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</si>
  <si>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</si>
  <si>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</si>
  <si>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</si>
  <si>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</si>
  <si>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</si>
  <si>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</si>
  <si>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</si>
  <si>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</si>
  <si>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</si>
  <si>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</si>
  <si>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</si>
  <si>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</si>
  <si>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</si>
  <si>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</si>
  <si>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</si>
  <si>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</si>
  <si>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</si>
  <si>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</si>
  <si>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</si>
  <si>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</si>
  <si>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</si>
  <si>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</si>
  <si>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</si>
  <si>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</si>
  <si>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</si>
  <si>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</si>
  <si>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</si>
  <si>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</si>
  <si>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</si>
  <si>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</si>
  <si>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</si>
  <si>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</si>
  <si>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</si>
  <si>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</si>
  <si>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</si>
  <si>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</si>
  <si>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</si>
  <si>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</si>
  <si>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</si>
  <si>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</si>
  <si>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</si>
  <si>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</si>
  <si>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</si>
  <si>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</si>
  <si>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</si>
  <si>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</si>
  <si>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</si>
  <si>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</si>
  <si>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</si>
  <si>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</si>
  <si>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</si>
  <si>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</si>
  <si>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</si>
  <si>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</si>
  <si>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</si>
  <si>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</si>
  <si>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</si>
  <si>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</si>
  <si>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</si>
  <si>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</si>
  <si>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</si>
  <si>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</si>
  <si>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</si>
  <si>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</si>
  <si>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</si>
  <si>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</si>
  <si>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</si>
  <si>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</si>
  <si>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</si>
  <si>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</si>
  <si>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</si>
  <si>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</si>
  <si>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</si>
  <si>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</si>
  <si>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</si>
  <si>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</si>
  <si>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</si>
  <si>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</si>
  <si>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</si>
  <si>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</si>
  <si>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</si>
  <si>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</si>
  <si>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</si>
  <si>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</si>
  <si>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</si>
  <si>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</si>
  <si>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</si>
  <si>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</si>
  <si>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</si>
  <si>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</si>
  <si>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</si>
  <si>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</si>
  <si>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</si>
  <si>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</si>
  <si>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</si>
  <si>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</si>
  <si>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</si>
  <si>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</si>
  <si>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</si>
  <si>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</si>
  <si>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</si>
  <si>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</si>
  <si>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</si>
  <si>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</si>
  <si>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</si>
  <si>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</si>
  <si>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</si>
  <si>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</si>
  <si>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</si>
  <si>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</si>
  <si>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</si>
  <si>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</si>
  <si>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</si>
  <si>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</si>
  <si>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</si>
  <si>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</si>
  <si>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</si>
  <si>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</si>
  <si>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</si>
  <si>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</si>
  <si>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</si>
  <si>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</si>
  <si>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</si>
  <si>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</si>
  <si>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</si>
  <si>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</si>
  <si>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</si>
  <si>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</si>
  <si>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</si>
  <si>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</si>
  <si>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</si>
  <si>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</si>
  <si>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</si>
  <si>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</si>
  <si>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</si>
  <si>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</si>
  <si>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</si>
  <si>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</si>
  <si>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</si>
  <si>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</si>
  <si>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</si>
  <si>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</si>
  <si>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</si>
  <si>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</si>
  <si>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</si>
  <si>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</si>
  <si>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</si>
  <si>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</si>
  <si>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</si>
  <si>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</si>
  <si>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</si>
  <si>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</si>
  <si>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</si>
  <si>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</si>
  <si>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</si>
  <si>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</si>
  <si>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</si>
  <si>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</si>
  <si>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</si>
  <si>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</si>
  <si>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</si>
  <si>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</si>
  <si>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</si>
  <si>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</si>
  <si>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</si>
  <si>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</si>
  <si>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</si>
  <si>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</si>
  <si>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</si>
  <si>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</si>
  <si>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</si>
  <si>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</si>
  <si>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</si>
  <si>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</si>
  <si>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</si>
  <si>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</si>
  <si>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</si>
  <si>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</si>
  <si>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</si>
  <si>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</si>
  <si>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</si>
  <si>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</si>
  <si>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</si>
  <si>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</si>
  <si>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</si>
  <si>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</si>
  <si>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</si>
  <si>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</si>
  <si>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</si>
  <si>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</si>
  <si>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</si>
  <si>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</si>
  <si>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</si>
  <si>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</si>
  <si>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</si>
  <si>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</si>
  <si>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</si>
  <si>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</si>
  <si>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</si>
  <si>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</si>
  <si>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</si>
  <si>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</si>
  <si>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</si>
  <si>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</si>
  <si>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</si>
  <si>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</si>
  <si>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</si>
  <si>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</si>
  <si>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</si>
  <si>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</si>
  <si>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</si>
  <si>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</si>
  <si>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</si>
  <si>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</si>
  <si>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</si>
  <si>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</si>
  <si>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</si>
  <si>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</si>
  <si>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</si>
  <si>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</si>
  <si>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</si>
  <si>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</si>
  <si>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</si>
  <si>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</si>
  <si>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</si>
  <si>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</si>
  <si>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</si>
  <si>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</si>
  <si>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</si>
  <si>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</si>
  <si>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</si>
  <si>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</si>
  <si>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</si>
  <si>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</si>
  <si>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</si>
  <si>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</si>
  <si>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</si>
  <si>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</si>
  <si>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</si>
  <si>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</si>
  <si>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</si>
  <si>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</si>
  <si>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</si>
  <si>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</si>
  <si>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</si>
  <si>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</si>
  <si>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</si>
  <si>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</si>
  <si>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</si>
  <si>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</si>
  <si>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</si>
  <si>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</si>
  <si>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</si>
  <si>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</si>
  <si>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</si>
  <si>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</si>
  <si>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</si>
  <si>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</si>
  <si>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</si>
  <si>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</si>
  <si>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</si>
  <si>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</si>
  <si>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</si>
  <si>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</si>
  <si>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</si>
  <si>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</si>
  <si>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</si>
  <si>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</si>
  <si>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</si>
  <si>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</si>
  <si>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</si>
  <si>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</si>
  <si>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</si>
  <si>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</si>
  <si>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</si>
  <si>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</si>
  <si>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</si>
  <si>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</si>
  <si>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</si>
  <si>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</si>
  <si>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</si>
  <si>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</si>
  <si>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</si>
  <si>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</si>
  <si>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</si>
  <si>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</si>
  <si>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</si>
  <si>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</si>
  <si>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</si>
  <si>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</si>
  <si>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</si>
  <si>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</si>
  <si>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</si>
  <si>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</si>
  <si>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</si>
  <si>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</si>
  <si>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</si>
  <si>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</si>
  <si>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</si>
  <si>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</si>
  <si>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</si>
  <si>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</si>
  <si>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</si>
  <si>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</si>
  <si>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</si>
  <si>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</si>
  <si>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</si>
  <si>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</si>
  <si>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</si>
  <si>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</si>
  <si>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</si>
  <si>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</si>
  <si>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</si>
  <si>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</si>
  <si>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</si>
  <si>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</si>
  <si>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</si>
  <si>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</si>
  <si>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</si>
  <si>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</si>
  <si>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</si>
  <si>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</si>
  <si>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</si>
  <si>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</si>
  <si>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</si>
  <si>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</si>
  <si>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</si>
  <si>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</si>
  <si>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</si>
  <si>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</si>
  <si>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</si>
  <si>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</si>
  <si>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</si>
  <si>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</si>
  <si>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</si>
  <si>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</si>
  <si>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</si>
  <si>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</si>
  <si>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</si>
  <si>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</si>
  <si>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</si>
  <si>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</si>
  <si>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</si>
  <si>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</si>
  <si>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</si>
  <si>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</si>
  <si>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</si>
  <si>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</si>
  <si>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</si>
  <si>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</si>
  <si>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</si>
  <si>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</si>
  <si>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</si>
  <si>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</si>
  <si>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</si>
  <si>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</si>
  <si>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</si>
  <si>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</si>
  <si>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</si>
  <si>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</si>
  <si>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</si>
  <si>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</si>
  <si>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</si>
  <si>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</si>
  <si>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</si>
  <si>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</si>
  <si>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</si>
  <si>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</si>
  <si>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</si>
  <si>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</si>
  <si>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</si>
  <si>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</si>
  <si>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</si>
  <si>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</si>
  <si>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</si>
  <si>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</si>
  <si>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</si>
  <si>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</si>
  <si>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</si>
  <si>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</si>
  <si>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</si>
  <si>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</si>
  <si>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</si>
  <si>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</si>
  <si>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</si>
  <si>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</si>
  <si>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</si>
  <si>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</si>
  <si>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</si>
  <si>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</si>
  <si>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</si>
  <si>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</si>
  <si>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</si>
  <si>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</si>
  <si>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</si>
  <si>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</si>
  <si>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</si>
  <si>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</si>
  <si>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</si>
  <si>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</si>
  <si>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</si>
  <si>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</si>
  <si>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</si>
  <si>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</si>
  <si>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</si>
  <si>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</si>
  <si>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</si>
  <si>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</si>
  <si>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</si>
  <si>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</si>
  <si>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</si>
  <si>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</si>
  <si>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</si>
  <si>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</si>
  <si>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</si>
  <si>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</si>
  <si>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</si>
  <si>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</si>
  <si>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</si>
  <si>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</si>
  <si>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</si>
  <si>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</si>
  <si>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</si>
  <si>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</si>
  <si>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</si>
  <si>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</si>
  <si>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</si>
  <si>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</si>
  <si>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</si>
  <si>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</si>
  <si>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</si>
  <si>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</si>
  <si>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</si>
  <si>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</si>
  <si>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</si>
  <si>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</si>
  <si>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</si>
  <si>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</si>
  <si>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</si>
  <si>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</si>
  <si>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</si>
  <si>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</si>
  <si>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</si>
  <si>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</si>
  <si>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</si>
  <si>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</si>
  <si>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</si>
  <si>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</si>
  <si>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</si>
  <si>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</si>
  <si>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</si>
  <si>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</si>
  <si>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</si>
  <si>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</si>
  <si>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</si>
  <si>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</si>
  <si>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</si>
  <si>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</si>
  <si>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</si>
  <si>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</si>
  <si>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</si>
  <si>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</si>
  <si>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</si>
  <si>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</si>
  <si>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</si>
  <si>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</si>
  <si>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</si>
  <si>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</si>
  <si>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</si>
  <si>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</si>
  <si>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</si>
  <si>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</si>
  <si>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</si>
  <si>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</si>
  <si>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</si>
  <si>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</si>
  <si>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</si>
  <si>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</si>
  <si>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</si>
  <si>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</si>
  <si>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</si>
  <si>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</si>
  <si>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</si>
  <si>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</si>
  <si>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</si>
  <si>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</si>
  <si>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</si>
  <si>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</si>
  <si>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</si>
  <si>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</si>
  <si>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</si>
  <si>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</si>
  <si>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</si>
  <si>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</si>
  <si>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</si>
  <si>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</si>
  <si>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</si>
  <si>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</si>
  <si>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</si>
  <si>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</si>
  <si>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</si>
  <si>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</si>
  <si>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</si>
  <si>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</si>
  <si>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</si>
  <si>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</si>
  <si>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</si>
  <si>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</si>
  <si>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</si>
  <si>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</si>
  <si>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</si>
  <si>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</si>
  <si>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</si>
  <si>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</si>
  <si>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</si>
  <si>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</si>
  <si>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</si>
  <si>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</si>
  <si>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</si>
  <si>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</si>
  <si>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</si>
  <si>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</si>
  <si>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</si>
  <si>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</si>
  <si>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</si>
  <si>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</si>
  <si>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</si>
  <si>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</si>
  <si>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</si>
  <si>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</si>
  <si>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</si>
  <si>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</si>
  <si>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</si>
  <si>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</si>
  <si>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</si>
  <si>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</si>
  <si>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</si>
  <si>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</si>
  <si>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</si>
  <si>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</si>
  <si>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</si>
  <si>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</si>
  <si>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</si>
  <si>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</si>
  <si>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</si>
  <si>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</si>
  <si>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</si>
  <si>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</si>
  <si>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</si>
  <si>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</si>
  <si>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</si>
  <si>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</si>
  <si>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</si>
  <si>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</si>
  <si>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</si>
  <si>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</si>
  <si>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</si>
  <si>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</si>
  <si>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</si>
  <si>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</si>
  <si>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</si>
  <si>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</si>
  <si>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</si>
  <si>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</si>
  <si>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</si>
  <si>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</si>
  <si>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</si>
  <si>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</si>
  <si>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</si>
  <si>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</si>
  <si>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</si>
  <si>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</si>
  <si>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</si>
  <si>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</si>
  <si>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</si>
  <si>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</si>
  <si>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</si>
  <si>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</si>
  <si>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</si>
  <si>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</si>
  <si>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</si>
  <si>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</si>
  <si>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</si>
  <si>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</si>
  <si>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</si>
  <si>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</si>
  <si>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</si>
  <si>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</si>
  <si>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</si>
  <si>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</si>
  <si>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</si>
  <si>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</si>
  <si>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</si>
  <si>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</si>
  <si>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</si>
  <si>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</si>
  <si>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</si>
  <si>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</si>
  <si>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</si>
  <si>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</si>
  <si>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</si>
  <si>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</si>
  <si>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</si>
  <si>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</si>
  <si>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</si>
  <si>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</si>
  <si>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</si>
  <si>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</si>
  <si>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</si>
  <si>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</si>
  <si>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</si>
  <si>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</si>
  <si>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</si>
  <si>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</si>
  <si>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</si>
  <si>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</si>
  <si>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</si>
  <si>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</si>
  <si>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</si>
  <si>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</si>
  <si>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</si>
  <si>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</si>
  <si>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</si>
  <si>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</si>
  <si>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</si>
  <si>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</si>
  <si>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</si>
  <si>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</si>
  <si>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</si>
  <si>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</si>
  <si>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</si>
  <si>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</si>
  <si>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</si>
  <si>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</si>
  <si>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</si>
  <si>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</si>
  <si>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</si>
  <si>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</si>
  <si>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</si>
  <si>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</si>
  <si>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</si>
  <si>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</si>
  <si>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</si>
  <si>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</si>
  <si>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</si>
  <si>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</si>
  <si>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</si>
  <si>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</si>
  <si>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</si>
  <si>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</si>
  <si>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</si>
  <si>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</si>
  <si>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</si>
  <si>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</si>
  <si>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</si>
  <si>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</si>
  <si>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</si>
  <si>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</si>
  <si>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</si>
  <si>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</si>
  <si>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</si>
  <si>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</si>
  <si>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</si>
  <si>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</si>
  <si>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</si>
  <si>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</si>
  <si>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</si>
  <si>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</si>
  <si>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</si>
  <si>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</si>
  <si>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</si>
  <si>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</si>
  <si>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</si>
  <si>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</si>
  <si>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</si>
  <si>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</si>
  <si>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</si>
  <si>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</si>
  <si>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</si>
  <si>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</si>
  <si>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</si>
  <si>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</si>
  <si>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</si>
  <si>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</si>
  <si>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</si>
  <si>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</si>
  <si>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</si>
  <si>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</si>
  <si>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</si>
  <si>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</si>
  <si>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</si>
  <si>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</si>
  <si>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</si>
  <si>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</si>
  <si>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</si>
  <si>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</si>
  <si>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</si>
  <si>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</si>
  <si>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</si>
  <si>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</si>
  <si>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</si>
  <si>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</si>
  <si>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</si>
  <si>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</si>
  <si>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</si>
  <si>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</si>
  <si>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</si>
  <si>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</si>
  <si>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</si>
  <si>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</si>
  <si>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</si>
  <si>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</si>
  <si>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</si>
  <si>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</si>
  <si>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</si>
  <si>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</si>
  <si>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</si>
  <si>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</si>
  <si>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</si>
  <si>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</si>
  <si>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</si>
  <si>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</si>
  <si>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</si>
  <si>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</si>
  <si>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</si>
  <si>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</si>
  <si>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</si>
  <si>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</si>
  <si>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</si>
  <si>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</si>
  <si>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</si>
  <si>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</si>
  <si>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</si>
  <si>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</si>
  <si>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</si>
  <si>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</si>
  <si>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</si>
  <si>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</si>
  <si>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</si>
  <si>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</si>
  <si>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</si>
  <si>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</si>
  <si>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</si>
  <si>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</si>
  <si>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</si>
  <si>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</si>
  <si>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</si>
  <si>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</si>
  <si>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</si>
  <si>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</si>
  <si>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</si>
  <si>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</si>
  <si>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</si>
  <si>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</si>
  <si>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</si>
  <si>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</si>
  <si>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</si>
  <si>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</si>
  <si>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</si>
  <si>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</si>
  <si>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</si>
  <si>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</si>
  <si>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</si>
  <si>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</si>
  <si>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</si>
  <si>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</si>
  <si>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</si>
  <si>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</si>
  <si>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</si>
  <si>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</si>
  <si>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</si>
  <si>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</si>
  <si>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</si>
  <si>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</si>
  <si>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</si>
  <si>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</si>
  <si>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</si>
  <si>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</si>
  <si>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</si>
  <si>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</si>
  <si>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</si>
  <si>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</si>
  <si>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</si>
  <si>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</si>
  <si>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</si>
  <si>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</si>
  <si>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</si>
  <si>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</si>
  <si>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</si>
  <si>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</si>
  <si>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</si>
  <si>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</si>
  <si>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</si>
  <si>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</si>
  <si>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</si>
  <si>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</si>
  <si>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</si>
  <si>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</si>
  <si>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</si>
  <si>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</si>
  <si>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</si>
  <si>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</si>
  <si>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</si>
  <si>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</si>
  <si>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</si>
  <si>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</si>
  <si>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</si>
  <si>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</si>
  <si>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</si>
  <si>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</si>
  <si>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</si>
  <si>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</si>
  <si>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</si>
  <si>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</si>
  <si>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</si>
  <si>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</si>
  <si>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</si>
  <si>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</si>
  <si>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</si>
  <si>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</si>
  <si>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</si>
  <si>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</si>
  <si>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</si>
  <si>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</si>
  <si>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</si>
  <si>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</si>
  <si>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</si>
  <si>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</si>
  <si>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</si>
  <si>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</si>
  <si>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</si>
  <si>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</si>
  <si>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</si>
  <si>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</si>
  <si>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</si>
  <si>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</si>
  <si>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</si>
  <si>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</si>
  <si>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</si>
  <si>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</si>
  <si>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</si>
  <si>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</si>
  <si>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</si>
  <si>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</si>
  <si>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</si>
  <si>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</si>
  <si>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</si>
  <si>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</si>
  <si>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</si>
  <si>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</si>
  <si>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</si>
  <si>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</si>
  <si>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</si>
  <si>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</si>
  <si>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</si>
  <si>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</si>
  <si>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</si>
  <si>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</si>
  <si>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</si>
  <si>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</si>
  <si>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</si>
  <si>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</si>
  <si>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</si>
  <si>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</si>
  <si>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</si>
  <si>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</si>
  <si>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</si>
  <si>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</si>
  <si>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</si>
  <si>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</si>
  <si>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</si>
  <si>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</si>
  <si>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</si>
  <si>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</si>
  <si>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</si>
  <si>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</si>
  <si>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</si>
  <si>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</si>
  <si>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</si>
  <si>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</si>
  <si>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</si>
  <si>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</si>
  <si>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</si>
  <si>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</si>
  <si>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</si>
  <si>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</si>
  <si>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</si>
  <si>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</si>
  <si>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</si>
  <si>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</si>
  <si>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</si>
  <si>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</si>
  <si>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</si>
  <si>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</si>
  <si>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</si>
  <si>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</si>
  <si>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</si>
  <si>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</si>
  <si>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</si>
  <si>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</si>
  <si>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</si>
  <si>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</si>
  <si>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</si>
  <si>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</si>
  <si>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</si>
  <si>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</si>
  <si>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</si>
  <si>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</si>
  <si>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</si>
  <si>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</si>
  <si>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</si>
  <si>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</si>
  <si>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</si>
  <si>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</si>
  <si>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</si>
  <si>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</si>
  <si>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</si>
  <si>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</si>
  <si>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</si>
  <si>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</si>
  <si>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</si>
  <si>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</si>
  <si>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</si>
  <si>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</si>
  <si>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</si>
  <si>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</si>
  <si>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</si>
  <si>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</si>
  <si>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</si>
  <si>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</si>
  <si>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</si>
  <si>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</si>
  <si>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</si>
  <si>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</si>
  <si>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</si>
  <si>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</si>
  <si>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</si>
  <si>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</si>
  <si>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</si>
  <si>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</si>
  <si>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</si>
  <si>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</si>
  <si>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</si>
  <si>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</si>
  <si>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</si>
  <si>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</si>
  <si>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</si>
  <si>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</si>
  <si>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</si>
  <si>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</si>
  <si>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</si>
  <si>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</si>
  <si>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</si>
  <si>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</si>
  <si>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</si>
  <si>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</si>
  <si>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</si>
  <si>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</si>
  <si>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</si>
  <si>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</si>
  <si>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</si>
  <si>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</si>
  <si>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</si>
  <si>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</si>
  <si>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</si>
  <si>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</si>
  <si>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</si>
  <si>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</si>
  <si>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</si>
  <si>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</si>
  <si>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</si>
  <si>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</si>
  <si>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</si>
  <si>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</si>
  <si>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</si>
  <si>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</si>
  <si>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</si>
  <si>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</si>
  <si>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</si>
  <si>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</si>
  <si>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</si>
  <si>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</si>
  <si>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</si>
  <si>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</si>
  <si>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</si>
  <si>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</si>
  <si>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</si>
  <si>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</si>
  <si>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</si>
  <si>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</si>
  <si>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</si>
  <si>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</si>
  <si>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</si>
  <si>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</si>
  <si>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</si>
  <si>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</si>
  <si>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</si>
  <si>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</si>
  <si>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</si>
  <si>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</si>
  <si>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</si>
  <si>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</si>
  <si>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</si>
  <si>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</si>
  <si>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</si>
  <si>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</si>
  <si>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</si>
  <si>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</si>
  <si>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</si>
  <si>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</si>
  <si>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</si>
  <si>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</si>
  <si>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</si>
  <si>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</si>
  <si>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</si>
  <si>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</si>
  <si>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</si>
  <si>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</si>
  <si>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</si>
  <si>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</si>
  <si>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</si>
  <si>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</si>
  <si>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</si>
  <si>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</si>
  <si>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</si>
  <si>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</si>
  <si>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</si>
  <si>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</si>
  <si>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</si>
  <si>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</si>
  <si>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</si>
  <si>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</si>
  <si>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</si>
  <si>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</si>
  <si>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</si>
  <si>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</si>
  <si>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</si>
  <si>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</si>
  <si>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</si>
  <si>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</si>
  <si>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</si>
  <si>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</si>
  <si>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</si>
  <si>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</si>
  <si>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</si>
  <si>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</si>
  <si>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</si>
  <si>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</si>
  <si>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</si>
  <si>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</si>
  <si>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</si>
  <si>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</si>
  <si>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</si>
  <si>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</si>
  <si>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</si>
  <si>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</si>
  <si>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</si>
  <si>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</si>
  <si>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</si>
  <si>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</si>
  <si>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</si>
  <si>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</si>
  <si>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</si>
  <si>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</si>
  <si>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</si>
  <si>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</si>
  <si>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</si>
  <si>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</si>
  <si>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</si>
  <si>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</si>
  <si>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</si>
  <si>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</si>
  <si>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</si>
  <si>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</si>
  <si>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</si>
  <si>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</si>
  <si>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</si>
  <si>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</si>
  <si>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</si>
  <si>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</si>
  <si>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</si>
  <si>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</si>
  <si>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</si>
  <si>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</si>
  <si>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</si>
  <si>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</si>
  <si>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</si>
  <si>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</si>
  <si>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</si>
  <si>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</si>
  <si>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</si>
  <si>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</si>
  <si>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</si>
  <si>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</si>
  <si>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</si>
  <si>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</si>
  <si>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</si>
  <si>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</si>
  <si>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</si>
  <si>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</si>
  <si>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</si>
  <si>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</si>
  <si>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</si>
  <si>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</si>
  <si>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</si>
  <si>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</si>
  <si>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</si>
  <si>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</si>
  <si>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</si>
  <si>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</si>
  <si>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</si>
  <si>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</si>
  <si>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</si>
  <si>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</si>
  <si>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</si>
  <si>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</si>
  <si>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</si>
  <si>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</si>
  <si>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</si>
  <si>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</si>
  <si>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</si>
  <si>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</si>
  <si>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</si>
  <si>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</si>
  <si>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</si>
  <si>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</si>
  <si>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</si>
  <si>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</si>
  <si>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</si>
  <si>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</si>
  <si>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</si>
  <si>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</si>
  <si>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</si>
  <si>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</si>
  <si>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</si>
  <si>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</si>
  <si>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</si>
  <si>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</si>
  <si>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</si>
  <si>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</si>
  <si>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</si>
  <si>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</si>
  <si>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</si>
  <si>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</si>
  <si>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</si>
  <si>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</si>
  <si>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</si>
  <si>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</si>
  <si>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</si>
  <si>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</si>
  <si>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</si>
  <si>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</si>
  <si>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</si>
  <si>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</si>
  <si>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</si>
  <si>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</si>
  <si>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</si>
  <si>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</si>
  <si>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</si>
  <si>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</si>
  <si>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</si>
  <si>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</si>
  <si>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</si>
  <si>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</si>
  <si>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</si>
  <si>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</si>
  <si>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</si>
  <si>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</si>
  <si>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</si>
  <si>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</si>
  <si>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</si>
  <si>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</si>
  <si>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</si>
  <si>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</si>
  <si>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</si>
  <si>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</si>
  <si>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</si>
  <si>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</si>
  <si>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</si>
  <si>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</si>
  <si>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</si>
  <si>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</si>
  <si>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</si>
  <si>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</si>
  <si>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</si>
  <si>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</si>
  <si>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</si>
  <si>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</si>
  <si>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</si>
  <si>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</si>
  <si>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</si>
  <si>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</si>
  <si>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</si>
  <si>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</si>
  <si>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</si>
  <si>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</si>
  <si>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</si>
  <si>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</si>
  <si>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</si>
  <si>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</si>
  <si>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</si>
  <si>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</si>
  <si>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</si>
  <si>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</si>
  <si>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</si>
  <si>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</si>
  <si>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</si>
  <si>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</si>
  <si>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</si>
  <si>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</si>
  <si>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</si>
  <si>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</si>
  <si>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</si>
  <si>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</si>
  <si>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</si>
  <si>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</si>
  <si>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</si>
  <si>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</si>
  <si>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</si>
  <si>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</si>
  <si>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</si>
  <si>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</si>
  <si>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</si>
  <si>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</si>
  <si>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</si>
  <si>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</si>
  <si>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</si>
  <si>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</si>
  <si>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</si>
  <si>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</si>
  <si>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</si>
  <si>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</si>
  <si>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</si>
  <si>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</si>
  <si>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</si>
  <si>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</si>
  <si>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</si>
  <si>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</si>
  <si>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</si>
  <si>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</si>
  <si>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</si>
  <si>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</si>
  <si>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</si>
  <si>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</si>
  <si>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</si>
  <si>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</si>
  <si>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</si>
  <si>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</si>
  <si>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</si>
  <si>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</si>
  <si>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</si>
  <si>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</si>
  <si>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</si>
  <si>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</si>
  <si>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</si>
  <si>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</si>
  <si>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</si>
  <si>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</si>
  <si>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</si>
  <si>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</si>
  <si>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</si>
  <si>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</si>
  <si>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</si>
  <si>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</si>
  <si>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</si>
  <si>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</si>
  <si>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</si>
  <si>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</si>
  <si>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</si>
  <si>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</si>
  <si>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</si>
  <si>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</si>
  <si>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</si>
  <si>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</si>
  <si>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</si>
  <si>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</si>
  <si>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</si>
  <si>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</si>
  <si>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</si>
  <si>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</si>
  <si>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</si>
  <si>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</si>
  <si>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</si>
  <si>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</si>
  <si>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</si>
  <si>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</si>
  <si>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</si>
  <si>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</si>
  <si>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</si>
  <si>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</si>
  <si>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</si>
  <si>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</si>
  <si>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</si>
  <si>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</si>
  <si>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</si>
  <si>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</si>
  <si>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</si>
  <si>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</si>
  <si>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</si>
  <si>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</si>
  <si>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</si>
  <si>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</si>
  <si>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</si>
  <si>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</si>
  <si>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</si>
  <si>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</si>
  <si>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</si>
  <si>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</si>
  <si>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</si>
  <si>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</si>
  <si>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</si>
  <si>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</si>
  <si>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</si>
  <si>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</si>
  <si>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</si>
  <si>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</si>
  <si>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</si>
  <si>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</si>
  <si>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</si>
  <si>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</si>
  <si>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</si>
  <si>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</si>
  <si>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</si>
  <si>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</si>
  <si>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</si>
  <si>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</si>
  <si>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</si>
  <si>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</si>
  <si>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</si>
  <si>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</si>
  <si>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</si>
  <si>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</si>
  <si>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</si>
  <si>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</si>
  <si>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</si>
  <si>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</si>
  <si>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</si>
  <si>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</si>
  <si>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</si>
  <si>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</si>
  <si>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</si>
  <si>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</si>
  <si>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</si>
  <si>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</si>
  <si>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</si>
  <si>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</si>
  <si>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</si>
  <si>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</si>
  <si>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</si>
  <si>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</si>
  <si>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</si>
  <si>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</si>
  <si>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</si>
  <si>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</si>
  <si>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</si>
  <si>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</si>
  <si>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</si>
  <si>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</si>
  <si>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</si>
  <si>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</si>
  <si>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</si>
  <si>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</si>
  <si>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</si>
  <si>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</si>
  <si>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</si>
  <si>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</si>
  <si>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</si>
  <si>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</si>
  <si>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</si>
  <si>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</si>
  <si>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</si>
  <si>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</si>
  <si>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</si>
  <si>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</si>
  <si>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</si>
  <si>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</si>
  <si>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</si>
  <si>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</si>
  <si>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</si>
  <si>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</si>
  <si>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</si>
  <si>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</si>
  <si>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</si>
  <si>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</si>
  <si>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</si>
  <si>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</si>
  <si>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</si>
  <si>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</si>
  <si>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</si>
  <si>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</si>
  <si>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</si>
  <si>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</si>
  <si>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</si>
  <si>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</si>
  <si>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</si>
  <si>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</si>
  <si>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</si>
  <si>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</si>
  <si>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</si>
  <si>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</si>
  <si>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</si>
  <si>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</si>
  <si>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</si>
  <si>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</si>
  <si>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</si>
  <si>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</si>
  <si>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</si>
  <si>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</si>
  <si>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</si>
  <si>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</si>
  <si>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</si>
  <si>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</si>
  <si>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</si>
  <si>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</si>
  <si>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</si>
  <si>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</si>
  <si>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</si>
  <si>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</si>
  <si>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</si>
  <si>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</si>
  <si>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</si>
  <si>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</si>
  <si>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</si>
  <si>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</si>
  <si>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</si>
  <si>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</si>
  <si>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</si>
  <si>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</si>
  <si>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</si>
  <si>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</si>
  <si>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</si>
  <si>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</si>
  <si>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</si>
  <si>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</si>
  <si>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</si>
  <si>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</si>
  <si>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</si>
  <si>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</si>
  <si>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</si>
  <si>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</si>
  <si>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</si>
  <si>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</si>
  <si>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</si>
  <si>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</si>
  <si>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</si>
  <si>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</si>
  <si>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</si>
  <si>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</si>
  <si>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</si>
  <si>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</si>
  <si>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</si>
  <si>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</si>
  <si>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</si>
  <si>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</si>
  <si>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</si>
  <si>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</si>
  <si>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</si>
  <si>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</si>
  <si>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</si>
  <si>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</si>
  <si>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</si>
  <si>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</si>
  <si>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</si>
  <si>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</si>
  <si>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</si>
  <si>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</si>
  <si>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</si>
  <si>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</si>
  <si>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</si>
  <si>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</si>
  <si>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</si>
  <si>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</si>
  <si>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</si>
  <si>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</si>
  <si>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</si>
  <si>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</si>
  <si>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</si>
  <si>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</si>
  <si>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</si>
  <si>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</si>
  <si>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</si>
  <si>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</si>
  <si>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</si>
  <si>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</si>
  <si>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</si>
  <si>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</si>
  <si>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</si>
  <si>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</si>
  <si>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</si>
  <si>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</si>
  <si>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</si>
  <si>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</si>
  <si>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</si>
  <si>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</si>
  <si>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</si>
  <si>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</si>
  <si>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</si>
  <si>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</si>
  <si>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</si>
  <si>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</si>
  <si>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</si>
  <si>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</si>
  <si>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</si>
  <si>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</si>
  <si>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</si>
  <si>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</si>
  <si>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</si>
  <si>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</si>
  <si>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</si>
  <si>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</si>
  <si>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</si>
  <si>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</si>
  <si>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</si>
  <si>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</si>
  <si>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</si>
  <si>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</si>
  <si>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</si>
  <si>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</si>
  <si>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</si>
  <si>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</si>
  <si>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</si>
  <si>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</si>
  <si>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</si>
  <si>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</si>
  <si>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</si>
  <si>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</si>
  <si>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</si>
  <si>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</si>
  <si>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</si>
  <si>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</si>
  <si>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</si>
  <si>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</si>
  <si>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</si>
  <si>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</si>
  <si>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</si>
  <si>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</si>
  <si>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</si>
  <si>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</si>
  <si>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</si>
  <si>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</si>
  <si>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</si>
  <si>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</si>
  <si>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</si>
  <si>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</si>
  <si>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</si>
  <si>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</si>
  <si>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</si>
  <si>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</si>
  <si>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</si>
  <si>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</si>
  <si>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</si>
  <si>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</si>
  <si>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</si>
  <si>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</si>
  <si>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</si>
  <si>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</si>
  <si>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</si>
  <si>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</si>
  <si>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</si>
  <si>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</si>
  <si>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</si>
  <si>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</si>
  <si>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</si>
  <si>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</si>
  <si>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</si>
  <si>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</si>
  <si>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</si>
  <si>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</si>
  <si>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</si>
  <si>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</si>
  <si>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</si>
  <si>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</si>
  <si>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</si>
  <si>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</si>
  <si>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</si>
  <si>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</si>
  <si>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</si>
  <si>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</si>
  <si>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</si>
  <si>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</si>
  <si>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</si>
  <si>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</si>
  <si>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</si>
  <si>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</si>
  <si>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</si>
  <si>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</si>
  <si>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</si>
  <si>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</si>
  <si>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</si>
  <si>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</si>
  <si>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</si>
  <si>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</si>
  <si>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</si>
  <si>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</si>
  <si>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</si>
  <si>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</si>
  <si>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</si>
  <si>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</si>
  <si>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</si>
  <si>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</si>
  <si>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</si>
  <si>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</si>
  <si>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</si>
  <si>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</si>
  <si>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</si>
  <si>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</si>
  <si>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</si>
  <si>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</si>
  <si>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</si>
  <si>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</si>
  <si>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</si>
  <si>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</si>
  <si>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</si>
  <si>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</si>
  <si>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</si>
  <si>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</si>
  <si>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</si>
  <si>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</si>
  <si>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</si>
  <si>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</si>
  <si>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</si>
  <si>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</si>
  <si>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</si>
  <si>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</si>
  <si>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</si>
  <si>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</si>
  <si>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</si>
  <si>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</si>
  <si>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</si>
  <si>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</si>
  <si>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</si>
  <si>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</si>
  <si>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</si>
  <si>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</si>
  <si>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</si>
  <si>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</si>
  <si>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</si>
  <si>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</si>
  <si>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</si>
  <si>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</si>
  <si>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</si>
  <si>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</si>
  <si>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</si>
  <si>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</si>
  <si>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</si>
  <si>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</si>
  <si>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</si>
  <si>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</si>
  <si>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</si>
  <si>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</si>
  <si>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</si>
  <si>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</si>
  <si>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</si>
  <si>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</si>
  <si>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</si>
  <si>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</si>
  <si>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</si>
  <si>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</si>
  <si>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</si>
  <si>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</si>
  <si>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</si>
  <si>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</si>
  <si>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</si>
  <si>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</si>
  <si>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</si>
  <si>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</si>
  <si>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</si>
  <si>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</si>
  <si>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</si>
  <si>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</si>
  <si>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</si>
  <si>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</si>
  <si>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</si>
  <si>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</si>
  <si>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</si>
  <si>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</si>
  <si>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</si>
  <si>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</si>
  <si>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</si>
  <si>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</si>
  <si>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</si>
  <si>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</si>
  <si>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</si>
  <si>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</si>
  <si>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</si>
  <si>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</si>
  <si>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</si>
  <si>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</si>
  <si>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</si>
  <si>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</si>
  <si>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</si>
  <si>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</si>
  <si>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</si>
  <si>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</si>
  <si>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</si>
  <si>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</si>
  <si>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</si>
  <si>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</si>
  <si>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</si>
  <si>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</si>
  <si>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</si>
  <si>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</si>
  <si>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</si>
  <si>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</si>
  <si>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</si>
  <si>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</si>
  <si>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</si>
  <si>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</si>
  <si>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</si>
  <si>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</si>
  <si>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</si>
  <si>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</si>
  <si>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</si>
  <si>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</si>
  <si>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</si>
  <si>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</si>
  <si>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</si>
  <si>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</si>
  <si>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</si>
  <si>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</si>
  <si>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</si>
  <si>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</si>
  <si>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</si>
  <si>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</si>
  <si>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</si>
  <si>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</si>
  <si>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</si>
  <si>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</si>
  <si>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</si>
  <si>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</si>
  <si>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</si>
  <si>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</si>
  <si>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</si>
  <si>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</si>
  <si>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</si>
  <si>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</si>
  <si>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</si>
  <si>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</si>
  <si>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</si>
  <si>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</si>
  <si>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</si>
  <si>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</si>
  <si>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</si>
  <si>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</si>
  <si>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</si>
  <si>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</si>
  <si>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</si>
  <si>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</si>
  <si>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</si>
  <si>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</si>
  <si>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</si>
  <si>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</si>
  <si>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</si>
  <si>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</si>
  <si>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</si>
  <si>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</si>
  <si>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</si>
  <si>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</si>
  <si>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</si>
  <si>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</si>
  <si>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</si>
  <si>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</si>
  <si>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</si>
  <si>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</si>
  <si>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</si>
  <si>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</si>
  <si>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</si>
  <si>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</si>
  <si>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</si>
  <si>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</si>
  <si>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</si>
  <si>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</si>
  <si>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</si>
  <si>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</si>
  <si>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</si>
  <si>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</si>
  <si>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</si>
  <si>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</si>
  <si>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</si>
  <si>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</si>
  <si>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</si>
  <si>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</si>
  <si>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</si>
  <si>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</si>
  <si>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</si>
  <si>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</si>
  <si>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</si>
  <si>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</si>
  <si>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</si>
  <si>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</si>
  <si>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</si>
  <si>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</si>
  <si>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</si>
  <si>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</si>
  <si>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</si>
  <si>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</si>
  <si>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</si>
  <si>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</si>
  <si>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</si>
  <si>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</si>
  <si>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</si>
  <si>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</si>
  <si>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</si>
  <si>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</si>
  <si>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</si>
  <si>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</si>
  <si>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</si>
  <si>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</si>
  <si>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</si>
  <si>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</si>
  <si>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</si>
  <si>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</si>
  <si>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</si>
  <si>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</si>
  <si>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</si>
  <si>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</si>
  <si>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</si>
  <si>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</si>
  <si>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</si>
  <si>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</si>
  <si>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</si>
  <si>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</si>
  <si>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</si>
  <si>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</si>
  <si>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</si>
  <si>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</si>
  <si>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</si>
  <si>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</si>
  <si>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</si>
  <si>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</si>
  <si>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</si>
  <si>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</si>
  <si>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</si>
  <si>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</si>
  <si>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</si>
  <si>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</si>
  <si>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</si>
  <si>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</si>
  <si>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</si>
  <si>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</si>
  <si>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</si>
  <si>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</si>
  <si>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</si>
  <si>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</si>
  <si>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</si>
  <si>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</si>
  <si>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</si>
  <si>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</si>
  <si>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</si>
  <si>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</si>
  <si>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</si>
  <si>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</si>
  <si>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</si>
  <si>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</si>
  <si>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</si>
  <si>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</si>
  <si>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</si>
  <si>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</si>
  <si>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</si>
  <si>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</si>
  <si>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</si>
  <si>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</si>
  <si>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</si>
  <si>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</si>
  <si>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</si>
  <si>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</si>
  <si>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</si>
  <si>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</si>
  <si>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</si>
  <si>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</si>
  <si>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</si>
  <si>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</si>
  <si>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</si>
  <si>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</si>
  <si>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</si>
  <si>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</si>
  <si>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</si>
  <si>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</si>
  <si>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</si>
  <si>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</si>
  <si>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</si>
  <si>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</si>
  <si>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</si>
  <si>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</si>
  <si>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</si>
  <si>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</si>
  <si>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</si>
  <si>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</si>
  <si>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</si>
  <si>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</si>
  <si>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</si>
  <si>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</si>
  <si>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</si>
  <si>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</si>
  <si>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</si>
  <si>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</si>
  <si>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</si>
  <si>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</si>
  <si>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</si>
  <si>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</si>
  <si>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</si>
  <si>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</si>
  <si>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</si>
  <si>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</si>
  <si>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</si>
  <si>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</si>
  <si>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</si>
  <si>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</si>
  <si>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</si>
  <si>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</si>
  <si>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</si>
  <si>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</si>
  <si>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</si>
  <si>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</si>
  <si>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</si>
  <si>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</si>
  <si>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</si>
  <si>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</si>
  <si>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</si>
  <si>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</si>
  <si>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</si>
  <si>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</si>
  <si>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</si>
  <si>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</si>
  <si>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</si>
  <si>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</si>
  <si>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</si>
  <si>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</si>
  <si>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</si>
  <si>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</si>
  <si>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</si>
  <si>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</si>
  <si>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</si>
  <si>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</si>
  <si>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</si>
  <si>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</si>
  <si>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</si>
  <si>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</si>
  <si>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</si>
  <si>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</si>
  <si>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</si>
  <si>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</si>
  <si>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</si>
  <si>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</si>
  <si>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</si>
  <si>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</si>
  <si>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</si>
  <si>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</si>
  <si>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</si>
  <si>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</si>
  <si>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</si>
  <si>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</si>
  <si>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</si>
  <si>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</si>
  <si>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</si>
  <si>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</si>
  <si>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</si>
  <si>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</si>
  <si>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</si>
  <si>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</si>
  <si>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</si>
  <si>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</si>
  <si>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</si>
  <si>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</si>
  <si>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</si>
  <si>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</si>
  <si>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</si>
  <si>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</si>
  <si>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</si>
  <si>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</si>
  <si>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</si>
  <si>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</si>
  <si>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</si>
  <si>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</si>
  <si>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</si>
  <si>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</si>
  <si>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</si>
  <si>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</si>
  <si>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</si>
  <si>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</si>
  <si>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</si>
  <si>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</si>
  <si>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</si>
  <si>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</si>
  <si>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</si>
  <si>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</si>
  <si>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</si>
  <si>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</si>
  <si>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</si>
  <si>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</si>
  <si>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</si>
  <si>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</si>
  <si>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</si>
  <si>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</si>
  <si>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</si>
  <si>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</si>
  <si>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</si>
  <si>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</si>
  <si>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</si>
  <si>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</si>
  <si>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</si>
  <si>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</si>
  <si>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</si>
  <si>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</si>
  <si>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</si>
  <si>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</si>
  <si>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</si>
  <si>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</si>
  <si>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</si>
  <si>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</si>
  <si>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</si>
  <si>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</si>
  <si>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</si>
  <si>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</si>
  <si>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</si>
  <si>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</si>
  <si>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</si>
  <si>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</si>
  <si>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</si>
  <si>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</si>
  <si>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</si>
  <si>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</si>
  <si>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</si>
  <si>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</si>
  <si>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</si>
  <si>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</si>
  <si>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</si>
  <si>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</si>
  <si>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</si>
  <si>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</si>
  <si>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</si>
  <si>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</si>
  <si>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</si>
  <si>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</si>
  <si>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</si>
  <si>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</si>
  <si>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</si>
  <si>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</si>
  <si>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</si>
  <si>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</si>
  <si>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</si>
  <si>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</si>
  <si>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</si>
  <si>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</si>
  <si>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</si>
  <si>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</si>
  <si>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</si>
  <si>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</si>
  <si>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</si>
  <si>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</si>
  <si>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</si>
  <si>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</si>
  <si>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</si>
  <si>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</si>
  <si>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</si>
  <si>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</si>
  <si>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</si>
  <si>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</si>
  <si>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</si>
  <si>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</si>
  <si>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</si>
  <si>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</si>
  <si>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</si>
  <si>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</si>
  <si>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</si>
  <si>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</si>
  <si>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</si>
  <si>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</si>
  <si>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</si>
  <si>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</si>
  <si>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</si>
  <si>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</si>
  <si>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</si>
  <si>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</si>
  <si>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</si>
  <si>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</si>
  <si>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</si>
  <si>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</si>
  <si>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</si>
  <si>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</si>
  <si>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</si>
  <si>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</si>
  <si>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</si>
  <si>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</si>
  <si>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</si>
  <si>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</si>
  <si>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</si>
  <si>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</si>
  <si>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</si>
  <si>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</si>
  <si>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</si>
  <si>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</si>
  <si>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</si>
  <si>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</si>
  <si>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</si>
  <si>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</si>
  <si>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</si>
  <si>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</si>
  <si>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</si>
  <si>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</si>
  <si>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</si>
  <si>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</si>
  <si>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</si>
  <si>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</si>
  <si>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</si>
  <si>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</si>
  <si>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</si>
  <si>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</si>
  <si>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</si>
  <si>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</si>
  <si>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</si>
  <si>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</si>
  <si>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</si>
  <si>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</si>
  <si>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</si>
  <si>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</si>
  <si>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</si>
  <si>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</si>
  <si>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</si>
  <si>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</si>
  <si>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</si>
  <si>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</si>
  <si>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</si>
  <si>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</si>
  <si>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</si>
  <si>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</si>
  <si>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</si>
  <si>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</si>
  <si>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</si>
  <si>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</si>
  <si>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</si>
  <si>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</si>
  <si>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</si>
  <si>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</si>
  <si>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</si>
  <si>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</si>
  <si>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</si>
  <si>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</si>
  <si>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</si>
  <si>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</si>
  <si>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</si>
  <si>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</si>
  <si>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</si>
  <si>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</si>
  <si>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</si>
  <si>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</si>
  <si>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</si>
  <si>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</si>
  <si>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</si>
  <si>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</si>
  <si>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</si>
  <si>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</si>
  <si>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</si>
  <si>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</si>
  <si>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</si>
  <si>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</si>
  <si>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</si>
  <si>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</si>
  <si>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</si>
  <si>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</si>
  <si>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</si>
  <si>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</si>
  <si>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</si>
  <si>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</si>
  <si>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</si>
  <si>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</si>
  <si>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</si>
  <si>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</si>
  <si>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</si>
  <si>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</si>
  <si>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</si>
  <si>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</si>
  <si>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</si>
  <si>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</si>
  <si>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</si>
  <si>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</si>
  <si>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</si>
  <si>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</si>
  <si>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</si>
  <si>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</si>
  <si>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</si>
  <si>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</si>
  <si>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</si>
  <si>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</si>
  <si>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</si>
  <si>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</si>
  <si>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</si>
  <si>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</si>
  <si>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</si>
  <si>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</si>
  <si>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</si>
  <si>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</si>
  <si>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</si>
  <si>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</si>
  <si>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</si>
  <si>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</si>
  <si>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</si>
  <si>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</si>
  <si>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</si>
  <si>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</si>
  <si>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</si>
  <si>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</si>
  <si>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</si>
  <si>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</si>
  <si>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</si>
  <si>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</si>
  <si>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</si>
  <si>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</si>
  <si>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</si>
  <si>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</si>
  <si>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</si>
  <si>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</si>
  <si>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</si>
  <si>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</si>
  <si>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</si>
  <si>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</si>
  <si>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</si>
  <si>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</si>
  <si>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</si>
  <si>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</si>
  <si>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</si>
  <si>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</si>
  <si>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</si>
  <si>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</si>
  <si>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</si>
  <si>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</si>
  <si>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</si>
  <si>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</si>
  <si>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</si>
  <si>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</si>
  <si>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</si>
  <si>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</si>
  <si>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</si>
  <si>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</si>
  <si>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</si>
  <si>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</si>
  <si>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</si>
  <si>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</si>
  <si>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</si>
  <si>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</si>
  <si>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</si>
  <si>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</si>
  <si>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</si>
  <si>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</si>
  <si>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</si>
  <si>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</si>
  <si>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</si>
  <si>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</si>
  <si>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</si>
  <si>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</si>
  <si>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</si>
  <si>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</si>
  <si>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</si>
  <si>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</si>
  <si>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</si>
  <si>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</si>
  <si>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</si>
  <si>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</si>
  <si>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</si>
  <si>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</si>
  <si>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</si>
  <si>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</si>
  <si>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</si>
  <si>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</si>
  <si>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</si>
  <si>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</si>
  <si>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</si>
  <si>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</si>
  <si>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</si>
  <si>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</si>
  <si>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</si>
  <si>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</si>
  <si>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</si>
  <si>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</si>
  <si>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</si>
  <si>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</si>
  <si>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</si>
  <si>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</si>
  <si>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</si>
  <si>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</si>
  <si>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</si>
  <si>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</si>
  <si>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</si>
  <si>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</si>
  <si>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</si>
  <si>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</si>
  <si>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</si>
  <si>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</si>
  <si>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</si>
  <si>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</si>
  <si>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</si>
  <si>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</si>
  <si>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</si>
  <si>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</si>
  <si>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</si>
  <si>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</si>
  <si>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</si>
  <si>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</si>
  <si>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</si>
  <si>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</si>
  <si>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</si>
  <si>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</si>
  <si>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</si>
  <si>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</si>
  <si>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</si>
  <si>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</si>
  <si>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</si>
  <si>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</si>
  <si>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</si>
  <si>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</si>
  <si>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</si>
  <si>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</si>
  <si>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</si>
  <si>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</si>
  <si>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</si>
  <si>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</si>
  <si>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</si>
  <si>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</si>
  <si>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</si>
  <si>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</si>
  <si>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</si>
  <si>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</si>
  <si>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</si>
  <si>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</si>
  <si>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</si>
  <si>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</si>
  <si>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</si>
  <si>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</si>
  <si>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</si>
  <si>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</si>
  <si>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</si>
  <si>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</si>
  <si>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</si>
  <si>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</si>
  <si>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</si>
  <si>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</si>
  <si>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</si>
  <si>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</si>
  <si>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</si>
  <si>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</si>
  <si>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</si>
  <si>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</si>
  <si>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</si>
  <si>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</si>
  <si>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</si>
  <si>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</si>
  <si>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</si>
  <si>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</si>
  <si>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</si>
  <si>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</si>
  <si>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</si>
  <si>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</si>
  <si>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</si>
  <si>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</si>
  <si>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</si>
  <si>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</si>
  <si>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</si>
  <si>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</si>
  <si>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</si>
  <si>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</si>
  <si>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</si>
  <si>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</si>
  <si>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</si>
  <si>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</si>
  <si>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</si>
  <si>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</si>
  <si>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</si>
  <si>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</si>
  <si>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</si>
  <si>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</si>
  <si>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</si>
  <si>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</si>
  <si>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</si>
  <si>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</si>
  <si>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</si>
  <si>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</si>
  <si>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</si>
  <si>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</si>
  <si>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</si>
  <si>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</si>
  <si>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</si>
  <si>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</si>
  <si>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</si>
  <si>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</si>
  <si>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</si>
  <si>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</si>
  <si>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</si>
  <si>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</si>
  <si>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</si>
  <si>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</si>
  <si>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</si>
  <si>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</si>
  <si>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</si>
  <si>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</si>
  <si>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</si>
  <si>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</si>
  <si>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</si>
  <si>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</si>
  <si>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</si>
  <si>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</si>
  <si>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</si>
  <si>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</si>
  <si>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</si>
  <si>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</si>
  <si>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</si>
  <si>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</si>
  <si>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</si>
  <si>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</si>
  <si>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</si>
  <si>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</si>
  <si>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</si>
  <si>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</si>
  <si>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</si>
  <si>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</si>
  <si>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</si>
  <si>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</si>
  <si>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</si>
  <si>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</si>
  <si>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</si>
  <si>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</si>
  <si>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</si>
  <si>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</si>
  <si>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</si>
  <si>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</si>
  <si>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</si>
  <si>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</si>
  <si>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</si>
  <si>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</si>
  <si>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</si>
  <si>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</si>
  <si>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</si>
  <si>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</si>
  <si>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</si>
  <si>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</si>
  <si>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</si>
  <si>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</si>
  <si>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</si>
  <si>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</si>
  <si>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</si>
  <si>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</si>
  <si>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</si>
  <si>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</si>
  <si>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</si>
  <si>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</si>
  <si>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</si>
  <si>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</si>
  <si>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</si>
  <si>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</si>
  <si>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</si>
  <si>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</si>
  <si>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</si>
  <si>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</si>
  <si>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</si>
  <si>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</si>
  <si>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</si>
  <si>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</si>
  <si>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</si>
  <si>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</si>
  <si>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</si>
  <si>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</si>
  <si>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</si>
  <si>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</si>
  <si>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</si>
  <si>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</si>
  <si>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</si>
  <si>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</si>
  <si>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</si>
  <si>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</si>
  <si>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</si>
  <si>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</si>
  <si>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</si>
  <si>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</si>
  <si>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</si>
  <si>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</si>
  <si>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</si>
  <si>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</si>
  <si>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</si>
  <si>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</si>
  <si>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</si>
  <si>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</si>
  <si>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</si>
  <si>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</si>
  <si>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</si>
  <si>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</si>
  <si>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</si>
  <si>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</si>
  <si>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</si>
  <si>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</si>
  <si>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</si>
  <si>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</si>
  <si>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</si>
  <si>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</si>
  <si>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</si>
  <si>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</si>
  <si>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</si>
  <si>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</si>
  <si>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</si>
  <si>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</si>
  <si>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</si>
  <si>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</si>
  <si>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</si>
  <si>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</si>
  <si>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</si>
  <si>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</si>
  <si>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</si>
  <si>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</si>
  <si>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</si>
  <si>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</si>
  <si>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</si>
  <si>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</si>
  <si>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</si>
  <si>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</si>
  <si>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</si>
  <si>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</si>
  <si>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</si>
  <si>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</si>
  <si>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</si>
  <si>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</si>
  <si>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</si>
  <si>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</si>
  <si>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</si>
  <si>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</si>
  <si>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</si>
  <si>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</si>
  <si>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</si>
  <si>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</si>
  <si>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</si>
  <si>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</si>
  <si>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</si>
  <si>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</si>
  <si>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</si>
  <si>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</si>
  <si>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</si>
  <si>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</si>
  <si>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</si>
  <si>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</si>
  <si>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</si>
  <si>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</si>
  <si>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</si>
  <si>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</si>
  <si>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</si>
  <si>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</si>
  <si>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</si>
  <si>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</si>
  <si>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</si>
  <si>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</si>
  <si>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</si>
  <si>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</si>
  <si>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</si>
  <si>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</si>
  <si>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</si>
  <si>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</si>
  <si>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</si>
  <si>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</si>
  <si>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</si>
  <si>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</si>
  <si>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</si>
  <si>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</si>
  <si>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</si>
  <si>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</si>
  <si>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</si>
  <si>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</si>
  <si>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</si>
  <si>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</si>
  <si>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</si>
  <si>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</si>
  <si>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</si>
  <si>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</si>
  <si>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</si>
  <si>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</si>
  <si>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</si>
  <si>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</si>
  <si>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</si>
  <si>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</si>
  <si>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</si>
  <si>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</si>
  <si>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</si>
  <si>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</si>
  <si>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</si>
  <si>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</si>
  <si>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</si>
  <si>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</si>
  <si>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</si>
  <si>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</si>
  <si>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</si>
  <si>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</si>
  <si>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</si>
  <si>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</si>
  <si>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</si>
  <si>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</si>
  <si>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</si>
  <si>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</si>
  <si>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</si>
  <si>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</si>
  <si>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</si>
  <si>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</si>
  <si>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</si>
  <si>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</si>
  <si>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</si>
  <si>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</si>
  <si>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</si>
  <si>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</si>
  <si>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</si>
  <si>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</si>
  <si>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</si>
  <si>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</si>
  <si>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</si>
  <si>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</si>
  <si>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</si>
  <si>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</si>
  <si>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</si>
  <si>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</si>
  <si>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</si>
  <si>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</si>
  <si>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</si>
  <si>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</si>
  <si>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</si>
  <si>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</si>
  <si>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</si>
  <si>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</si>
  <si>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</si>
  <si>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</si>
  <si>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</si>
  <si>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</si>
  <si>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</si>
  <si>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</si>
  <si>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</si>
  <si>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</si>
  <si>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</si>
  <si>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</si>
  <si>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</si>
  <si>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</si>
  <si>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</si>
  <si>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</si>
  <si>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</si>
  <si>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</si>
  <si>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</si>
  <si>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</si>
  <si>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</si>
  <si>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</si>
  <si>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</si>
  <si>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</si>
  <si>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</si>
  <si>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</si>
  <si>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</si>
  <si>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</si>
  <si>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</si>
  <si>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</si>
  <si>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</si>
  <si>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</si>
  <si>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</si>
  <si>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</si>
  <si>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</si>
  <si>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</si>
  <si>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</si>
  <si>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</si>
  <si>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</si>
  <si>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</si>
  <si>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</si>
  <si>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</si>
  <si>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</si>
  <si>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</si>
  <si>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</si>
  <si>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</si>
  <si>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</si>
  <si>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</si>
  <si>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</si>
  <si>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</si>
  <si>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</si>
  <si>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</si>
  <si>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</si>
  <si>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</si>
  <si>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</si>
  <si>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</si>
  <si>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</si>
  <si>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</si>
  <si>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</si>
  <si>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</si>
  <si>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</si>
  <si>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</si>
  <si>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</si>
  <si>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</si>
  <si>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</si>
  <si>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</si>
  <si>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</si>
  <si>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</si>
  <si>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</si>
  <si>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</si>
  <si>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</si>
  <si>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</si>
  <si>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</si>
  <si>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</si>
  <si>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</si>
  <si>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</si>
  <si>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</si>
  <si>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</si>
  <si>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</si>
  <si>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</si>
  <si>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</si>
  <si>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</si>
  <si>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</si>
  <si>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</si>
  <si>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</si>
  <si>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</si>
  <si>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</si>
  <si>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</si>
  <si>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</si>
  <si>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</si>
  <si>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</si>
  <si>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</si>
  <si>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</si>
  <si>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</si>
  <si>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</si>
  <si>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</si>
  <si>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</si>
  <si>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</si>
  <si>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</si>
  <si>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</si>
  <si>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</si>
  <si>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</si>
  <si>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</si>
  <si>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</si>
  <si>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</si>
  <si>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</si>
  <si>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</si>
  <si>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</si>
  <si>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</si>
  <si>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</si>
  <si>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</si>
  <si>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</si>
  <si>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</si>
  <si>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</si>
  <si>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</si>
  <si>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</si>
  <si>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</si>
  <si>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</si>
  <si>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</si>
  <si>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</si>
  <si>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</si>
  <si>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</si>
  <si>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</si>
  <si>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</si>
  <si>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</si>
  <si>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</si>
  <si>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</si>
  <si>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</si>
  <si>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</si>
  <si>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</si>
  <si>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</si>
  <si>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</si>
  <si>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</si>
  <si>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</si>
  <si>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</si>
  <si>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</si>
  <si>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</si>
  <si>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</si>
  <si>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</si>
  <si>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</si>
  <si>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</si>
  <si>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</si>
  <si>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</si>
  <si>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</si>
  <si>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</si>
  <si>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</si>
  <si>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</si>
  <si>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</si>
  <si>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</si>
  <si>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</si>
  <si>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</si>
  <si>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</si>
  <si>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</si>
  <si>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</si>
  <si>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</si>
  <si>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</si>
  <si>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</si>
  <si>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</si>
  <si>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</si>
  <si>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</si>
  <si>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</si>
  <si>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</si>
  <si>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</si>
  <si>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</si>
  <si>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</si>
  <si>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</si>
  <si>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</si>
  <si>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</si>
  <si>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</si>
  <si>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</si>
  <si>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</si>
  <si>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</si>
  <si>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</si>
  <si>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</si>
  <si>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</si>
  <si>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</si>
  <si>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</si>
  <si>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</si>
  <si>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</si>
  <si>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</si>
  <si>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</si>
  <si>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</si>
  <si>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</si>
  <si>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</si>
  <si>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</si>
  <si>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抵押</t>
  </si>
  <si>
    <t>房地产抵押价值</t>
  </si>
  <si>
    <t>其他：</t>
  </si>
  <si>
    <t>企业</t>
  </si>
  <si>
    <t>出让</t>
  </si>
  <si>
    <t>河北省</t>
    <phoneticPr fontId="6" type="noConversion"/>
  </si>
  <si>
    <t>是</t>
  </si>
  <si>
    <t>地上</t>
  </si>
  <si>
    <t>工业</t>
    <phoneticPr fontId="7" type="noConversion"/>
  </si>
  <si>
    <t>剩余土地</t>
    <phoneticPr fontId="3" type="noConversion"/>
  </si>
  <si>
    <t>建筑物</t>
    <phoneticPr fontId="3" type="noConversion"/>
  </si>
  <si>
    <t>租金</t>
    <phoneticPr fontId="3" type="noConversion"/>
  </si>
  <si>
    <t>收益法</t>
  </si>
  <si>
    <t>单位面积地价</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</si>
  <si>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</si>
  <si>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</si>
  <si>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</si>
  <si>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</si>
  <si>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</si>
  <si>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</si>
  <si>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</si>
  <si>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</si>
  <si>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</si>
  <si>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</si>
  <si>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</si>
  <si>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</si>
  <si>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</si>
  <si>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</si>
  <si>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</si>
  <si>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</si>
  <si>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</si>
  <si>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</si>
  <si>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</si>
  <si>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</si>
  <si>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</si>
  <si>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</si>
  <si>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</si>
  <si>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</si>
  <si>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</si>
  <si>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</si>
  <si>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</si>
  <si>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</si>
  <si>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</si>
  <si>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</si>
  <si>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</si>
  <si>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</si>
  <si>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</si>
  <si>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</si>
  <si>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</si>
  <si>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</si>
  <si>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</si>
  <si>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</si>
  <si>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溢价率</t>
  </si>
  <si>
    <t>出让年限</t>
  </si>
  <si>
    <t>竞报整体自持比例(%)</t>
  </si>
  <si>
    <t>竞报商品住房自持比例(%)</t>
  </si>
  <si>
    <t>竞报商办部分自持比例(%)</t>
  </si>
  <si>
    <t>土地星级</t>
  </si>
  <si>
    <t>地面单价</t>
    <phoneticPr fontId="3" type="noConversion"/>
  </si>
  <si>
    <t>中捷产业园区境内,东至沧州临港仁泰新型建材有限公司用地,南至横二路,西至纵一路,北至河北石全石美建材有限公司用地</t>
  </si>
  <si>
    <t>沧州市</t>
  </si>
  <si>
    <t>工业用地</t>
  </si>
  <si>
    <t>渤海新区</t>
  </si>
  <si>
    <t>挂牌</t>
  </si>
  <si>
    <t>B-2019-22</t>
  </si>
  <si>
    <t>大于或等于0.7并且小于或等于1.5</t>
  </si>
  <si>
    <t>小于或等于70</t>
  </si>
  <si>
    <t>小于或等于24</t>
  </si>
  <si>
    <t>未开工</t>
  </si>
  <si>
    <t>2019-10-14</t>
  </si>
  <si>
    <t>2019-11-04</t>
  </si>
  <si>
    <t>2019-11-15</t>
  </si>
  <si>
    <t>沧渤国土告字[2019]Z-13号</t>
  </si>
  <si>
    <t>已成交</t>
  </si>
  <si>
    <t>河北亿宸节能科技有限公司</t>
  </si>
  <si>
    <t>50年</t>
  </si>
  <si>
    <t>0星</t>
  </si>
  <si>
    <t>沧州临港经济技术开发区东区,东至通四路,西至国有空地,北至国有空地,南至化工四路</t>
  </si>
  <si>
    <t>C-2019-9</t>
  </si>
  <si>
    <t>大于或等于0.7</t>
  </si>
  <si>
    <t>大于或等于30</t>
  </si>
  <si>
    <t>小于或等于30</t>
  </si>
  <si>
    <t>2019-08-22</t>
  </si>
  <si>
    <t>2019-09-11</t>
  </si>
  <si>
    <t>2019-09-25</t>
  </si>
  <si>
    <t>沧渤国土告字[2019]C-05号</t>
  </si>
  <si>
    <t>河北亿达渤润科技有限公司</t>
  </si>
  <si>
    <t>沧州临港经济技术开发区西区,东至经七路,西至河北美信制药有限公司用地,北至国有空地,南至支二路</t>
  </si>
  <si>
    <t>沧县</t>
  </si>
  <si>
    <t>C-2018-34</t>
  </si>
  <si>
    <t>大于或等于1.1</t>
  </si>
  <si>
    <t>河北万岁和齐药业有限公司</t>
  </si>
  <si>
    <t>中捷产业园区境内,东至国有空地,南至沧州临港中欧绿色产业项目管理有限公司用地,西至沧州临港中欧绿色产业项目管理有限公司用地,北至国有空地</t>
  </si>
  <si>
    <t>B-2019-15</t>
  </si>
  <si>
    <t>大于或等于0.8并且小于或等于1.5</t>
  </si>
  <si>
    <t>大于或等于60</t>
  </si>
  <si>
    <t>小于或等于40</t>
  </si>
  <si>
    <t>2019-07-24</t>
  </si>
  <si>
    <t>2019-08-14</t>
  </si>
  <si>
    <t>2019-08-28</t>
  </si>
  <si>
    <t>沧州渤海新区国土资源局国有土地使用权挂牌出让公告(沧渤国土告字[2019]Z-9号)</t>
  </si>
  <si>
    <t>番茄云印文科技(沧州)有限公司</t>
  </si>
  <si>
    <t>沧州临港经济技术开发区西区,东至国有空地,南至沧州临港上元商砼有限公司用地,西至经三路,北至国有空地</t>
  </si>
  <si>
    <t>C-2019-4</t>
  </si>
  <si>
    <t>仓储用地</t>
  </si>
  <si>
    <t>大于或等于0.5并且小于或等于1.2</t>
  </si>
  <si>
    <t>小于或等于20</t>
  </si>
  <si>
    <t>2019-06-18</t>
  </si>
  <si>
    <t>2019-07-10</t>
  </si>
  <si>
    <t>沧州渤海新区国土资源局国有土地使用权挂牌出让公告(沧渤国土告字[2019]C-04号)</t>
  </si>
  <si>
    <t>沧州渤海新区瑞盈物流有限公司</t>
  </si>
  <si>
    <t>沧州临港经济技术开发区东区,东至通五路,南至国有空地,西至国有空地,北至化工二路</t>
  </si>
  <si>
    <t>C-2019-2</t>
  </si>
  <si>
    <t>大于或等于0.8</t>
  </si>
  <si>
    <t>沧州临港弘达新材料制造有限公司</t>
  </si>
  <si>
    <t>沧州临港经济技术开发区东区,北至国有空地,南至化工三路,西至通三路,东至河北金浦古纤道绿色纤维有限公司用地</t>
  </si>
  <si>
    <t>C-2018-29</t>
  </si>
  <si>
    <t>2019-06-12</t>
  </si>
  <si>
    <t>2019-07-04</t>
  </si>
  <si>
    <t>2019-07-17</t>
  </si>
  <si>
    <t>沧州渤海新区国土资源局国有土地使用权挂牌出让公告(沧渤国土告字[2019]C-03号)</t>
  </si>
  <si>
    <t>沧州垭东新材料科技有限公司</t>
  </si>
  <si>
    <t>沧州临港经济技术开发区西区,北至河北临港化工有限公司,南至河北临港化工有限公司、河北捷虹颜料化工有限公司,西至经一路,东至河北临港化工有限公司用地。</t>
  </si>
  <si>
    <t>C-2018-33</t>
  </si>
  <si>
    <t>≥0.8</t>
  </si>
  <si>
    <t>≥30%</t>
  </si>
  <si>
    <t>≤30米</t>
  </si>
  <si>
    <t>2019-01-15</t>
  </si>
  <si>
    <t>2019-02-11</t>
  </si>
  <si>
    <t>2019-02-22</t>
  </si>
  <si>
    <t>沧渤国土告字[2019]C-01号</t>
  </si>
  <si>
    <t>河北山立化工有限公司</t>
  </si>
  <si>
    <t>沧州渤海新区临港经济技术开发区西区,北至河北利鑫制药有限公司,南至河北序能生物技术有限公司用地,西至沧州市隆达化工有限公司用地,东至经五路</t>
  </si>
  <si>
    <t>C-2018-25</t>
  </si>
  <si>
    <t>≥1</t>
  </si>
  <si>
    <t>开工中</t>
  </si>
  <si>
    <t>2018-12-26</t>
  </si>
  <si>
    <t>2019-01-17</t>
  </si>
  <si>
    <t>2019-01-30</t>
  </si>
  <si>
    <t>沧渤国土告字[2018]C/20号</t>
  </si>
  <si>
    <t>河北保康洁诺医疗器械科技有限公司</t>
  </si>
  <si>
    <t>沧州渤海新区临港经济技术开发区东区,东至通四路,南至国有空地,西至国有空地,北至化工二路</t>
  </si>
  <si>
    <t>C-2018-36</t>
  </si>
  <si>
    <t>沧州康美特科技有限公司</t>
  </si>
  <si>
    <t>沧州渤海新区临港经济技术开发区东区,东至通七路,南至化工二路,西至河北丽虹涂料有限公司用地,北至国有空地</t>
  </si>
  <si>
    <t>C-2018-30</t>
  </si>
  <si>
    <t>河北荷皇生物技术有限公司</t>
  </si>
  <si>
    <t>沧州临港经济技术开发区西区,北至河北临港化工有限公司,南至纬三路,西至河北捷虹颜料化工有限公司用地,东至国有空地</t>
  </si>
  <si>
    <t>C-2018-32</t>
  </si>
  <si>
    <t>≥1.1</t>
  </si>
  <si>
    <t>2018-11-13</t>
  </si>
  <si>
    <t>2018-12-04</t>
  </si>
  <si>
    <t>2018-12-19</t>
  </si>
  <si>
    <t>沧渤国土告字[2018]C-19号</t>
  </si>
  <si>
    <t>克洛怡制药有限公司</t>
  </si>
  <si>
    <t>沧州临港经济技术开发区东区,东至国有空地,南至国有空地,西至沧州欧纳化工有限公司用地,北至化工二路</t>
  </si>
  <si>
    <t>C-2018-22</t>
  </si>
  <si>
    <t>2018-11-01</t>
  </si>
  <si>
    <t>2018-11-22</t>
  </si>
  <si>
    <t>2018-12-05</t>
  </si>
  <si>
    <t>沧渤国土告字[2018]C-18号-1</t>
  </si>
  <si>
    <t>河北天拓新材料科技有限公司</t>
  </si>
  <si>
    <t>沧州临港经济技术开发区东区,东至国有空地,南至沧州临港铭泰化工科技有限公司用地,西至沧州欧纳化工有限公司、沧州中力化工有限公司用地,北至化工二路</t>
  </si>
  <si>
    <t>C-2018-23</t>
  </si>
  <si>
    <t>沧渤国土告字[2018]C-18号-2</t>
  </si>
  <si>
    <t>河北天辰新材料科技有限公司</t>
  </si>
  <si>
    <t>沧州临港经济技术开发区东区,东至通七路,南至国有空地,西至国有空地,北至河北衡光新材料科技有限公司用地</t>
  </si>
  <si>
    <t>C-2018-31</t>
  </si>
  <si>
    <t>沧渤国土告字[2018]C-18号-4</t>
  </si>
  <si>
    <t>沧州恒泰气体有限公司</t>
  </si>
  <si>
    <t>工业</t>
    <phoneticPr fontId="33" type="noConversion"/>
  </si>
  <si>
    <t>未包含在土地购买价格中</t>
  </si>
  <si>
    <t>全部缴纳</t>
  </si>
  <si>
    <t>在建（套用方法）</t>
  </si>
  <si>
    <t>自定义</t>
  </si>
  <si>
    <t>按租金收入计税</t>
  </si>
  <si>
    <t>钢混</t>
  </si>
  <si>
    <t>非生产用房</t>
  </si>
  <si>
    <t>已全部缴纳</t>
  </si>
  <si>
    <t>成本法</t>
  </si>
  <si>
    <t>假设开发法</t>
  </si>
  <si>
    <t>沧州临港经济技术开发区西区</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</si>
</sst>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188" fontId="47" fillId="0" borderId="24" xfId="1" applyNumberFormat="1" applyFont="1" applyFill="1" applyBorder="1" applyAlignment="1" applyProtection="1">
      <alignment horizontal="center" vertical="center"/>
      <protection locked="0"/>
    </xf>
    <xf numFmtId="0" fontId="19" fillId="0" borderId="0" xfId="0" applyFont="1" applyAlignment="1"/>
    <xf numFmtId="0" fontId="120" fillId="0" borderId="0" xfId="0" applyFont="1" applyAlignment="1"/>
    <xf numFmtId="0" fontId="98" fillId="0" borderId="9" xfId="0" applyNumberFormat="1" applyFont="1" applyFill="1" applyBorder="1" applyAlignment="1" applyProtection="1">
      <alignment horizontal="center" vertical="center" wrapText="1"/>
      <protection locked="0"/>
    </xf>
    <xf numFmtId="0" fontId="56" fillId="0" borderId="0" xfId="0" applyFont="1" applyAlignment="1"/>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1214</v>
      </c>
      <c r="B1" s="1585" t="s">
        <v>1293</v>
      </c>
    </row>
    <row r="2" spans="1:2" s="1590" customFormat="1" ht="16.2" thickTop="1">
      <c r="A2" s="1588" t="s">
        <v>1215</v>
      </c>
      <c r="B2" s="1589" t="str">
        <f>'预评函-封皮'!B37:I37</f>
        <v>河北省沧州临港经济技术开发区西区出让国有建设用地使用权及在建建筑物房地产抵押价值预评估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6.2" thickBot="1">
      <c r="A5" s="1594" t="s">
        <v>1218</v>
      </c>
      <c r="B5" s="1595" t="str">
        <f>'预评函-封皮'!B49</f>
        <v>康正预评字号</v>
      </c>
    </row>
    <row r="6" spans="1:2" s="1590" customFormat="1" ht="16.2" thickTop="1">
      <c r="A6" s="1588" t="s">
        <v>1219</v>
      </c>
      <c r="B6" s="1589" t="str">
        <f>'预评函-1'!A4</f>
        <v>受贵公司委托，我公司对河北省沧州临港经济技术开发区西区出让国有建设用地使用权及在建建筑物房地产抵押价值进行了预评估。</v>
      </c>
    </row>
    <row r="7" spans="1:2" s="1593" customFormat="1">
      <c r="A7" s="1591" t="s">
        <v>1259</v>
      </c>
      <c r="B7" s="1592" t="str">
        <f>'预评函-1'!A7</f>
        <v>估价对象为河北省沧州临港经济技术开发区西区出让国有建设用地使用权及在建建筑物房地产，为所有。根据《国有土地使用证》[]，估价对象（分摊）出让国有建设用地使用权面积为27999.91平方米，建筑面积为6031.39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河北省沧州临港经济技术开发区西区出让国有建设用地使用权及在建建筑物房地产,属开发建设的，该项目尚在开发建设中。根据《国有土地使用证》[]，估价对象（分摊）出让国有建设用地使用权面积为27999.91平方米，规划建筑面积为6031.39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河北省沧州临港经济技术开发区西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2019年12月20日（评估专业人员实地查勘之日）</v>
      </c>
    </row>
    <row r="13" spans="1:2" s="1593" customFormat="1">
      <c r="A13" s="1591" t="s">
        <v>1222</v>
      </c>
      <c r="B13" s="1592" t="str">
        <f>'预评函-1'!A18</f>
        <v>本次估价的“房地产价值”是指在正常市场情况下，在价值时点2019年12月20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6.2" thickBot="1">
      <c r="A18" s="1594" t="s">
        <v>1227</v>
      </c>
      <c r="B18" s="1595" t="str">
        <f>'预评函-1'!A24</f>
        <v>本次评估采用的主估价方法为成本法和假设开发法。</v>
      </c>
    </row>
    <row r="19" spans="1:2" s="1590" customFormat="1" ht="16.2"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2597</v>
      </c>
    </row>
    <row r="21" spans="1:2" s="1593" customFormat="1">
      <c r="A21" s="1591" t="s">
        <v>1230</v>
      </c>
      <c r="B21" s="1592">
        <f ca="1">'预评函-2'!D7</f>
        <v>4306</v>
      </c>
    </row>
    <row r="22" spans="1:2" s="1593" customFormat="1">
      <c r="A22" s="1591" t="s">
        <v>1231</v>
      </c>
      <c r="B22" s="1592" t="str">
        <f ca="1">'预评函-2'!D6</f>
        <v>贰仟伍佰玖拾柒万元整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2597</v>
      </c>
    </row>
    <row r="31" spans="1:2" s="1593" customFormat="1">
      <c r="A31" s="1591" t="s">
        <v>1269</v>
      </c>
      <c r="B31" s="1592">
        <f ca="1">'预评函-2'!D15</f>
        <v>4306</v>
      </c>
    </row>
    <row r="32" spans="1:2" s="1593" customFormat="1">
      <c r="A32" s="1591" t="s">
        <v>1236</v>
      </c>
      <c r="B32" s="1592" t="str">
        <f ca="1">'预评函-2'!D14</f>
        <v>贰仟伍佰玖拾柒万元整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河北省沧州临港经济技术开发区西区出让国有建设用地使用权及在建建筑物房地产</v>
      </c>
    </row>
    <row r="42" spans="1:2" s="1593" customFormat="1" ht="31.2">
      <c r="A42" s="1591" t="s">
        <v>1283</v>
      </c>
      <c r="B42" s="1592" t="str">
        <f>'预评函-3'!B2</f>
        <v>建筑面积</v>
      </c>
    </row>
    <row r="43" spans="1:2" s="1593" customFormat="1">
      <c r="A43" s="1591" t="s">
        <v>1284</v>
      </c>
      <c r="B43" s="1592">
        <f>'预评函-3'!B4</f>
        <v>6031.39</v>
      </c>
    </row>
    <row r="44" spans="1:2" s="1593" customFormat="1" ht="31.2">
      <c r="A44" s="1591" t="s">
        <v>1268</v>
      </c>
      <c r="B44" s="1592" t="str">
        <f>'预评函-3'!C2</f>
        <v>(分摊)土地面积</v>
      </c>
    </row>
    <row r="45" spans="1:2" s="1593" customFormat="1">
      <c r="A45" s="1591" t="s">
        <v>1240</v>
      </c>
      <c r="B45" s="1592">
        <f>'预评函-3'!C4</f>
        <v>27999.91</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6.2" thickBot="1">
      <c r="A57" s="1594" t="s">
        <v>1292</v>
      </c>
      <c r="B57" s="1595" t="str">
        <f>'预评函-3'!A6</f>
        <v>估价师知悉的法定优先受偿款</v>
      </c>
    </row>
    <row r="58" spans="1:2" s="1590" customFormat="1" ht="16.2"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6.2" thickBot="1">
      <c r="A69" s="1594" t="s">
        <v>1254</v>
      </c>
      <c r="B69" s="1596">
        <f>'预评函-4'!C31</f>
        <v>42551</v>
      </c>
    </row>
    <row r="70" spans="1:2" ht="16.2" thickTop="1">
      <c r="A70" s="1597" t="s">
        <v>1255</v>
      </c>
      <c r="B70" s="1598">
        <f>'预评函-4'!A4</f>
        <v>0</v>
      </c>
    </row>
    <row r="71" spans="1:2">
      <c r="A71" s="1591" t="s">
        <v>1256</v>
      </c>
      <c r="B71" s="1592">
        <f>'预评函-4'!B4</f>
        <v>0</v>
      </c>
    </row>
    <row r="72" spans="1:2">
      <c r="A72" s="1591" t="s">
        <v>1257</v>
      </c>
      <c r="B72" s="1600">
        <f>'预评函-4'!A5</f>
        <v>0</v>
      </c>
    </row>
    <row r="73" spans="1:2" s="1587" customFormat="1" ht="16.2" thickBot="1">
      <c r="A73" s="1594" t="s">
        <v>1258</v>
      </c>
      <c r="B73" s="1595">
        <f>'预评函-4'!B5</f>
        <v>0</v>
      </c>
    </row>
    <row r="74" spans="1:2" ht="16.2"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沧州临港经济技术开发区西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5"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1" t="s">
        <v>860</v>
      </c>
      <c r="C54" s="2018" t="s">
        <v>1276</v>
      </c>
    </row>
    <row r="55" spans="1:4">
      <c r="A55" s="2995"/>
      <c r="B55" s="2021" t="s">
        <v>861</v>
      </c>
      <c r="C55" s="2018" t="s">
        <v>1277</v>
      </c>
    </row>
    <row r="56" spans="1:4">
      <c r="A56" s="2995"/>
      <c r="B56" s="2021" t="s">
        <v>862</v>
      </c>
      <c r="C56" s="2018" t="s">
        <v>1281</v>
      </c>
    </row>
    <row r="57" spans="1:4">
      <c r="A57" s="2995"/>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8671875" style="2031" customWidth="1"/>
    <col min="2" max="2" width="13.44140625" style="2031" customWidth="1"/>
    <col min="3" max="3" width="11.44140625" style="2031" customWidth="1"/>
    <col min="4" max="4" width="13" style="2031" customWidth="1"/>
    <col min="5" max="6" width="10" style="2031" customWidth="1"/>
    <col min="7" max="7" width="10.77734375" style="2031" customWidth="1"/>
    <col min="8" max="8" width="10" style="2031" customWidth="1"/>
    <col min="9" max="9" width="11.10937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2996" t="str">
        <f>IF(B10="北京市","北京市",C10)&amp;F10&amp;IF(结果表!G1="在建","出让国有建设用地使用权及在建建筑物",IF(结果表!G1="土地","出让国有建设用地使用权",))&amp;B9&amp;"预评估"</f>
        <v>河北省沧州临港经济技术开发区西区出让国有建设用地使用权及在建建筑物房地产抵押价值预评估</v>
      </c>
      <c r="C1" s="2997"/>
      <c r="D1" s="2997"/>
      <c r="E1" s="2997"/>
      <c r="F1" s="2997"/>
      <c r="G1" s="2997"/>
      <c r="H1" s="2997"/>
      <c r="I1" s="299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河北省沧州临港经济技术开发区西区出让国有建设用地使用权及在建建筑物房地产抵押价值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河北省沧州临港经济技术开发区西区出让国有建设用地使用权及在建建筑物房地产</v>
      </c>
    </row>
    <row r="3" spans="1:19" ht="18" customHeight="1">
      <c r="A3" s="2034" t="s">
        <v>1772</v>
      </c>
      <c r="B3" s="2035">
        <v>43819</v>
      </c>
      <c r="C3" s="2036" t="s">
        <v>1773</v>
      </c>
      <c r="D3" s="2035">
        <f>B3</f>
        <v>43819</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3054</v>
      </c>
      <c r="C8" s="2055"/>
      <c r="D8" s="2999" t="s">
        <v>1779</v>
      </c>
      <c r="E8" s="2056" t="s">
        <v>3055</v>
      </c>
      <c r="F8" s="2057"/>
      <c r="G8" s="2025"/>
      <c r="H8" s="2025"/>
      <c r="I8" s="2025"/>
      <c r="J8" s="2041"/>
      <c r="K8" s="2042"/>
      <c r="L8" s="2027"/>
      <c r="M8" s="2027"/>
      <c r="N8" s="2028"/>
      <c r="O8" s="2029"/>
      <c r="P8" s="2028"/>
      <c r="Q8" s="2028"/>
      <c r="R8" s="2028"/>
    </row>
    <row r="9" spans="1:19" ht="18" customHeight="1" thickBot="1">
      <c r="A9" s="2039" t="s">
        <v>1780</v>
      </c>
      <c r="B9" s="2058" t="s">
        <v>3055</v>
      </c>
      <c r="C9" s="2059"/>
      <c r="D9" s="3000"/>
      <c r="E9" s="2058" t="s">
        <v>70</v>
      </c>
      <c r="F9" s="2060"/>
      <c r="G9" s="2061"/>
      <c r="H9" s="2061"/>
      <c r="I9" s="2061"/>
      <c r="J9" s="2041"/>
      <c r="K9" s="2053"/>
      <c r="L9" s="2027"/>
      <c r="M9" s="2027"/>
      <c r="N9" s="2028"/>
      <c r="O9" s="2029"/>
      <c r="P9" s="2028"/>
      <c r="Q9" s="2028"/>
      <c r="R9" s="2028"/>
    </row>
    <row r="10" spans="1:19" ht="18" customHeight="1" thickTop="1">
      <c r="A10" s="2062" t="s">
        <v>1781</v>
      </c>
      <c r="B10" s="2063" t="s">
        <v>3056</v>
      </c>
      <c r="C10" s="3281" t="s">
        <v>3059</v>
      </c>
      <c r="D10" s="2046"/>
      <c r="E10" s="2064" t="s">
        <v>1782</v>
      </c>
      <c r="F10" s="3282" t="s">
        <v>3235</v>
      </c>
      <c r="G10" s="2065"/>
      <c r="H10" s="2066"/>
      <c r="I10" s="2046"/>
      <c r="J10" s="2041"/>
      <c r="K10" s="2053"/>
      <c r="L10" s="2027"/>
      <c r="M10" s="2027"/>
      <c r="N10" s="2028"/>
      <c r="O10" s="2029"/>
      <c r="P10" s="2028"/>
      <c r="Q10" s="2028"/>
      <c r="R10" s="2028"/>
    </row>
    <row r="11" spans="1:19" ht="18" customHeight="1">
      <c r="A11" s="2067" t="s">
        <v>1783</v>
      </c>
      <c r="B11" s="2068" t="s">
        <v>3057</v>
      </c>
      <c r="C11" s="2069"/>
      <c r="D11" s="2070"/>
      <c r="E11" s="2041"/>
      <c r="F11" s="2041"/>
      <c r="G11" s="2041"/>
      <c r="H11" s="2041"/>
      <c r="I11" s="2041"/>
      <c r="J11" s="2041"/>
      <c r="K11" s="2053"/>
      <c r="L11" s="2027"/>
      <c r="M11" s="2027"/>
      <c r="N11" s="2028"/>
      <c r="O11" s="2029"/>
      <c r="P11" s="2028"/>
      <c r="Q11" s="2028"/>
      <c r="R11" s="2028"/>
    </row>
    <row r="12" spans="1:19" ht="18" customHeight="1">
      <c r="A12" s="2071" t="s">
        <v>1784</v>
      </c>
      <c r="B12" s="2068" t="s">
        <v>3058</v>
      </c>
      <c r="C12" s="2072" t="s">
        <v>1785</v>
      </c>
      <c r="D12" s="2073" t="s">
        <v>1786</v>
      </c>
      <c r="E12" s="2073" t="s">
        <v>1787</v>
      </c>
      <c r="F12" s="2073" t="s">
        <v>1788</v>
      </c>
      <c r="G12" s="2073" t="s">
        <v>1789</v>
      </c>
      <c r="H12" s="2073" t="s">
        <v>1790</v>
      </c>
      <c r="I12" s="2073" t="s">
        <v>1791</v>
      </c>
      <c r="J12" s="2041"/>
      <c r="K12" s="2053"/>
      <c r="L12" s="2027"/>
      <c r="M12" s="2027"/>
      <c r="N12" s="2028"/>
      <c r="O12" s="2029"/>
      <c r="P12" s="2028"/>
      <c r="Q12" s="2028"/>
      <c r="R12" s="2028"/>
    </row>
    <row r="13" spans="1:19" ht="18" customHeight="1">
      <c r="A13" s="2074"/>
      <c r="B13" s="2075"/>
      <c r="C13" s="2076" t="s">
        <v>1792</v>
      </c>
      <c r="D13" s="2077"/>
      <c r="E13" s="2077"/>
      <c r="F13" s="2077"/>
      <c r="G13" s="2077"/>
      <c r="H13" s="2077"/>
      <c r="I13" s="1047">
        <v>60762</v>
      </c>
      <c r="J13" s="2041"/>
      <c r="K13" s="2053"/>
      <c r="L13" s="2027"/>
      <c r="M13" s="2027"/>
      <c r="N13" s="2028"/>
      <c r="O13" s="2029"/>
      <c r="P13" s="2028"/>
      <c r="Q13" s="2028"/>
      <c r="R13" s="2028"/>
    </row>
    <row r="14" spans="1:19" ht="18" customHeight="1">
      <c r="A14" s="2074"/>
      <c r="B14" s="2075"/>
      <c r="C14" s="2076" t="s">
        <v>1793</v>
      </c>
      <c r="D14" s="1050"/>
      <c r="E14" s="1050"/>
      <c r="F14" s="1050"/>
      <c r="G14" s="1050"/>
      <c r="H14" s="1050"/>
      <c r="I14" s="1050">
        <v>50</v>
      </c>
      <c r="J14" s="2041"/>
      <c r="K14" s="2078"/>
      <c r="L14" s="2027"/>
      <c r="M14" s="2027"/>
      <c r="N14" s="2028"/>
      <c r="O14" s="2029"/>
      <c r="P14" s="2028"/>
      <c r="Q14" s="2028"/>
      <c r="R14" s="2028"/>
    </row>
    <row r="15" spans="1:19" ht="18" customHeight="1">
      <c r="A15" s="2062"/>
      <c r="B15" s="2079"/>
      <c r="C15" s="2076"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46.41</v>
      </c>
      <c r="J15" s="2041"/>
      <c r="K15" s="2080"/>
      <c r="L15" s="2081"/>
      <c r="M15" s="2081"/>
      <c r="N15" s="2082"/>
      <c r="O15" s="2081"/>
      <c r="P15" s="2082"/>
      <c r="Q15" s="2028"/>
      <c r="R15" s="2028"/>
    </row>
    <row r="16" spans="1:19" ht="30.75" customHeight="1">
      <c r="A16" s="2064" t="s">
        <v>1795</v>
      </c>
      <c r="B16" s="3006"/>
      <c r="C16" s="3007"/>
      <c r="D16" s="3008"/>
      <c r="E16" s="2083" t="s">
        <v>1796</v>
      </c>
      <c r="F16" s="3009"/>
      <c r="G16" s="3010"/>
      <c r="H16" s="3010"/>
      <c r="I16" s="3011"/>
      <c r="J16" s="2028"/>
      <c r="K16" s="2080"/>
      <c r="L16" s="2081"/>
      <c r="M16" s="2081"/>
      <c r="N16" s="2082"/>
      <c r="O16" s="2081"/>
      <c r="P16" s="2082"/>
      <c r="Q16" s="2028"/>
      <c r="R16" s="2028"/>
    </row>
    <row r="17" spans="1:22" ht="18" customHeight="1">
      <c r="A17" s="2084" t="s">
        <v>1797</v>
      </c>
      <c r="B17" s="2034" t="s">
        <v>1798</v>
      </c>
      <c r="C17" s="1054">
        <f>'数据-汇总表'!E3</f>
        <v>6031.39</v>
      </c>
      <c r="D17" s="2085" t="s">
        <v>1799</v>
      </c>
      <c r="E17" s="3012" t="s">
        <v>1800</v>
      </c>
      <c r="F17" s="3013"/>
      <c r="G17" s="3013"/>
      <c r="H17" s="3013"/>
      <c r="I17" s="3014"/>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27999.91</v>
      </c>
      <c r="D18" s="2088" t="s">
        <v>1799</v>
      </c>
      <c r="E18" s="3015" t="s">
        <v>1803</v>
      </c>
      <c r="F18" s="3016"/>
      <c r="G18" s="3016"/>
      <c r="H18" s="3016"/>
      <c r="I18" s="3017"/>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c r="D19" s="2090" t="s">
        <v>1806</v>
      </c>
      <c r="E19" s="2091"/>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1807</v>
      </c>
      <c r="B20" s="3002" t="s">
        <v>1808</v>
      </c>
      <c r="C20" s="3003"/>
      <c r="D20" s="3004" t="s">
        <v>1809</v>
      </c>
      <c r="E20" s="3005"/>
      <c r="F20" s="2095" t="s">
        <v>1810</v>
      </c>
      <c r="G20" s="2041"/>
      <c r="H20" s="2041"/>
      <c r="I20" s="2041"/>
      <c r="J20" s="2041"/>
      <c r="K20" s="300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19" t="s">
        <v>1823</v>
      </c>
      <c r="B27" s="2062" t="s">
        <v>1824</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19"/>
      <c r="B28" s="2034" t="s">
        <v>1825</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19"/>
      <c r="B29" s="2034" t="s">
        <v>1826</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20"/>
      <c r="B30" s="2034" t="s">
        <v>1827</v>
      </c>
      <c r="C30" s="3021"/>
      <c r="D30" s="3022"/>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23" t="s">
        <v>1828</v>
      </c>
      <c r="B31" s="2124"/>
      <c r="C31" s="2125" t="str">
        <f>IF(B31="现房","成新及维护状况正常否",IF(B31="在建","工程状态是否正常",IF(B31="土地","是否闲置","-")))</f>
        <v>-</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24"/>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24"/>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18" t="s">
        <v>1837</v>
      </c>
      <c r="T34" s="2132" t="str">
        <f>NUMBERSTRING(7-K34,1)&amp;"通"</f>
        <v>七通</v>
      </c>
      <c r="U34" s="2028"/>
      <c r="V34" s="2028"/>
    </row>
    <row r="35" spans="1:22" ht="18" customHeight="1">
      <c r="A35" s="2133"/>
      <c r="B35" s="3025" t="s">
        <v>1838</v>
      </c>
      <c r="C35" s="3025"/>
      <c r="D35" s="3025"/>
      <c r="E35" s="3025"/>
      <c r="F35" s="2134" t="str">
        <f>C10</f>
        <v>河北省</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8"/>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1843</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1844</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27999.91</v>
      </c>
      <c r="B3" s="14">
        <f>IF(C3="否",G5-AT5,G5)</f>
        <v>6031.39</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1874</v>
      </c>
      <c r="B5" s="1803"/>
      <c r="C5" s="1803"/>
      <c r="D5" s="1806"/>
      <c r="E5" s="16" t="s">
        <v>1</v>
      </c>
      <c r="F5" s="16">
        <f>SUM(F13:F587)</f>
        <v>0</v>
      </c>
      <c r="G5" s="16">
        <f>SUM(G13:G587)</f>
        <v>6031.39</v>
      </c>
      <c r="H5" s="16">
        <f t="shared" ref="H5:AT5" si="0">SUM(H13:H656)</f>
        <v>6031.39</v>
      </c>
      <c r="I5" s="16">
        <f t="shared" si="0"/>
        <v>6031.39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6031.39</v>
      </c>
      <c r="BA5" s="18">
        <f t="shared" si="1"/>
        <v>6031.39</v>
      </c>
      <c r="BB5" s="18">
        <f t="shared" si="1"/>
        <v>6031.39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1875</v>
      </c>
      <c r="B6" s="2172"/>
      <c r="C6" s="2172"/>
      <c r="D6" s="2173"/>
      <c r="E6" s="16">
        <f>H6+AC6+AT6</f>
        <v>27999.91</v>
      </c>
      <c r="F6" s="16" t="s">
        <v>1</v>
      </c>
      <c r="G6" s="16" t="s">
        <v>2</v>
      </c>
      <c r="H6" s="20">
        <f>SUMIF(I$12:AB$12,"总值",I6:AB6)</f>
        <v>27999.91</v>
      </c>
      <c r="I6" s="16">
        <f t="shared" ref="I6:AB6" si="2">ROUND($A$3*I5/$B$3,2)</f>
        <v>27999.91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27999.91</v>
      </c>
      <c r="AZ6" s="16" t="s">
        <v>3</v>
      </c>
      <c r="BA6" s="16">
        <f>ROUND($AY$6*BA5/$AZ$5,2)</f>
        <v>27999.91</v>
      </c>
      <c r="BB6" s="16">
        <f>ROUND($AY$6*BB5/$AZ$5,2)</f>
        <v>27999.91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3.2">
      <c r="A9" s="2180"/>
      <c r="B9" s="2180"/>
      <c r="C9" s="2180"/>
      <c r="D9" s="2180"/>
      <c r="E9" s="2180"/>
      <c r="F9" s="2180"/>
      <c r="G9" s="1292"/>
      <c r="H9" s="2188" t="s">
        <v>1894</v>
      </c>
      <c r="I9" s="2189" t="s">
        <v>3061</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3.2">
      <c r="A10" s="2180"/>
      <c r="B10" s="2180"/>
      <c r="C10" s="2180"/>
      <c r="D10" s="2180"/>
      <c r="E10" s="2180"/>
      <c r="F10" s="2180"/>
      <c r="G10" s="1292"/>
      <c r="H10" s="28"/>
      <c r="I10" s="2189" t="s">
        <v>6</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3.2">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3.2">
      <c r="A13" s="1272"/>
      <c r="B13" s="1272"/>
      <c r="C13" s="1272"/>
      <c r="D13" s="2211" t="s">
        <v>3060</v>
      </c>
      <c r="E13" s="16">
        <f>IF($C$3="是",ROUND($A$3*G13/$B$3,2),ROUND($A$3*(G13-AT13)/$B$3,2))</f>
        <v>27999.91</v>
      </c>
      <c r="F13" s="32"/>
      <c r="G13" s="33">
        <f>H13+AC13+AT13</f>
        <v>6031.39</v>
      </c>
      <c r="H13" s="20">
        <f>SUMIF(I$12:AB$12,"总值",I13:AB13)</f>
        <v>6031.39</v>
      </c>
      <c r="I13" s="2212">
        <v>6031.39</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27999.91</v>
      </c>
      <c r="AZ13" s="16">
        <f>BA13+BL13</f>
        <v>6031.39</v>
      </c>
      <c r="BA13" s="16">
        <f>SUM(BB13:BK13)</f>
        <v>6031.39</v>
      </c>
      <c r="BB13" s="16">
        <f>IF($D13="是",I13-J13,0)</f>
        <v>6031.39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46.8">
      <c r="A3" s="3026"/>
      <c r="B3" s="3026"/>
      <c r="C3" s="3026"/>
      <c r="D3" s="3027"/>
      <c r="E3" s="302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1933</v>
      </c>
      <c r="B1" s="1392"/>
      <c r="C1" s="1392"/>
      <c r="D1" s="1392"/>
      <c r="E1" s="1392"/>
      <c r="F1" s="1392"/>
      <c r="G1" s="1392"/>
      <c r="H1" s="1392"/>
      <c r="I1" s="1392"/>
      <c r="J1" s="1392"/>
      <c r="K1" s="1392"/>
      <c r="L1" s="1392"/>
      <c r="M1" s="1392"/>
      <c r="N1" s="1392"/>
      <c r="O1" s="1392"/>
      <c r="P1" s="1392"/>
    </row>
    <row r="2" spans="1:16" ht="14.4">
      <c r="A2" s="3037" t="s">
        <v>1934</v>
      </c>
      <c r="B2" s="3037"/>
      <c r="C2" s="3037"/>
      <c r="D2" s="967" t="s">
        <v>1910</v>
      </c>
      <c r="E2" s="2225" t="s">
        <v>1911</v>
      </c>
      <c r="F2" s="1392"/>
      <c r="G2" s="2226"/>
      <c r="H2" s="2227"/>
      <c r="I2" s="2228" t="s">
        <v>1935</v>
      </c>
      <c r="J2" s="1392"/>
      <c r="K2" s="1392"/>
      <c r="L2" s="1392"/>
      <c r="M2" s="1392"/>
      <c r="N2" s="1427"/>
      <c r="O2" s="1392"/>
      <c r="P2" s="1392"/>
    </row>
    <row r="3" spans="1:16" ht="15" thickBot="1">
      <c r="A3" s="3038" t="s">
        <v>1908</v>
      </c>
      <c r="B3" s="3038"/>
      <c r="C3" s="3038"/>
      <c r="D3" s="46">
        <f>'数据-基础表'!AY6</f>
        <v>27999.91</v>
      </c>
      <c r="E3" s="46">
        <f>'数据-基础表'!AZ5</f>
        <v>6031.39</v>
      </c>
      <c r="F3" s="1392"/>
      <c r="G3" s="1399"/>
      <c r="H3" s="1247" t="s">
        <v>1909</v>
      </c>
      <c r="I3" s="55">
        <f>ROUND('数据-基础表'!B3/'数据-基础表'!A3,2)</f>
        <v>0.22</v>
      </c>
      <c r="J3" s="1392"/>
      <c r="K3" s="1392"/>
      <c r="L3" s="1392"/>
      <c r="M3" s="1392"/>
      <c r="N3" s="1427"/>
      <c r="O3" s="1392"/>
      <c r="P3" s="1392"/>
    </row>
    <row r="4" spans="1:16" ht="14.4">
      <c r="A4" s="3039"/>
      <c r="B4" s="3040"/>
      <c r="C4" s="3041"/>
      <c r="D4" s="2229" t="s">
        <v>1910</v>
      </c>
      <c r="E4" s="2230" t="s">
        <v>1911</v>
      </c>
      <c r="F4" s="1392"/>
      <c r="G4" s="2231" t="s">
        <v>1936</v>
      </c>
      <c r="H4" s="1247" t="s">
        <v>1916</v>
      </c>
      <c r="I4" s="55">
        <f>ROUND(SUMIF('数据-基础表'!I9:AS9,"地上",'数据-基础表'!I5:AS5)/'数据-基础表'!A3,2)</f>
        <v>0.22</v>
      </c>
      <c r="J4" s="1392"/>
      <c r="K4" s="1392"/>
      <c r="L4" s="1392"/>
      <c r="M4" s="1392"/>
      <c r="N4" s="1427"/>
      <c r="O4" s="1392"/>
      <c r="P4" s="1392"/>
    </row>
    <row r="5" spans="1:16" ht="14.4">
      <c r="A5" s="47" t="s">
        <v>1912</v>
      </c>
      <c r="B5" s="3042" t="s">
        <v>1913</v>
      </c>
      <c r="C5" s="3042"/>
      <c r="D5" s="48">
        <f>ROUND($D$3*E5/$E$3,2)</f>
        <v>0</v>
      </c>
      <c r="E5" s="49">
        <f>SUMIF('数据-基础表'!$11:$11,"住宅",'数据-基础表'!$5:$5)</f>
        <v>0</v>
      </c>
      <c r="F5" s="1392"/>
      <c r="G5" s="1399"/>
      <c r="H5" s="1247" t="s">
        <v>1909</v>
      </c>
      <c r="I5" s="55">
        <f>ROUND(E31/D31,2)</f>
        <v>0.22</v>
      </c>
      <c r="J5" s="1392"/>
      <c r="K5" s="1392"/>
      <c r="L5" s="1392"/>
      <c r="M5" s="1392"/>
      <c r="N5" s="1392"/>
      <c r="O5" s="1392"/>
      <c r="P5" s="1392"/>
    </row>
    <row r="6" spans="1:16" ht="15" thickBot="1">
      <c r="A6" s="2232"/>
      <c r="B6" s="3042" t="s">
        <v>1914</v>
      </c>
      <c r="C6" s="3042"/>
      <c r="D6" s="48">
        <f>ROUND($D$3*E6/$E$3,2)</f>
        <v>27999.91</v>
      </c>
      <c r="E6" s="49">
        <f>E3-E5</f>
        <v>6031.39</v>
      </c>
      <c r="F6" s="1392"/>
      <c r="G6" s="2233" t="s">
        <v>1915</v>
      </c>
      <c r="H6" s="1399" t="s">
        <v>1916</v>
      </c>
      <c r="I6" s="939">
        <f>ROUND(F31/D31,2)</f>
        <v>0.22</v>
      </c>
      <c r="J6" s="1392"/>
      <c r="K6" s="1392"/>
      <c r="L6" s="1392"/>
      <c r="M6" s="1392"/>
      <c r="N6" s="1392"/>
      <c r="O6" s="1392"/>
      <c r="P6" s="1392"/>
    </row>
    <row r="7" spans="1:16" ht="14.4">
      <c r="A7" s="3034"/>
      <c r="B7" s="3035"/>
      <c r="C7" s="3036"/>
      <c r="D7" s="2229" t="s">
        <v>1910</v>
      </c>
      <c r="E7" s="2234" t="s">
        <v>1917</v>
      </c>
      <c r="F7" s="1392"/>
      <c r="G7" s="2226" t="s">
        <v>1918</v>
      </c>
      <c r="H7" s="64"/>
      <c r="I7" s="420"/>
      <c r="J7" s="1392"/>
      <c r="K7" s="1392"/>
      <c r="L7" s="1392"/>
      <c r="M7" s="1392"/>
      <c r="N7" s="1392"/>
      <c r="O7" s="1392"/>
      <c r="P7" s="1392"/>
    </row>
    <row r="8" spans="1:16" ht="14.4">
      <c r="A8" s="47" t="s">
        <v>1919</v>
      </c>
      <c r="B8" s="50" t="s">
        <v>1920</v>
      </c>
      <c r="C8" s="48" t="s">
        <v>1921</v>
      </c>
      <c r="D8" s="48">
        <f t="shared" ref="D8:D15" si="0">ROUND($D$3*E8/$E$3,2)</f>
        <v>27999.91</v>
      </c>
      <c r="E8" s="51">
        <f>SUMIF('数据-基础表'!BB10:BK10,"地上",'数据-基础表'!BB5:BK5)</f>
        <v>6031.39</v>
      </c>
      <c r="F8" s="1392"/>
      <c r="G8" s="2235"/>
      <c r="H8" s="2235"/>
      <c r="I8" s="1392"/>
      <c r="J8" s="1392"/>
      <c r="K8" s="1392"/>
      <c r="L8" s="1392"/>
      <c r="M8" s="1392"/>
      <c r="N8" s="1392"/>
      <c r="O8" s="1392"/>
      <c r="P8" s="1392"/>
    </row>
    <row r="9" spans="1:16" ht="14.4">
      <c r="A9" s="2236"/>
      <c r="B9" s="2237"/>
      <c r="C9" s="48" t="s">
        <v>1922</v>
      </c>
      <c r="D9" s="48">
        <f t="shared" si="0"/>
        <v>0</v>
      </c>
      <c r="E9" s="52">
        <v>0</v>
      </c>
      <c r="F9" s="1392"/>
      <c r="G9" s="2235"/>
      <c r="H9" s="2235"/>
      <c r="I9" s="1392"/>
      <c r="J9" s="1392"/>
      <c r="K9" s="1392"/>
      <c r="L9" s="1392"/>
      <c r="M9" s="1392"/>
      <c r="N9" s="1392"/>
      <c r="O9" s="1392"/>
      <c r="P9" s="1392"/>
    </row>
    <row r="10" spans="1:16" ht="14.4">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ht="14.4">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ht="14.4">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ht="14.4">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ht="14.4">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1926</v>
      </c>
      <c r="D16" s="50">
        <f>SUM(D8:D15)</f>
        <v>27999.91</v>
      </c>
      <c r="E16" s="53">
        <f>SUM(E8:E15)</f>
        <v>6031.39</v>
      </c>
      <c r="F16" s="1392"/>
      <c r="G16" s="2235"/>
      <c r="H16" s="2238" t="s">
        <v>1938</v>
      </c>
      <c r="I16" s="2239"/>
      <c r="J16" s="1392"/>
      <c r="K16" s="3031" t="s">
        <v>1938</v>
      </c>
      <c r="L16" s="3032"/>
      <c r="M16" s="3032"/>
      <c r="N16" s="3032"/>
      <c r="O16" s="3032"/>
      <c r="P16" s="3033"/>
    </row>
    <row r="17" spans="1:19" ht="14.4">
      <c r="A17" s="2240" t="s">
        <v>1939</v>
      </c>
      <c r="B17" s="2241" t="s">
        <v>1940</v>
      </c>
      <c r="C17" s="2242" t="s">
        <v>1941</v>
      </c>
      <c r="D17" s="2243" t="s">
        <v>1929</v>
      </c>
      <c r="E17" s="2244" t="s">
        <v>1930</v>
      </c>
      <c r="F17" s="2245"/>
      <c r="G17" s="2246"/>
      <c r="H17" s="2247" t="s">
        <v>1942</v>
      </c>
      <c r="I17" s="2248" t="s">
        <v>1927</v>
      </c>
      <c r="J17" s="1392"/>
      <c r="K17" s="3028" t="s">
        <v>1943</v>
      </c>
      <c r="L17" s="3029"/>
      <c r="M17" s="3030"/>
      <c r="N17" s="3028" t="s">
        <v>1944</v>
      </c>
      <c r="O17" s="3029"/>
      <c r="P17" s="3030"/>
      <c r="R17" s="2226" t="s">
        <v>1945</v>
      </c>
      <c r="S17" s="64"/>
    </row>
    <row r="18" spans="1:19" ht="14.4">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ht="14.4">
      <c r="A19" s="2257"/>
      <c r="B19" s="50" t="s">
        <v>1928</v>
      </c>
      <c r="C19" s="3283" t="s">
        <v>3062</v>
      </c>
      <c r="D19" s="48">
        <f>ROUND($D$3*E19/$E$3,2)</f>
        <v>27999.91</v>
      </c>
      <c r="E19" s="56">
        <f t="shared" ref="E19:E26" si="1">SUM(F19:G19)</f>
        <v>6031.39</v>
      </c>
      <c r="F19" s="57">
        <f>'数据-基础表'!I5</f>
        <v>6031.39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27999.91</v>
      </c>
      <c r="S19" s="1248">
        <f t="shared" si="5"/>
        <v>6031.39</v>
      </c>
    </row>
    <row r="20" spans="1:19" ht="14.4">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ht="14.4">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ht="14.4">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ht="14.4">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ht="14.4">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ht="14.4">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 thickBot="1">
      <c r="A27" s="2261"/>
      <c r="B27" s="48"/>
      <c r="C27" s="2264" t="s">
        <v>1957</v>
      </c>
      <c r="D27" s="1393">
        <f>SUM(D19:D26)</f>
        <v>27999.91</v>
      </c>
      <c r="E27" s="1394">
        <f>IF(SUM(E19:E26)='数据-基础表'!BA5,SUM(E19:E26),IF(F27="地上面积有误","面积有误","地下面积有误"))</f>
        <v>6031.39</v>
      </c>
      <c r="F27" s="1393">
        <f>IF(SUM(F19:F26)=E8,SUM(F19:F26),"地上面积有误")</f>
        <v>6031.39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27999.91</v>
      </c>
      <c r="S27" s="1247">
        <f>IF(SUM(S19:S26)=$E$3,SUM(S19:S26),SUM(S19:S26)&amp;"误差"&amp;ROUND(SUM(S19:S26)-E3,2))</f>
        <v>6031.39</v>
      </c>
    </row>
    <row r="28" spans="1:19" ht="14.4">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7"/>
      <c r="B31" s="2268"/>
      <c r="C31" s="1007" t="s">
        <v>1961</v>
      </c>
      <c r="D31" s="729">
        <f>D27+D30</f>
        <v>27999.91</v>
      </c>
      <c r="E31" s="729">
        <f>E27+E30</f>
        <v>6031.39</v>
      </c>
      <c r="F31" s="730">
        <f>F27+F30</f>
        <v>6031.39</v>
      </c>
      <c r="G31" s="731">
        <f>G27+G30</f>
        <v>0</v>
      </c>
      <c r="H31" s="1392"/>
      <c r="I31" s="1392"/>
      <c r="J31" s="1392"/>
      <c r="K31" s="1392"/>
      <c r="L31" s="1392"/>
      <c r="M31" s="1392"/>
      <c r="N31" s="1392"/>
      <c r="O31" s="1392"/>
      <c r="P31" s="1392"/>
    </row>
    <row r="32" spans="1:19" ht="14.4">
      <c r="A32" s="2231"/>
      <c r="B32" s="2231" t="s">
        <v>1962</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9.88671875" style="2273" customWidth="1"/>
    <col min="22" max="22" width="6.33203125" style="2273" customWidth="1"/>
    <col min="23" max="24" width="6.77734375" style="2273" customWidth="1"/>
    <col min="25" max="25" width="8.21875"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4" t="s">
        <v>1964</v>
      </c>
      <c r="B2" s="1266">
        <f>项目基本情况!D3</f>
        <v>43819</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3.8">
      <c r="A6" s="2304" t="str">
        <f>'数据-汇总表'!C19</f>
        <v>工业</v>
      </c>
      <c r="B6" s="2305" t="str">
        <f>IF(A6=0,"","经营性")</f>
        <v>经营性</v>
      </c>
      <c r="C6" s="2306" t="s">
        <v>6</v>
      </c>
      <c r="D6" s="1051">
        <f>SUMIF(项目基本情况!D$12:I$12,C6,项目基本情况!D$14:I$14)</f>
        <v>50</v>
      </c>
      <c r="E6" s="1048">
        <f>IF(B6="","",SUMIF(项目基本情况!D$12:I$12,C6,项目基本情况!D$13:I$13))</f>
        <v>60762</v>
      </c>
      <c r="F6" s="72">
        <f>SUMIF(项目基本情况!D$12:I$12,C6,项目基本情况!D$15:I$15)</f>
        <v>46.41</v>
      </c>
      <c r="G6" s="73">
        <f>IF(ISERROR(ROUND(POWER(1+H6,D6-F6)*(POWER(1+H6,F6)-1)/(POWER(1+H6,D6)-1),3)),0,ROUND(POWER(1+H6,D6-F6)*(POWER(1+H6,F6)-1)/(POWER(1+H6,D6)-1),3))</f>
        <v>0.97899999999999998</v>
      </c>
      <c r="H6" s="802">
        <v>4.4999999999999998E-2</v>
      </c>
      <c r="I6" s="802">
        <v>0.05</v>
      </c>
      <c r="J6" s="74">
        <v>8.5000000000000006E-2</v>
      </c>
      <c r="K6" s="1251">
        <f>SUMIF('数据-汇总表'!C$19:C$33,A6,'数据-汇总表'!E$19:E$33)</f>
        <v>6031.39</v>
      </c>
      <c r="L6" s="803">
        <v>1700</v>
      </c>
      <c r="M6" s="75">
        <f t="shared" ref="M6:M14" si="0">ROUND(K6*L6/10000,0)</f>
        <v>1025</v>
      </c>
      <c r="N6" s="801">
        <v>0.99</v>
      </c>
      <c r="O6" s="75">
        <f>IF($N$5="成新度","——",ROUND(M6*N6,0))</f>
        <v>1015</v>
      </c>
      <c r="P6" s="76">
        <f>IF($N$5="成新度","——",M6-O6)</f>
        <v>10</v>
      </c>
      <c r="Q6" s="804">
        <v>0.1</v>
      </c>
      <c r="R6" s="77">
        <f ca="1">SUMIF('数据-汇总表'!C$19:C$33,A6,'数据-汇总表'!R$19:R$27)</f>
        <v>27999.91</v>
      </c>
      <c r="S6" s="54">
        <f>IF('数据-汇总表'!$I$17="按面积比例",SUMIF('数据-汇总表'!C$19:C$33,A6,'数据-汇总表'!K$19:K$33),SUMIF('数据-汇总表'!C$19:C$33,A6,'数据-汇总表'!N$19:N$33))</f>
        <v>0</v>
      </c>
      <c r="T6" s="1443">
        <f>ROUND($L$14*S6/10000,0)</f>
        <v>0</v>
      </c>
      <c r="U6" s="78">
        <v>1</v>
      </c>
      <c r="V6" s="79">
        <v>0.02</v>
      </c>
      <c r="W6" s="79">
        <v>0.1</v>
      </c>
      <c r="X6" s="1261"/>
      <c r="Y6" s="80">
        <v>1</v>
      </c>
      <c r="Z6" s="81"/>
      <c r="AA6" s="74"/>
      <c r="AB6" s="74"/>
      <c r="AC6" s="1261"/>
      <c r="AD6" s="82"/>
      <c r="AE6" s="1262">
        <f ca="1">IF(AN6="",0,SUMIF(INDIRECT("'"&amp;AN6&amp;"'"&amp;"!E:E"),$AE$5,INDIRECT("'"&amp;AN6&amp;"'"&amp;"!F:F")))</f>
        <v>46.4</v>
      </c>
      <c r="AF6" s="1804"/>
      <c r="AG6" s="147">
        <f>IF(AF6="",0,AE6-AF6)</f>
        <v>0</v>
      </c>
      <c r="AH6" s="83"/>
      <c r="AI6" s="85">
        <v>365</v>
      </c>
      <c r="AJ6" s="86"/>
      <c r="AK6" s="87">
        <v>1.4999999999999999E-2</v>
      </c>
      <c r="AL6" s="88">
        <v>1.5E-3</v>
      </c>
      <c r="AM6" s="89">
        <v>1.4999999999999999E-2</v>
      </c>
      <c r="AN6" s="2307" t="s">
        <v>3066</v>
      </c>
      <c r="AO6" s="55">
        <f ca="1">SUMIF(INDIRECT("'"&amp;AN6&amp;"'"&amp;"!A:A"),"总价",INDIRECT("'"&amp;AN6&amp;"'"&amp;"!B:B"))</f>
        <v>3773</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2009</v>
      </c>
      <c r="B14" s="2305" t="s">
        <v>2010</v>
      </c>
      <c r="C14" s="2310"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2013</v>
      </c>
      <c r="B16" s="97"/>
      <c r="C16" s="1005"/>
      <c r="D16" s="2312"/>
      <c r="E16" s="97"/>
      <c r="F16" s="97"/>
      <c r="G16" s="98">
        <f>ROUND(SUMPRODUCT(G6:G13,K6:K13)/SUMPRODUCT((G6:G13&gt;0)*(K6:K13)),3)</f>
        <v>0.97899999999999998</v>
      </c>
      <c r="H16" s="99">
        <f>ROUND(SUMPRODUCT(H6:H13,K6:K13)/SUMPRODUCT((H6:H13&gt;0)*(K6:K13)),3)</f>
        <v>4.4999999999999998E-2</v>
      </c>
      <c r="I16" s="100"/>
      <c r="J16" s="100"/>
      <c r="K16" s="101">
        <f>SUM(K6:K15)</f>
        <v>6031.39</v>
      </c>
      <c r="L16" s="102">
        <f>ROUND(M16*10000/SUM(K6:K14),0)</f>
        <v>1699</v>
      </c>
      <c r="M16" s="102">
        <f>SUM(M6:M14)</f>
        <v>1025</v>
      </c>
      <c r="N16" s="103">
        <f>ROUND(SUMPRODUCT(M6:M14,N6:N14)/M16,3)</f>
        <v>0.99</v>
      </c>
      <c r="O16" s="102">
        <f>SUM(O6:O14)</f>
        <v>1015</v>
      </c>
      <c r="P16" s="102">
        <f>SUM(P6:P14)</f>
        <v>10</v>
      </c>
      <c r="Q16" s="104">
        <f>ROUND(SUMPRODUCT(Q6:Q13,K6:K13)/SUMPRODUCT((Q6:Q13&gt;0)*(K6:K13)),2)</f>
        <v>0.1</v>
      </c>
      <c r="R16" s="1255">
        <f ca="1">SUM(R6:R13)</f>
        <v>27999.91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4" t="s">
        <v>2015</v>
      </c>
      <c r="B19" s="112">
        <v>0</v>
      </c>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3284" t="s">
        <v>3065</v>
      </c>
      <c r="Y19" s="1581"/>
      <c r="Z19" s="1581"/>
      <c r="AA19" s="1581"/>
      <c r="AB19" s="1581"/>
      <c r="AC19" s="1581"/>
      <c r="AD19" s="1581"/>
      <c r="AE19" s="1581"/>
      <c r="AF19" s="1581"/>
      <c r="AG19" s="1581"/>
      <c r="AH19" s="1581"/>
      <c r="AI19" s="1581"/>
      <c r="AJ19" s="1581"/>
      <c r="AK19" s="1581"/>
      <c r="AL19" s="1581"/>
      <c r="AM19" s="1581"/>
    </row>
    <row r="20" spans="1:67" ht="14.4">
      <c r="A20" s="2315" t="s">
        <v>2017</v>
      </c>
      <c r="B20" s="113">
        <v>0.5</v>
      </c>
      <c r="C20" s="2275" t="s">
        <v>2018</v>
      </c>
      <c r="D20" s="2276"/>
      <c r="E20" s="2275"/>
      <c r="F20" s="2275"/>
      <c r="G20" s="2275"/>
      <c r="H20" s="2275"/>
      <c r="I20" s="2275"/>
      <c r="J20" s="2275"/>
      <c r="K20" s="168"/>
      <c r="L20" s="168"/>
      <c r="M20" s="1581"/>
      <c r="N20" s="1581"/>
      <c r="O20" s="1581"/>
      <c r="P20" s="1581"/>
      <c r="Q20" s="1581"/>
      <c r="R20" s="1581"/>
      <c r="S20" s="1581"/>
      <c r="T20" s="3284" t="s">
        <v>3063</v>
      </c>
      <c r="U20" s="1581">
        <f>27999.91-6031.39</f>
        <v>21968.52</v>
      </c>
      <c r="V20" s="1581">
        <v>0.1</v>
      </c>
      <c r="W20" s="1581">
        <f>U20*V20</f>
        <v>2196.8520000000003</v>
      </c>
      <c r="X20" s="1581"/>
      <c r="Y20" s="1581"/>
      <c r="Z20" s="1581"/>
      <c r="AA20" s="1581"/>
      <c r="AB20" s="1581"/>
      <c r="AC20" s="1581"/>
      <c r="AD20" s="1581"/>
      <c r="AE20" s="1581"/>
      <c r="AF20" s="1581"/>
      <c r="AG20" s="1581"/>
      <c r="AH20" s="1581"/>
      <c r="AI20" s="1581"/>
      <c r="AJ20" s="1581"/>
      <c r="AK20" s="1581"/>
      <c r="AL20" s="1581"/>
      <c r="AM20" s="1581"/>
    </row>
    <row r="21" spans="1:67" ht="14.4">
      <c r="A21" s="2316" t="s">
        <v>2019</v>
      </c>
      <c r="B21" s="3285">
        <v>0.49</v>
      </c>
      <c r="C21" s="2275"/>
      <c r="D21" s="2276"/>
      <c r="E21" s="2275"/>
      <c r="F21" s="2275"/>
      <c r="G21" s="2275"/>
      <c r="H21" s="2275"/>
      <c r="I21" s="2275"/>
      <c r="J21" s="2275"/>
      <c r="K21" s="168"/>
      <c r="L21" s="168"/>
      <c r="M21" s="1581"/>
      <c r="N21" s="1581"/>
      <c r="O21" s="1581"/>
      <c r="P21" s="1581"/>
      <c r="Q21" s="1581"/>
      <c r="R21" s="1581"/>
      <c r="S21" s="1581"/>
      <c r="T21" s="3284" t="s">
        <v>3064</v>
      </c>
      <c r="U21" s="2271">
        <f>K6</f>
        <v>6031.39</v>
      </c>
      <c r="V21" s="1581">
        <v>0.8</v>
      </c>
      <c r="W21" s="1581">
        <f>U21*V21</f>
        <v>4825.1120000000001</v>
      </c>
      <c r="X21" s="1581"/>
      <c r="Y21" s="1581"/>
      <c r="Z21" s="1581"/>
      <c r="AA21" s="1581"/>
      <c r="AB21" s="1581"/>
      <c r="AC21" s="1581"/>
      <c r="AD21" s="1581"/>
      <c r="AE21" s="1581"/>
      <c r="AF21" s="1581"/>
      <c r="AG21" s="1581"/>
      <c r="AH21" s="1581"/>
      <c r="AI21" s="1581"/>
      <c r="AJ21" s="1581"/>
      <c r="AK21" s="1581"/>
      <c r="AL21" s="1581"/>
      <c r="AM21" s="1581"/>
    </row>
    <row r="22" spans="1:67" ht="14.4">
      <c r="A22" s="2315" t="s">
        <v>2020</v>
      </c>
      <c r="B22" s="114">
        <f>B19+B20</f>
        <v>0.5</v>
      </c>
      <c r="C22" s="2275"/>
      <c r="D22" s="2276"/>
      <c r="E22" s="2275"/>
      <c r="F22" s="2275"/>
      <c r="G22" s="2275"/>
      <c r="H22" s="2275"/>
      <c r="I22" s="2275"/>
      <c r="J22" s="2275"/>
      <c r="K22" s="168"/>
      <c r="L22" s="168"/>
      <c r="M22" s="1581"/>
      <c r="N22" s="1581"/>
      <c r="O22" s="1581"/>
      <c r="P22" s="1581"/>
      <c r="Q22" s="1581"/>
      <c r="R22" s="1581"/>
      <c r="S22" s="1581"/>
      <c r="T22" s="1581"/>
      <c r="U22" s="1581"/>
      <c r="V22" s="1581"/>
      <c r="W22" s="1581">
        <f>W20+W21</f>
        <v>7021.9639999999999</v>
      </c>
      <c r="X22" s="1581">
        <f>W22/U21</f>
        <v>1.1642364363770208</v>
      </c>
      <c r="Y22" s="1581"/>
      <c r="Z22" s="1581"/>
      <c r="AA22" s="1581"/>
      <c r="AB22" s="1581"/>
      <c r="AC22" s="1581"/>
      <c r="AD22" s="1581"/>
      <c r="AE22" s="1581"/>
      <c r="AF22" s="1581"/>
      <c r="AG22" s="1581"/>
      <c r="AH22" s="1581"/>
      <c r="AI22" s="1581"/>
      <c r="AJ22" s="1581"/>
      <c r="AK22" s="1581"/>
      <c r="AL22" s="1581"/>
      <c r="AM22" s="1581"/>
    </row>
    <row r="23" spans="1:67" ht="14.4">
      <c r="A23" s="2316" t="s">
        <v>2021</v>
      </c>
      <c r="B23" s="114">
        <f>B19+B21</f>
        <v>0.49</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2022</v>
      </c>
      <c r="B24" s="115">
        <f>B20-B21</f>
        <v>1.0000000000000009E-2</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8.8">
      <c r="A27" s="2320" t="s">
        <v>2026</v>
      </c>
      <c r="B27" s="116">
        <v>90</v>
      </c>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2028</v>
      </c>
      <c r="B28" s="119">
        <v>90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2029</v>
      </c>
      <c r="B29" s="121">
        <f>ROUND(B28*K16/10000,0)</f>
        <v>54</v>
      </c>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2031</v>
      </c>
      <c r="B30" s="724">
        <v>150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2032</v>
      </c>
      <c r="B31" s="120">
        <f>B30-B32</f>
        <v>150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2033</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2034</v>
      </c>
      <c r="B33" s="726">
        <v>0.03</v>
      </c>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2036</v>
      </c>
      <c r="B34" s="122">
        <v>0</v>
      </c>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2039</v>
      </c>
      <c r="B35" s="119">
        <v>150</v>
      </c>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6" t="s">
        <v>2043</v>
      </c>
      <c r="B37" s="124">
        <v>0.02</v>
      </c>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3" t="s">
        <v>2045</v>
      </c>
      <c r="B38" s="122">
        <v>0.02</v>
      </c>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2047</v>
      </c>
      <c r="B40" s="1300">
        <f ca="1">存贷款利率!G1</f>
        <v>4.3499999999999997E-2</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0" t="s">
        <v>2049</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8" t="s">
        <v>2050</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8" t="s">
        <v>2051</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0" t="s">
        <v>2052</v>
      </c>
      <c r="B44" s="128">
        <v>7.0000000000000007E-2</v>
      </c>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0" t="s">
        <v>2054</v>
      </c>
      <c r="B45" s="126">
        <v>0.03</v>
      </c>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0" t="s">
        <v>2056</v>
      </c>
      <c r="B46" s="126">
        <v>0.02</v>
      </c>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2" t="s">
        <v>2060</v>
      </c>
      <c r="B48" s="130">
        <v>0.03</v>
      </c>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2062</v>
      </c>
      <c r="B49" s="126">
        <v>5.0000000000000001E-4</v>
      </c>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3" t="s">
        <v>2066</v>
      </c>
      <c r="B52" s="133">
        <f>SUMIF(A54:A63,B53,B54:B63)</f>
        <v>3</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3" t="s">
        <v>2067</v>
      </c>
      <c r="B53" s="2334" t="s">
        <v>442</v>
      </c>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6" t="s">
        <v>2072</v>
      </c>
      <c r="B56" s="84">
        <v>3</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6" t="s">
        <v>2073</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6"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5"/>
    <col min="30" max="16384" width="9" style="2366"/>
  </cols>
  <sheetData>
    <row r="1" spans="1:29" s="2359" customFormat="1" ht="18" thickBot="1">
      <c r="A1" s="3043" t="s">
        <v>2080</v>
      </c>
      <c r="B1" s="3044"/>
      <c r="C1" s="3044"/>
      <c r="D1" s="3044"/>
      <c r="E1" s="3044"/>
      <c r="F1" s="3044"/>
      <c r="G1" s="304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2081</v>
      </c>
      <c r="D2" s="2363"/>
      <c r="E2" s="2364"/>
      <c r="F2" s="2284"/>
      <c r="G2" s="2362" t="s">
        <v>2082</v>
      </c>
      <c r="H2" s="2365"/>
      <c r="I2" s="2365"/>
      <c r="J2" s="2365"/>
      <c r="K2" s="2365"/>
      <c r="L2" s="2365"/>
      <c r="M2" s="2365"/>
      <c r="N2" s="2365"/>
      <c r="O2" s="2365"/>
      <c r="P2" s="2365"/>
      <c r="Q2" s="2365"/>
      <c r="R2" s="2365"/>
    </row>
    <row r="3" spans="1:29" ht="57.6">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3.2">
      <c r="A4" s="431"/>
      <c r="B4" s="1795" t="s">
        <v>2088</v>
      </c>
      <c r="C4" s="2371" t="s">
        <v>2089</v>
      </c>
      <c r="D4" s="2368"/>
      <c r="E4" s="2372"/>
      <c r="F4" s="42" t="s">
        <v>2090</v>
      </c>
      <c r="G4" s="2373" t="s">
        <v>2091</v>
      </c>
      <c r="H4" s="2365"/>
      <c r="I4" s="2365"/>
      <c r="J4" s="2365"/>
      <c r="K4" s="2365"/>
      <c r="L4" s="2365"/>
      <c r="M4" s="2365"/>
      <c r="N4" s="2365"/>
      <c r="O4" s="2365"/>
      <c r="P4" s="2365"/>
      <c r="Q4" s="2365"/>
      <c r="R4" s="2365"/>
    </row>
    <row r="5" spans="1:29" ht="43.2">
      <c r="A5" s="431"/>
      <c r="B5" s="1795" t="s">
        <v>2092</v>
      </c>
      <c r="C5" s="2371" t="s">
        <v>2093</v>
      </c>
      <c r="D5" s="2368"/>
      <c r="E5" s="2372"/>
      <c r="F5" s="1795" t="s">
        <v>2094</v>
      </c>
      <c r="G5" s="2373" t="s">
        <v>2095</v>
      </c>
      <c r="H5" s="2365"/>
      <c r="I5" s="2365"/>
      <c r="J5" s="2365"/>
      <c r="K5" s="2365"/>
      <c r="L5" s="2365"/>
      <c r="M5" s="2365"/>
      <c r="N5" s="2365"/>
      <c r="O5" s="2365"/>
      <c r="P5" s="2365"/>
      <c r="Q5" s="2365"/>
      <c r="R5" s="2365"/>
    </row>
    <row r="6" spans="1:29" ht="57.6">
      <c r="A6" s="431"/>
      <c r="B6" s="1795" t="s">
        <v>2096</v>
      </c>
      <c r="C6" s="2373" t="s">
        <v>2091</v>
      </c>
      <c r="D6" s="2368"/>
      <c r="E6" s="2372"/>
      <c r="F6" s="1795" t="s">
        <v>2097</v>
      </c>
      <c r="G6" s="2373" t="s">
        <v>2098</v>
      </c>
      <c r="H6" s="2365"/>
      <c r="I6" s="2365"/>
      <c r="J6" s="2365"/>
      <c r="K6" s="2365"/>
      <c r="L6" s="2365"/>
      <c r="M6" s="2365"/>
      <c r="N6" s="2365"/>
      <c r="O6" s="2365"/>
      <c r="P6" s="2365"/>
      <c r="Q6" s="2365"/>
      <c r="R6" s="2365"/>
    </row>
    <row r="7" spans="1:29" ht="43.8" thickBot="1">
      <c r="A7" s="431"/>
      <c r="B7" s="1795" t="s">
        <v>2094</v>
      </c>
      <c r="C7" s="2373" t="s">
        <v>2095</v>
      </c>
      <c r="D7" s="2374"/>
      <c r="E7" s="2375"/>
      <c r="F7" s="2376" t="s">
        <v>2099</v>
      </c>
      <c r="G7" s="2377" t="s">
        <v>2100</v>
      </c>
      <c r="H7" s="2365"/>
      <c r="I7" s="2365"/>
      <c r="J7" s="2365"/>
      <c r="K7" s="2365"/>
      <c r="L7" s="2365"/>
      <c r="M7" s="2365"/>
      <c r="N7" s="2365"/>
      <c r="O7" s="2365"/>
      <c r="P7" s="2365"/>
      <c r="Q7" s="2365"/>
      <c r="R7" s="2365"/>
    </row>
    <row r="8" spans="1:29" ht="28.8">
      <c r="A8" s="431"/>
      <c r="B8" s="1795" t="s">
        <v>2097</v>
      </c>
      <c r="C8" s="2373" t="s">
        <v>2098</v>
      </c>
      <c r="D8" s="2374"/>
      <c r="E8" s="2374"/>
      <c r="F8" s="1133"/>
      <c r="G8" s="1133"/>
      <c r="H8" s="2365"/>
      <c r="I8" s="2365"/>
      <c r="J8" s="2365"/>
      <c r="K8" s="2365"/>
      <c r="L8" s="2365"/>
      <c r="M8" s="2365"/>
      <c r="N8" s="2365"/>
      <c r="O8" s="2365"/>
      <c r="P8" s="2365"/>
      <c r="Q8" s="2365"/>
      <c r="R8" s="2365"/>
    </row>
    <row r="9" spans="1:29" ht="43.2">
      <c r="A9" s="431"/>
      <c r="B9" s="1795" t="s">
        <v>2101</v>
      </c>
      <c r="C9" s="2371" t="s">
        <v>2102</v>
      </c>
      <c r="D9" s="2368"/>
      <c r="E9" s="2374"/>
      <c r="F9" s="1133"/>
      <c r="G9" s="1133"/>
      <c r="H9" s="2365"/>
      <c r="I9" s="2365"/>
      <c r="J9" s="2365"/>
      <c r="K9" s="2365"/>
      <c r="L9" s="2365"/>
      <c r="M9" s="2365"/>
      <c r="N9" s="2365"/>
      <c r="O9" s="2365"/>
      <c r="P9" s="2365"/>
      <c r="Q9" s="2365"/>
      <c r="R9" s="2365"/>
    </row>
    <row r="10" spans="1:29" s="117" customFormat="1" ht="15"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7.399999999999999">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8" thickBot="1">
      <c r="A13" s="2391" t="s">
        <v>2104</v>
      </c>
      <c r="B13" s="2385"/>
      <c r="C13" s="2385"/>
      <c r="D13" s="2392"/>
      <c r="E13" s="2385"/>
      <c r="F13" s="2385"/>
      <c r="G13" s="2385"/>
    </row>
    <row r="14" spans="1:29" ht="15" thickBot="1">
      <c r="A14" s="2396"/>
      <c r="B14" s="2397"/>
      <c r="C14" s="2398" t="s">
        <v>2105</v>
      </c>
      <c r="D14" s="2368"/>
      <c r="E14" s="2399"/>
      <c r="F14" s="2399"/>
      <c r="G14" s="2362" t="s">
        <v>2106</v>
      </c>
    </row>
    <row r="15" spans="1:29" ht="55.2">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1.4">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1.4">
      <c r="A17" s="645"/>
      <c r="B17" s="2402" t="s">
        <v>2092</v>
      </c>
      <c r="C17" s="2403" t="str">
        <f>C5</f>
        <v>估价对象位于XX商圈，周边办公楼项目较多，入驻率高，办公集聚程度较好</v>
      </c>
      <c r="D17" s="2374"/>
      <c r="E17" s="2404"/>
      <c r="F17" s="2405" t="s">
        <v>2110</v>
      </c>
      <c r="G17" s="1569"/>
    </row>
    <row r="18" spans="1:18" ht="55.2">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7.6">
      <c r="A19" s="645"/>
      <c r="B19" s="2405" t="s">
        <v>2111</v>
      </c>
      <c r="C19" s="1569"/>
      <c r="D19" s="2368"/>
      <c r="E19" s="2404"/>
      <c r="F19" s="1795" t="s">
        <v>2094</v>
      </c>
      <c r="G19" s="136" t="str">
        <f>G5</f>
        <v>估价对象所在区域公共配套设施齐备情况</v>
      </c>
    </row>
    <row r="20" spans="1:18" ht="41.4">
      <c r="A20" s="645"/>
      <c r="B20" s="2405" t="s">
        <v>2112</v>
      </c>
      <c r="C20" s="2403" t="str">
        <f>C9</f>
        <v>区域自然环境：；人文环境；综合评价环境状况一般</v>
      </c>
      <c r="D20" s="2374"/>
      <c r="E20" s="2404"/>
      <c r="F20" s="1795" t="s">
        <v>2113</v>
      </c>
      <c r="G20" s="136" t="str">
        <f>G6</f>
        <v>估价对象所在区域基础设施水平</v>
      </c>
    </row>
    <row r="21" spans="1:18" ht="27.6">
      <c r="A21" s="645"/>
      <c r="B21" s="1795" t="s">
        <v>2094</v>
      </c>
      <c r="C21" s="136" t="str">
        <f>C7</f>
        <v>估价对象所在区域公共配套设施齐备情况</v>
      </c>
      <c r="D21" s="2368"/>
      <c r="E21" s="2404"/>
      <c r="F21" s="2405" t="s">
        <v>2114</v>
      </c>
      <c r="G21" s="2406"/>
    </row>
    <row r="22" spans="1:18" ht="13.5" customHeight="1">
      <c r="A22" s="645"/>
      <c r="B22" s="1795" t="s">
        <v>2097</v>
      </c>
      <c r="C22" s="136" t="str">
        <f>C8</f>
        <v>估价对象所在区域基础设施水平</v>
      </c>
      <c r="D22" s="2368"/>
      <c r="E22" s="2404"/>
      <c r="F22" s="2405" t="s">
        <v>2103</v>
      </c>
      <c r="G22" s="1569"/>
    </row>
    <row r="23" spans="1:18" s="2365" customFormat="1" ht="1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L5" sqref="L5"/>
    </sheetView>
  </sheetViews>
  <sheetFormatPr defaultColWidth="9" defaultRowHeight="14.4"/>
  <cols>
    <col min="1" max="1" width="23.33203125" style="1738" customWidth="1"/>
    <col min="2" max="9" width="15.77734375" style="1738" customWidth="1"/>
    <col min="10" max="16384" width="9" style="1738"/>
  </cols>
  <sheetData>
    <row r="1" spans="1:10" ht="16.2">
      <c r="A1" s="1743" t="s">
        <v>1360</v>
      </c>
      <c r="B1" s="1743">
        <f>SUM(B14:B23)</f>
        <v>6031.39</v>
      </c>
      <c r="C1" s="1742"/>
      <c r="D1" s="1742"/>
      <c r="E1" s="1742"/>
      <c r="F1" s="1742"/>
      <c r="G1" s="1740"/>
    </row>
    <row r="2" spans="1:10" ht="16.2">
      <c r="A2" s="1743" t="s">
        <v>1348</v>
      </c>
      <c r="B2" s="1743">
        <f>SUM(C14:C23)</f>
        <v>27999.91</v>
      </c>
      <c r="C2" s="1742"/>
      <c r="D2" s="1742"/>
      <c r="E2" s="1742"/>
      <c r="F2" s="1742"/>
      <c r="G2" s="1740"/>
    </row>
    <row r="3" spans="1:10" ht="15.6">
      <c r="A3" s="1743" t="s">
        <v>1357</v>
      </c>
      <c r="B3" s="1744">
        <f>项目基本情况!D3</f>
        <v>43819</v>
      </c>
      <c r="C3" s="1742"/>
      <c r="D3" s="1742"/>
      <c r="E3" s="1742"/>
      <c r="F3" s="1742"/>
      <c r="G3" s="1740"/>
    </row>
    <row r="4" spans="1:10" ht="31.2">
      <c r="A4" s="1743" t="s">
        <v>1356</v>
      </c>
      <c r="B4" s="1743" t="s">
        <v>1355</v>
      </c>
      <c r="C4" s="1743" t="s">
        <v>1354</v>
      </c>
      <c r="D4" s="1743" t="s">
        <v>1353</v>
      </c>
      <c r="E4" s="1742"/>
      <c r="F4" s="1740"/>
      <c r="G4" s="1740"/>
    </row>
    <row r="5" spans="1:10" ht="15.6">
      <c r="A5" s="1743" t="s">
        <v>1352</v>
      </c>
      <c r="B5" s="1743">
        <f ca="1">SUM(D14:D23)</f>
        <v>2597</v>
      </c>
      <c r="C5" s="1743">
        <f ca="1">ROUND(B5*10000/$B$1,0)</f>
        <v>4306</v>
      </c>
      <c r="D5" s="1743">
        <f ca="1">ROUND(B5*10000/$B$2,0)</f>
        <v>928</v>
      </c>
      <c r="E5" s="1742"/>
      <c r="F5" s="1740"/>
      <c r="G5" s="1740"/>
    </row>
    <row r="6" spans="1:10" ht="15.6">
      <c r="A6" s="1743" t="s">
        <v>1351</v>
      </c>
      <c r="B6" s="1743">
        <f ca="1">SUM(G14:G23)</f>
        <v>2597</v>
      </c>
      <c r="C6" s="1743">
        <f ca="1">ROUND(B6*10000/$B$1,0)</f>
        <v>4306</v>
      </c>
      <c r="D6" s="1743">
        <f ca="1">ROUND(B6*10000/$B$2,0)</f>
        <v>928</v>
      </c>
      <c r="E6" s="1742"/>
      <c r="F6" s="1740"/>
      <c r="G6" s="1740"/>
    </row>
    <row r="7" spans="1:10" ht="15.6">
      <c r="A7" s="1743" t="s">
        <v>1359</v>
      </c>
      <c r="B7" s="1743">
        <f>SUM(H14:H23)</f>
        <v>0</v>
      </c>
      <c r="C7" s="1743">
        <f>ROUND(B7*10000/$B$1,0)</f>
        <v>0</v>
      </c>
      <c r="D7" s="1743">
        <f>ROUND(B7*10000/$B$2,0)</f>
        <v>0</v>
      </c>
      <c r="E7" s="1742"/>
      <c r="F7" s="1740"/>
      <c r="G7" s="1740"/>
    </row>
    <row r="8" spans="1:10" ht="15.6">
      <c r="A8" s="1743" t="s">
        <v>1280</v>
      </c>
      <c r="B8" s="1743">
        <f>SUM(I14:I23)</f>
        <v>0</v>
      </c>
      <c r="C8" s="1743">
        <f>ROUND(B8*10000/$B$1,0)</f>
        <v>0</v>
      </c>
      <c r="D8" s="1743">
        <f>ROUND(B8*10000/$B$2,0)</f>
        <v>0</v>
      </c>
      <c r="E8" s="1742"/>
      <c r="F8" s="1740"/>
      <c r="G8" s="1740"/>
    </row>
    <row r="9" spans="1:10" ht="15.6">
      <c r="A9" s="1743" t="s">
        <v>1350</v>
      </c>
      <c r="B9" s="1745"/>
      <c r="C9" s="1742"/>
      <c r="D9" s="1742"/>
      <c r="E9" s="1742"/>
      <c r="F9" s="1740"/>
      <c r="G9" s="1740"/>
    </row>
    <row r="10" spans="1:10" ht="15.6">
      <c r="A10" s="1743" t="s">
        <v>1349</v>
      </c>
      <c r="B10" s="1745"/>
      <c r="C10" s="1742"/>
      <c r="D10" s="1742"/>
      <c r="E10" s="1742"/>
      <c r="F10" s="1740"/>
      <c r="G10" s="1740"/>
    </row>
    <row r="11" spans="1:10" ht="15.6">
      <c r="A11" s="1743" t="s">
        <v>1365</v>
      </c>
      <c r="B11" s="1745"/>
      <c r="C11" s="1742"/>
      <c r="D11" s="1742"/>
      <c r="E11" s="1742"/>
      <c r="F11" s="1740"/>
      <c r="G11" s="1740"/>
    </row>
    <row r="12" spans="1:10" ht="15.6">
      <c r="A12" s="1742"/>
      <c r="B12" s="1742"/>
      <c r="C12" s="1742"/>
      <c r="D12" s="1742"/>
      <c r="E12" s="1742"/>
      <c r="F12" s="1740"/>
      <c r="G12" s="1740"/>
    </row>
    <row r="13" spans="1:10" ht="31.8">
      <c r="A13" s="1748" t="s">
        <v>1364</v>
      </c>
      <c r="B13" s="1741" t="s">
        <v>1361</v>
      </c>
      <c r="C13" s="1741" t="s">
        <v>1363</v>
      </c>
      <c r="D13" s="1741" t="s">
        <v>1362</v>
      </c>
      <c r="E13" s="1743" t="s">
        <v>1354</v>
      </c>
      <c r="F13" s="1743" t="s">
        <v>1353</v>
      </c>
      <c r="G13" s="1741" t="s">
        <v>1347</v>
      </c>
      <c r="H13" s="1741" t="s">
        <v>1358</v>
      </c>
      <c r="I13" s="1741" t="s">
        <v>1346</v>
      </c>
      <c r="J13" s="1740"/>
    </row>
    <row r="14" spans="1:10" ht="15.6">
      <c r="A14" s="1739" t="s">
        <v>1345</v>
      </c>
      <c r="B14" s="1741">
        <f>结果表!B118</f>
        <v>6031.39</v>
      </c>
      <c r="C14" s="1741">
        <f>结果表!C118</f>
        <v>27999.91</v>
      </c>
      <c r="D14" s="1741">
        <f ca="1">结果表!H118</f>
        <v>2597</v>
      </c>
      <c r="E14" s="1741">
        <f ca="1">ROUND(D14*10000/B14,0)</f>
        <v>4306</v>
      </c>
      <c r="F14" s="1741">
        <f ca="1">ROUND(D14*10000/C14,0)</f>
        <v>928</v>
      </c>
      <c r="G14" s="1741">
        <f ca="1">结果表!D122</f>
        <v>2597</v>
      </c>
      <c r="H14" s="1741" t="str">
        <f>结果表!D124</f>
        <v>——</v>
      </c>
      <c r="I14" s="1741" t="str">
        <f>结果表!D126</f>
        <v>——</v>
      </c>
      <c r="J14" s="1740"/>
    </row>
    <row r="15" spans="1:10" ht="15.6">
      <c r="A15" s="1739" t="s">
        <v>1344</v>
      </c>
      <c r="B15" s="1746"/>
      <c r="C15" s="1746"/>
      <c r="D15" s="1746"/>
      <c r="E15" s="1741" t="e">
        <f t="shared" ref="E15:E23" si="0">ROUND(D15*10000/B15,0)</f>
        <v>#DIV/0!</v>
      </c>
      <c r="F15" s="1741" t="e">
        <f t="shared" ref="F15:F23" si="1">ROUND(D15*10000/C15,0)</f>
        <v>#DIV/0!</v>
      </c>
      <c r="G15" s="1747"/>
      <c r="H15" s="1747"/>
      <c r="I15" s="1746"/>
      <c r="J15" s="1740"/>
    </row>
    <row r="16" spans="1:10" ht="15.6">
      <c r="A16" s="1739" t="s">
        <v>1343</v>
      </c>
      <c r="B16" s="1746"/>
      <c r="C16" s="1746"/>
      <c r="D16" s="1746"/>
      <c r="E16" s="1741" t="e">
        <f t="shared" si="0"/>
        <v>#DIV/0!</v>
      </c>
      <c r="F16" s="1741" t="e">
        <f t="shared" si="1"/>
        <v>#DIV/0!</v>
      </c>
      <c r="G16" s="1747"/>
      <c r="H16" s="1747"/>
      <c r="I16" s="1746"/>
    </row>
    <row r="17" spans="1:9" ht="15.6">
      <c r="A17" s="1739" t="s">
        <v>1342</v>
      </c>
      <c r="B17" s="1746"/>
      <c r="C17" s="1746"/>
      <c r="D17" s="1746"/>
      <c r="E17" s="1741" t="e">
        <f t="shared" si="0"/>
        <v>#DIV/0!</v>
      </c>
      <c r="F17" s="1741" t="e">
        <f t="shared" si="1"/>
        <v>#DIV/0!</v>
      </c>
      <c r="G17" s="1747"/>
      <c r="H17" s="1747"/>
      <c r="I17" s="1746"/>
    </row>
    <row r="18" spans="1:9" ht="15.6">
      <c r="A18" s="1739" t="s">
        <v>1341</v>
      </c>
      <c r="B18" s="1746"/>
      <c r="C18" s="1746"/>
      <c r="D18" s="1746"/>
      <c r="E18" s="1741" t="e">
        <f t="shared" si="0"/>
        <v>#DIV/0!</v>
      </c>
      <c r="F18" s="1741" t="e">
        <f t="shared" si="1"/>
        <v>#DIV/0!</v>
      </c>
      <c r="G18" s="1746"/>
      <c r="H18" s="1746"/>
      <c r="I18" s="1746"/>
    </row>
    <row r="19" spans="1:9" ht="15.6">
      <c r="A19" s="1739" t="s">
        <v>1340</v>
      </c>
      <c r="B19" s="1746"/>
      <c r="C19" s="1746"/>
      <c r="D19" s="1746"/>
      <c r="E19" s="1741" t="e">
        <f t="shared" si="0"/>
        <v>#DIV/0!</v>
      </c>
      <c r="F19" s="1741" t="e">
        <f t="shared" si="1"/>
        <v>#DIV/0!</v>
      </c>
      <c r="G19" s="1746"/>
      <c r="H19" s="1746"/>
      <c r="I19" s="1746"/>
    </row>
    <row r="20" spans="1:9" ht="15.6">
      <c r="A20" s="1739" t="s">
        <v>1339</v>
      </c>
      <c r="B20" s="1746"/>
      <c r="C20" s="1746"/>
      <c r="D20" s="1746"/>
      <c r="E20" s="1741" t="e">
        <f t="shared" si="0"/>
        <v>#DIV/0!</v>
      </c>
      <c r="F20" s="1741" t="e">
        <f t="shared" si="1"/>
        <v>#DIV/0!</v>
      </c>
      <c r="G20" s="1746"/>
      <c r="H20" s="1746"/>
      <c r="I20" s="1746"/>
    </row>
    <row r="21" spans="1:9" ht="15.6">
      <c r="A21" s="1739" t="s">
        <v>1338</v>
      </c>
      <c r="B21" s="1746"/>
      <c r="C21" s="1746"/>
      <c r="D21" s="1746"/>
      <c r="E21" s="1741" t="e">
        <f t="shared" si="0"/>
        <v>#DIV/0!</v>
      </c>
      <c r="F21" s="1741" t="e">
        <f t="shared" si="1"/>
        <v>#DIV/0!</v>
      </c>
      <c r="G21" s="1746"/>
      <c r="H21" s="1746"/>
      <c r="I21" s="1746"/>
    </row>
    <row r="22" spans="1:9" ht="15.6">
      <c r="A22" s="1739" t="s">
        <v>1337</v>
      </c>
      <c r="B22" s="1746"/>
      <c r="C22" s="1746"/>
      <c r="D22" s="1746"/>
      <c r="E22" s="1741" t="e">
        <f t="shared" si="0"/>
        <v>#DIV/0!</v>
      </c>
      <c r="F22" s="1741" t="e">
        <f t="shared" si="1"/>
        <v>#DIV/0!</v>
      </c>
      <c r="G22" s="1746"/>
      <c r="H22" s="1746"/>
      <c r="I22" s="1746"/>
    </row>
    <row r="23" spans="1:9" ht="15.6">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9" sqref="C19"/>
    </sheetView>
  </sheetViews>
  <sheetFormatPr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09375" style="795" bestFit="1" customWidth="1"/>
    <col min="14" max="26" width="12.6640625" style="795"/>
    <col min="27" max="35" width="12.6640625" style="2421"/>
    <col min="36" max="16384" width="12.6640625" style="2422"/>
  </cols>
  <sheetData>
    <row r="1" spans="1:12" ht="21.75" customHeight="1" thickBot="1">
      <c r="A1" s="2223" t="s">
        <v>2117</v>
      </c>
      <c r="B1" s="2416"/>
      <c r="C1" s="2417"/>
      <c r="D1" s="2416"/>
      <c r="E1" s="2416"/>
      <c r="F1" s="2418" t="s">
        <v>2118</v>
      </c>
      <c r="G1" s="2068" t="s">
        <v>2119</v>
      </c>
      <c r="H1" s="2419" t="str">
        <f>IF(G1="现房","——","估价对象范围")</f>
        <v>估价对象范围</v>
      </c>
      <c r="I1" s="2420"/>
    </row>
    <row r="2" spans="1:12" ht="21.75" customHeight="1" thickBot="1">
      <c r="A2" s="3117" t="str">
        <f>项目基本情况!S2</f>
        <v>河北省沧州临港经济技术开发区西区出让国有建设用地使用权及在建建筑物房地产</v>
      </c>
      <c r="B2" s="3118"/>
      <c r="C2" s="3118"/>
      <c r="D2" s="3118"/>
      <c r="E2" s="3118"/>
      <c r="F2" s="3118"/>
      <c r="G2" s="3118"/>
      <c r="H2" s="3118"/>
      <c r="I2" s="3119"/>
    </row>
    <row r="3" spans="1:12" ht="13.2">
      <c r="A3" s="3120" t="s">
        <v>2120</v>
      </c>
      <c r="B3" s="3121"/>
      <c r="C3" s="3121"/>
      <c r="D3" s="3121"/>
      <c r="E3" s="3121"/>
      <c r="F3" s="3121"/>
      <c r="G3" s="3121"/>
      <c r="H3" s="3121"/>
      <c r="I3" s="3121"/>
    </row>
    <row r="4" spans="1:12" ht="14.4">
      <c r="A4" s="2423" t="s">
        <v>2121</v>
      </c>
      <c r="B4" s="2424" t="s">
        <v>2122</v>
      </c>
      <c r="C4" s="2425" t="s">
        <v>3233</v>
      </c>
      <c r="D4" s="2425" t="s">
        <v>3234</v>
      </c>
      <c r="E4" s="3101" t="s">
        <v>2123</v>
      </c>
      <c r="F4" s="3114"/>
      <c r="G4" s="3114"/>
      <c r="H4" s="3114"/>
      <c r="I4" s="310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3.2">
      <c r="A5" s="3092" t="s">
        <v>2124</v>
      </c>
      <c r="B5" s="3018">
        <v>25</v>
      </c>
      <c r="C5" s="3122"/>
      <c r="D5" s="3110"/>
      <c r="E5" s="140" t="s">
        <v>2125</v>
      </c>
      <c r="F5" s="2427"/>
      <c r="G5" s="2427"/>
      <c r="H5" s="2427"/>
      <c r="I5" s="1831"/>
    </row>
    <row r="6" spans="1:12" ht="13.2">
      <c r="A6" s="3092"/>
      <c r="B6" s="3018"/>
      <c r="C6" s="3124"/>
      <c r="D6" s="3110"/>
      <c r="E6" s="140" t="s">
        <v>2126</v>
      </c>
      <c r="F6" s="2427"/>
      <c r="G6" s="2427"/>
      <c r="H6" s="2427"/>
      <c r="I6" s="1831"/>
    </row>
    <row r="7" spans="1:12" ht="13.2">
      <c r="A7" s="3092"/>
      <c r="B7" s="3018"/>
      <c r="C7" s="3123"/>
      <c r="D7" s="3110"/>
      <c r="E7" s="140" t="s">
        <v>2127</v>
      </c>
      <c r="F7" s="2427"/>
      <c r="G7" s="2427"/>
      <c r="H7" s="2427"/>
      <c r="I7" s="1831"/>
    </row>
    <row r="8" spans="1:12" ht="13.2">
      <c r="A8" s="3092" t="s">
        <v>2128</v>
      </c>
      <c r="B8" s="3018">
        <v>15</v>
      </c>
      <c r="C8" s="3122"/>
      <c r="D8" s="3110"/>
      <c r="E8" s="140" t="s">
        <v>2129</v>
      </c>
      <c r="F8" s="2427"/>
      <c r="G8" s="2427"/>
      <c r="H8" s="2427"/>
      <c r="I8" s="1831"/>
    </row>
    <row r="9" spans="1:12" ht="13.2">
      <c r="A9" s="3092"/>
      <c r="B9" s="3018"/>
      <c r="C9" s="3123"/>
      <c r="D9" s="3110"/>
      <c r="E9" s="140" t="s">
        <v>2130</v>
      </c>
      <c r="F9" s="2427"/>
      <c r="G9" s="2427"/>
      <c r="H9" s="2427"/>
      <c r="I9" s="1831"/>
    </row>
    <row r="10" spans="1:12" ht="13.2">
      <c r="A10" s="3092" t="s">
        <v>2131</v>
      </c>
      <c r="B10" s="3018">
        <v>15</v>
      </c>
      <c r="C10" s="3122"/>
      <c r="D10" s="3110"/>
      <c r="E10" s="140" t="s">
        <v>2132</v>
      </c>
      <c r="F10" s="2427"/>
      <c r="G10" s="2427"/>
      <c r="H10" s="2427"/>
      <c r="I10" s="1831"/>
    </row>
    <row r="11" spans="1:12" ht="13.2">
      <c r="A11" s="3092"/>
      <c r="B11" s="3018"/>
      <c r="C11" s="3123"/>
      <c r="D11" s="3110"/>
      <c r="E11" s="140" t="s">
        <v>2133</v>
      </c>
      <c r="F11" s="2427"/>
      <c r="G11" s="2427"/>
      <c r="H11" s="2427"/>
      <c r="I11" s="1831"/>
    </row>
    <row r="12" spans="1:12" ht="13.2">
      <c r="A12" s="3092" t="s">
        <v>2134</v>
      </c>
      <c r="B12" s="3018">
        <v>15</v>
      </c>
      <c r="C12" s="3122"/>
      <c r="D12" s="3110"/>
      <c r="E12" s="140" t="s">
        <v>2135</v>
      </c>
      <c r="F12" s="2427"/>
      <c r="G12" s="2427"/>
      <c r="H12" s="2427"/>
      <c r="I12" s="1831"/>
    </row>
    <row r="13" spans="1:12" ht="13.2">
      <c r="A13" s="3092"/>
      <c r="B13" s="3018"/>
      <c r="C13" s="3123"/>
      <c r="D13" s="3110"/>
      <c r="E13" s="140" t="s">
        <v>2136</v>
      </c>
      <c r="F13" s="2427"/>
      <c r="G13" s="2427"/>
      <c r="H13" s="2427"/>
      <c r="I13" s="1831"/>
    </row>
    <row r="14" spans="1:12" ht="13.2">
      <c r="A14" s="3092" t="s">
        <v>2137</v>
      </c>
      <c r="B14" s="3018">
        <v>30</v>
      </c>
      <c r="C14" s="3122">
        <v>5</v>
      </c>
      <c r="D14" s="3110">
        <v>5</v>
      </c>
      <c r="E14" s="140" t="s">
        <v>2138</v>
      </c>
      <c r="F14" s="2427"/>
      <c r="G14" s="2427"/>
      <c r="H14" s="2427"/>
      <c r="I14" s="1831"/>
    </row>
    <row r="15" spans="1:12" ht="13.2">
      <c r="A15" s="3092"/>
      <c r="B15" s="3018"/>
      <c r="C15" s="3124"/>
      <c r="D15" s="3110"/>
      <c r="E15" s="140" t="s">
        <v>2139</v>
      </c>
      <c r="F15" s="2427"/>
      <c r="G15" s="2427"/>
      <c r="H15" s="2427"/>
      <c r="I15" s="1831"/>
    </row>
    <row r="16" spans="1:12" ht="13.2">
      <c r="A16" s="3092"/>
      <c r="B16" s="3018"/>
      <c r="C16" s="3123"/>
      <c r="D16" s="3110"/>
      <c r="E16" s="140" t="s">
        <v>2140</v>
      </c>
      <c r="F16" s="2427"/>
      <c r="G16" s="2427"/>
      <c r="H16" s="2427"/>
      <c r="I16" s="1831"/>
    </row>
    <row r="17" spans="1:35" ht="14.4">
      <c r="A17" s="2428" t="s">
        <v>2141</v>
      </c>
      <c r="B17" s="64"/>
      <c r="C17" s="141">
        <f>SUM(C5:C16)</f>
        <v>5</v>
      </c>
      <c r="D17" s="141">
        <f>SUM(D5:D16)</f>
        <v>5</v>
      </c>
      <c r="E17" s="138"/>
      <c r="F17" s="138"/>
      <c r="G17" s="138"/>
      <c r="H17" s="138"/>
      <c r="I17" s="138"/>
      <c r="K17" s="2426"/>
      <c r="L17" s="2429" t="s">
        <v>2142</v>
      </c>
      <c r="M17" s="2429" t="s">
        <v>2143</v>
      </c>
    </row>
    <row r="18" spans="1:35" ht="15" thickBot="1">
      <c r="A18" s="2430" t="s">
        <v>2144</v>
      </c>
      <c r="B18" s="2431"/>
      <c r="C18" s="142">
        <f>ROUND(C17/SUM(C17:D17),2)</f>
        <v>0.5</v>
      </c>
      <c r="D18" s="142">
        <f>1-C18</f>
        <v>0.5</v>
      </c>
      <c r="E18" s="138"/>
      <c r="F18" s="138"/>
      <c r="G18" s="138"/>
      <c r="H18" s="138"/>
      <c r="I18" s="138"/>
      <c r="K18" s="2426" t="s">
        <v>2145</v>
      </c>
      <c r="L18" s="2426">
        <f>IF(C1="",'数据-汇总表'!E3,SUMIF(项目类型,C1,'数据-汇总表'!E17:E26)+SUMIF(项目类型,C1,'数据-汇总表'!I17:I26))</f>
        <v>6031.39</v>
      </c>
      <c r="M18" s="2426">
        <f>IF(C1="",'数据-汇总表'!E3,SUMIF(项目类型,C1,'数据-汇总表'!E17:E26))</f>
        <v>6031.39</v>
      </c>
    </row>
    <row r="19" spans="1:35" ht="14.4">
      <c r="A19" s="2432" t="s">
        <v>2146</v>
      </c>
      <c r="B19" s="2433" t="s">
        <v>2147</v>
      </c>
      <c r="C19" s="143">
        <f ca="1">SUMIF(INDIRECT("'"&amp;C4&amp;"'"&amp;"!A:A"),结果表!B19,INDIRECT("'"&amp;C4&amp;"'"&amp;"!B:B"))</f>
        <v>2266</v>
      </c>
      <c r="D19" s="144">
        <f ca="1">SUMIF(INDIRECT("'"&amp;D4&amp;"'"&amp;"!A:A"),结果表!B19,INDIRECT("'"&amp;D4&amp;"'"&amp;"!B:B"))</f>
        <v>2928</v>
      </c>
      <c r="E19" s="2432" t="s">
        <v>2148</v>
      </c>
      <c r="F19" s="2433" t="s">
        <v>2147</v>
      </c>
      <c r="G19" s="145">
        <f ca="1">ROUND(C19*$C$18+D19*$D$18,0)</f>
        <v>2597</v>
      </c>
      <c r="H19" s="2434" t="s">
        <v>2149</v>
      </c>
      <c r="I19" s="138"/>
      <c r="K19" s="2426" t="s">
        <v>2150</v>
      </c>
      <c r="L19" s="2426">
        <f>IF(C1="",'数据-汇总表'!D3,SUMIF(项目类型,C1,'数据-汇总表'!D17:D26)+SUMIF(项目类型,C1,'数据-汇总表'!H17:H27))</f>
        <v>27999.91</v>
      </c>
      <c r="M19" s="2426">
        <f>IF(C1="",'数据-汇总表'!D3,SUMIF(项目类型,C1,'数据-汇总表'!D17:D26))</f>
        <v>27999.91</v>
      </c>
    </row>
    <row r="20" spans="1:35" ht="14.4">
      <c r="A20" s="2435"/>
      <c r="B20" s="1247" t="s">
        <v>2151</v>
      </c>
      <c r="C20" s="146">
        <f ca="1">SUMIF(INDIRECT("'"&amp;C4&amp;"'"&amp;"!A:A"),结果表!B20,INDIRECT("'"&amp;C4&amp;"'"&amp;"!B:B"))</f>
        <v>3757</v>
      </c>
      <c r="D20" s="147">
        <f ca="1">SUMIF(INDIRECT("'"&amp;D4&amp;"'"&amp;"!A:A"),结果表!B20,INDIRECT("'"&amp;D4&amp;"'"&amp;"!B:B"))</f>
        <v>4855</v>
      </c>
      <c r="E20" s="2435"/>
      <c r="F20" s="1247" t="s">
        <v>2151</v>
      </c>
      <c r="G20" s="148">
        <f ca="1">ROUND(C20*$C$18+D20*$D$18,0)</f>
        <v>4306</v>
      </c>
      <c r="H20" s="980" t="s">
        <v>2152</v>
      </c>
      <c r="I20" s="138"/>
    </row>
    <row r="21" spans="1:35" ht="15" customHeight="1" thickBot="1">
      <c r="A21" s="1000"/>
      <c r="B21" s="2436" t="s">
        <v>2153</v>
      </c>
      <c r="C21" s="789">
        <f ca="1">ROUND(C19*10000/L19,0)</f>
        <v>809</v>
      </c>
      <c r="D21" s="790">
        <f ca="1">ROUND(D19*10000/L19,0)</f>
        <v>1046</v>
      </c>
      <c r="E21" s="1000"/>
      <c r="F21" s="2436" t="s">
        <v>2153</v>
      </c>
      <c r="G21" s="149">
        <f ca="1">ROUND(G19*10000/L19,0)</f>
        <v>928</v>
      </c>
      <c r="H21" s="2437" t="s">
        <v>2152</v>
      </c>
      <c r="I21" s="138"/>
    </row>
    <row r="22" spans="1:35" ht="15" thickBot="1">
      <c r="A22" s="2279" t="s">
        <v>2154</v>
      </c>
      <c r="B22" s="2438"/>
      <c r="C22" s="2439"/>
      <c r="D22" s="791">
        <f ca="1">IF(C19&lt;D19,D19/C19-1,C19/D19-1)</f>
        <v>0.29214474845542804</v>
      </c>
      <c r="E22" s="138"/>
      <c r="F22" s="138"/>
      <c r="G22" s="138"/>
      <c r="H22" s="138"/>
      <c r="I22" s="138"/>
    </row>
    <row r="23" spans="1:35" ht="13.8" thickBot="1">
      <c r="A23" s="2416"/>
      <c r="B23" s="2416"/>
      <c r="C23" s="2416"/>
      <c r="D23" s="2416"/>
      <c r="E23" s="138"/>
      <c r="F23" s="138"/>
      <c r="G23" s="138"/>
      <c r="H23" s="138"/>
      <c r="I23" s="138"/>
    </row>
    <row r="24" spans="1:35" ht="14.4">
      <c r="A24" s="3131" t="s">
        <v>2155</v>
      </c>
      <c r="B24" s="2433" t="s">
        <v>2147</v>
      </c>
      <c r="C24" s="145">
        <f>IF(B30=0,0,D30)</f>
        <v>0</v>
      </c>
      <c r="D24" s="2440"/>
      <c r="E24" s="138"/>
      <c r="F24" s="138"/>
      <c r="G24" s="138"/>
      <c r="H24" s="138"/>
      <c r="I24" s="138"/>
    </row>
    <row r="25" spans="1:35" ht="14.4">
      <c r="A25" s="3132"/>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2160</v>
      </c>
      <c r="B30" s="151"/>
      <c r="C30" s="151"/>
      <c r="D30" s="151"/>
      <c r="E30" s="2915" t="s">
        <v>3033</v>
      </c>
      <c r="F30" s="138"/>
      <c r="G30" s="138"/>
      <c r="H30" s="138"/>
      <c r="I30" s="138"/>
    </row>
    <row r="31" spans="1:35" s="2444" customFormat="1" ht="14.4"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2161</v>
      </c>
      <c r="B32" s="2446"/>
      <c r="C32" s="153">
        <f ca="1">IF(D32="总价",G19-C24,G20-C25)</f>
        <v>2597</v>
      </c>
      <c r="D32" s="2447" t="s">
        <v>2162</v>
      </c>
      <c r="E32" s="138"/>
      <c r="F32" s="138"/>
      <c r="G32" s="138"/>
      <c r="H32" s="138"/>
      <c r="I32" s="138"/>
    </row>
    <row r="33" spans="1:15" ht="14.4">
      <c r="A33" s="957" t="s">
        <v>2163</v>
      </c>
      <c r="B33" s="2448"/>
      <c r="C33" s="2449"/>
      <c r="D33" s="2450"/>
      <c r="E33" s="2451" t="s">
        <v>2164</v>
      </c>
      <c r="F33" s="2452" t="str">
        <f>IF(D32="楼面单价","取值（单价）","取值（总价）")</f>
        <v>取值（总价）</v>
      </c>
      <c r="G33" s="138"/>
      <c r="H33" s="138"/>
      <c r="I33" s="138"/>
    </row>
    <row r="34" spans="1:15" ht="14.4">
      <c r="A34" s="2453"/>
      <c r="B34" s="2454"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2166</v>
      </c>
      <c r="F34" s="1736"/>
      <c r="G34" s="138"/>
      <c r="H34" s="138"/>
      <c r="I34" s="138"/>
    </row>
    <row r="35" spans="1:15" ht="15" thickBot="1">
      <c r="A35" s="2456"/>
      <c r="B35" s="2457"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2168</v>
      </c>
      <c r="F35" s="163"/>
      <c r="G35" s="138"/>
      <c r="H35" s="138"/>
      <c r="I35" s="138"/>
    </row>
    <row r="36" spans="1:15" ht="15" thickBot="1">
      <c r="A36" s="3111" t="s">
        <v>2169</v>
      </c>
      <c r="B36" s="2459" t="s">
        <v>2170</v>
      </c>
      <c r="C36" s="154"/>
      <c r="D36" s="2460"/>
      <c r="E36" s="2461"/>
      <c r="F36" s="2462"/>
      <c r="G36" s="138"/>
      <c r="H36" s="138"/>
      <c r="I36" s="138"/>
    </row>
    <row r="37" spans="1:15" ht="15" thickBot="1">
      <c r="A37" s="3112"/>
      <c r="B37" s="2265" t="s">
        <v>2171</v>
      </c>
      <c r="C37" s="156"/>
      <c r="D37" s="1392"/>
      <c r="E37" s="1392"/>
      <c r="F37" s="2462"/>
      <c r="G37" s="138"/>
      <c r="H37" s="138"/>
      <c r="I37" s="138"/>
    </row>
    <row r="38" spans="1:15" ht="15" thickBot="1">
      <c r="A38" s="3113"/>
      <c r="B38" s="2463" t="s">
        <v>2172</v>
      </c>
      <c r="C38" s="727"/>
      <c r="D38" s="2464" t="s">
        <v>2173</v>
      </c>
      <c r="E38" s="1392"/>
      <c r="F38" s="2462"/>
      <c r="G38" s="138"/>
      <c r="H38" s="138"/>
      <c r="I38" s="138"/>
    </row>
    <row r="39" spans="1:15" ht="14.4">
      <c r="A39" s="2435" t="s">
        <v>2174</v>
      </c>
      <c r="B39" s="2465" t="s">
        <v>2175</v>
      </c>
      <c r="C39" s="2466" t="s">
        <v>2176</v>
      </c>
      <c r="D39" s="2466" t="s">
        <v>2177</v>
      </c>
      <c r="E39" s="2467" t="s">
        <v>2178</v>
      </c>
      <c r="F39" s="2462"/>
      <c r="G39" s="138"/>
      <c r="H39" s="138"/>
      <c r="I39" s="138"/>
    </row>
    <row r="40" spans="1:15" ht="13.8">
      <c r="A40" s="2468" t="s">
        <v>2179</v>
      </c>
      <c r="B40" s="158"/>
      <c r="C40" s="159"/>
      <c r="D40" s="159"/>
      <c r="E40" s="160"/>
      <c r="F40" s="2462"/>
      <c r="G40" s="138"/>
      <c r="H40" s="138"/>
      <c r="I40" s="138"/>
    </row>
    <row r="41" spans="1:15" ht="13.8">
      <c r="A41" s="2468" t="s">
        <v>2180</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3"/>
      <c r="B43" s="2163"/>
      <c r="C43" s="2163"/>
      <c r="D43" s="2163"/>
      <c r="E43" s="2163"/>
      <c r="F43" s="2470"/>
      <c r="G43" s="2470"/>
      <c r="H43" s="2470"/>
      <c r="I43" s="2471"/>
    </row>
    <row r="44" spans="1:15" ht="17.399999999999999">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128" t="s">
        <v>2183</v>
      </c>
      <c r="B45" s="3129"/>
      <c r="C45" s="3130"/>
      <c r="D45" s="164">
        <f ca="1">ROUND(H101*F45,0)</f>
        <v>2597</v>
      </c>
      <c r="E45" s="165" t="s">
        <v>2184</v>
      </c>
      <c r="F45" s="166">
        <v>1</v>
      </c>
      <c r="G45" s="167" t="s">
        <v>2185</v>
      </c>
      <c r="H45" s="138"/>
      <c r="I45" s="138"/>
      <c r="J45" s="3047" t="s">
        <v>2186</v>
      </c>
      <c r="K45" s="3047"/>
      <c r="L45" s="3047"/>
      <c r="M45" s="3047"/>
      <c r="N45" s="3047"/>
      <c r="O45" s="3047"/>
    </row>
    <row r="46" spans="1:15" ht="14.25" customHeight="1">
      <c r="A46" s="3125" t="s">
        <v>2187</v>
      </c>
      <c r="B46" s="3126"/>
      <c r="C46" s="3126"/>
      <c r="D46" s="3126"/>
      <c r="E46" s="3126"/>
      <c r="F46" s="3126"/>
      <c r="G46" s="3127"/>
      <c r="H46" s="2478"/>
      <c r="I46" s="168"/>
      <c r="J46" s="1809">
        <v>1</v>
      </c>
      <c r="K46" s="3047" t="s">
        <v>2188</v>
      </c>
      <c r="L46" s="3047"/>
      <c r="M46" s="3048"/>
      <c r="N46" s="3048"/>
      <c r="O46" s="3048"/>
    </row>
    <row r="47" spans="1:15" ht="12" customHeight="1">
      <c r="A47" s="169" t="s">
        <v>2189</v>
      </c>
      <c r="B47" s="170"/>
      <c r="C47" s="171"/>
      <c r="D47" s="172" t="s">
        <v>2190</v>
      </c>
      <c r="E47" s="24" t="s">
        <v>2191</v>
      </c>
      <c r="F47" s="173" t="s">
        <v>2192</v>
      </c>
      <c r="G47" s="174" t="s">
        <v>2193</v>
      </c>
      <c r="H47" s="2478"/>
      <c r="I47" s="168"/>
      <c r="J47" s="1809">
        <v>2</v>
      </c>
      <c r="K47" s="3047" t="s">
        <v>2194</v>
      </c>
      <c r="L47" s="3047"/>
      <c r="M47" s="3049">
        <f>'数据-取费表'!B2</f>
        <v>43819</v>
      </c>
      <c r="N47" s="3049"/>
      <c r="O47" s="3049"/>
    </row>
    <row r="48" spans="1:15" ht="26.4">
      <c r="A48" s="3115" t="s">
        <v>2195</v>
      </c>
      <c r="B48" s="3116"/>
      <c r="C48" s="3116"/>
      <c r="D48" s="140">
        <f>IF(H48="情况1",0,IF(H48="情况2",D52,IF(H48="情况3",D53,IF(H48="情况4",D54))))</f>
        <v>0</v>
      </c>
      <c r="E48" s="1798" t="str">
        <f>IF(H48="情况4","(销售额-原购置价)×税（费）率","销售额×税（费）率")</f>
        <v>销售额×税（费）率</v>
      </c>
      <c r="F48" s="175" t="str">
        <f>IF(H48="情况1","免征",'数据-取费表'!B41)</f>
        <v>免征</v>
      </c>
      <c r="G48" s="2479" t="s">
        <v>2196</v>
      </c>
      <c r="H48" s="2480" t="s">
        <v>2197</v>
      </c>
      <c r="I48" s="2478"/>
      <c r="J48" s="1809">
        <v>3</v>
      </c>
      <c r="K48" s="3047" t="s">
        <v>2198</v>
      </c>
      <c r="L48" s="3047"/>
      <c r="M48" s="3050">
        <f ca="1">H101</f>
        <v>2597</v>
      </c>
      <c r="N48" s="3050"/>
      <c r="O48" s="3050"/>
    </row>
    <row r="49" spans="1:35" ht="25.5" customHeight="1">
      <c r="A49" s="176" t="s">
        <v>2199</v>
      </c>
      <c r="B49" s="3095" t="s">
        <v>2200</v>
      </c>
      <c r="C49" s="3095"/>
      <c r="D49" s="177">
        <v>0</v>
      </c>
      <c r="E49" s="23" t="s">
        <v>2201</v>
      </c>
      <c r="F49" s="28" t="s">
        <v>34</v>
      </c>
      <c r="G49" s="3076"/>
      <c r="H49" s="138"/>
      <c r="I49" s="2481"/>
      <c r="J49" s="1809">
        <v>4</v>
      </c>
      <c r="K49" s="3047" t="str">
        <f>IF(项目基本情况!E8="房地产抵押价值","房地产抵押价值","抵押担保权已注销时的房地产抵押价值")</f>
        <v>房地产抵押价值</v>
      </c>
      <c r="L49" s="3047"/>
      <c r="M49" s="3050">
        <f ca="1">IF(项目基本情况!E8="房地产抵押价值",H107,H109)</f>
        <v>2597</v>
      </c>
      <c r="N49" s="3050"/>
      <c r="O49" s="3050"/>
    </row>
    <row r="50" spans="1:35" ht="25.5" customHeight="1">
      <c r="A50" s="178"/>
      <c r="B50" s="3095" t="s">
        <v>2202</v>
      </c>
      <c r="C50" s="3095"/>
      <c r="D50" s="179"/>
      <c r="E50" s="31"/>
      <c r="F50" s="180"/>
      <c r="G50" s="3077"/>
      <c r="H50" s="138"/>
      <c r="I50" s="2481"/>
      <c r="J50" s="3047" t="s">
        <v>2203</v>
      </c>
      <c r="K50" s="3047"/>
      <c r="L50" s="3047"/>
      <c r="M50" s="3047"/>
      <c r="N50" s="3047"/>
      <c r="O50" s="3047"/>
    </row>
    <row r="51" spans="1:35" ht="12" customHeight="1">
      <c r="A51" s="181"/>
      <c r="B51" s="3095" t="s">
        <v>2204</v>
      </c>
      <c r="C51" s="3095"/>
      <c r="D51" s="182"/>
      <c r="E51" s="30"/>
      <c r="F51" s="180"/>
      <c r="G51" s="3078"/>
      <c r="H51" s="138"/>
      <c r="I51" s="2481"/>
      <c r="J51" s="2482" t="s">
        <v>2205</v>
      </c>
      <c r="K51" s="3047" t="s">
        <v>2206</v>
      </c>
      <c r="L51" s="3047"/>
      <c r="M51" s="2482" t="s">
        <v>2207</v>
      </c>
      <c r="N51" s="2482" t="s">
        <v>2208</v>
      </c>
      <c r="O51" s="2482" t="s">
        <v>2209</v>
      </c>
    </row>
    <row r="52" spans="1:35" ht="24" customHeight="1">
      <c r="A52" s="183" t="s">
        <v>2210</v>
      </c>
      <c r="B52" s="3095" t="s">
        <v>2211</v>
      </c>
      <c r="C52" s="3095"/>
      <c r="D52" s="182">
        <f ca="1">ROUND(D45*'数据-取费表'!B41/(1+'数据-取费表'!C42),0)</f>
        <v>139</v>
      </c>
      <c r="E52" s="11" t="s">
        <v>2212</v>
      </c>
      <c r="F52" s="184">
        <f>'数据-取费表'!B41</f>
        <v>5.6000000000000001E-2</v>
      </c>
      <c r="G52" s="2483"/>
      <c r="H52" s="138"/>
      <c r="I52" s="2481"/>
      <c r="J52" s="1809">
        <v>1</v>
      </c>
      <c r="K52" s="3070" t="s">
        <v>2213</v>
      </c>
      <c r="L52" s="3070"/>
      <c r="M52" s="1751">
        <f>D48</f>
        <v>0</v>
      </c>
      <c r="N52" s="1809" t="str">
        <f>E48</f>
        <v>销售额×税（费）率</v>
      </c>
      <c r="O52" s="1752" t="str">
        <f>F48</f>
        <v>免征</v>
      </c>
    </row>
    <row r="53" spans="1:35" ht="12" customHeight="1">
      <c r="A53" s="183" t="s">
        <v>2214</v>
      </c>
      <c r="B53" s="3096" t="s">
        <v>2215</v>
      </c>
      <c r="C53" s="3097"/>
      <c r="D53" s="182">
        <f ca="1">ROUND(D45*'数据-取费表'!B41/(1+'数据-取费表'!C42),0)</f>
        <v>139</v>
      </c>
      <c r="E53" s="11" t="s">
        <v>2212</v>
      </c>
      <c r="F53" s="184">
        <f>'数据-取费表'!B41</f>
        <v>5.6000000000000001E-2</v>
      </c>
      <c r="G53" s="2483"/>
      <c r="H53" s="138"/>
      <c r="I53" s="2481"/>
      <c r="J53" s="1809">
        <v>2</v>
      </c>
      <c r="K53" s="3070" t="s">
        <v>2216</v>
      </c>
      <c r="L53" s="3070"/>
      <c r="M53" s="1751">
        <f t="shared" ref="M53:O54" ca="1" si="0">D55</f>
        <v>1</v>
      </c>
      <c r="N53" s="1809" t="str">
        <f t="shared" si="0"/>
        <v>销售额×税（费）率</v>
      </c>
      <c r="O53" s="1752">
        <f t="shared" si="0"/>
        <v>5.0000000000000001E-4</v>
      </c>
    </row>
    <row r="54" spans="1:35" ht="12" customHeight="1">
      <c r="A54" s="183" t="s">
        <v>2217</v>
      </c>
      <c r="B54" s="3096" t="s">
        <v>2218</v>
      </c>
      <c r="C54" s="3097"/>
      <c r="D54" s="182">
        <f ca="1">C68</f>
        <v>138</v>
      </c>
      <c r="E54" s="30" t="s">
        <v>2219</v>
      </c>
      <c r="F54" s="184">
        <f>'数据-取费表'!B41</f>
        <v>5.6000000000000001E-2</v>
      </c>
      <c r="G54" s="2483"/>
      <c r="H54" s="2484"/>
      <c r="I54" s="2481"/>
      <c r="J54" s="1809">
        <v>3</v>
      </c>
      <c r="K54" s="3070" t="s">
        <v>2220</v>
      </c>
      <c r="L54" s="3070"/>
      <c r="M54" s="1751">
        <f t="shared" ca="1" si="0"/>
        <v>1470</v>
      </c>
      <c r="N54" s="1809" t="str">
        <f t="shared" si="0"/>
        <v>增值额×税（费）率</v>
      </c>
      <c r="O54" s="1753" t="str">
        <f t="shared" si="0"/>
        <v>——</v>
      </c>
    </row>
    <row r="55" spans="1:35" ht="24" customHeight="1">
      <c r="A55" s="3134" t="s">
        <v>2221</v>
      </c>
      <c r="B55" s="3116"/>
      <c r="C55" s="3116"/>
      <c r="D55" s="185">
        <f ca="1">IF(H55="个人住宅",0,ROUND(D45*I55,0))</f>
        <v>1</v>
      </c>
      <c r="E55" s="11" t="s">
        <v>2222</v>
      </c>
      <c r="F55" s="184">
        <f>IF(H55="正常",I55,"免征")</f>
        <v>5.0000000000000001E-4</v>
      </c>
      <c r="G55" s="2483"/>
      <c r="H55" s="2480" t="s">
        <v>2223</v>
      </c>
      <c r="I55" s="186">
        <f>'数据-取费表'!B49</f>
        <v>5.0000000000000001E-4</v>
      </c>
      <c r="J55" s="1809" t="str">
        <f>IF(H59="非个人房产","",4)</f>
        <v/>
      </c>
      <c r="K55" s="3070" t="str">
        <f>IF(H59="非个人房产","——","个人所得税")</f>
        <v>——</v>
      </c>
      <c r="L55" s="3070"/>
      <c r="M55" s="1754" t="str">
        <f>D59</f>
        <v>——</v>
      </c>
      <c r="N55" s="1807" t="str">
        <f>E59</f>
        <v>——</v>
      </c>
      <c r="O55" s="1755" t="str">
        <f>F59</f>
        <v>——</v>
      </c>
    </row>
    <row r="56" spans="1:35" ht="25.2">
      <c r="A56" s="3134" t="s">
        <v>2224</v>
      </c>
      <c r="B56" s="3116"/>
      <c r="C56" s="3116"/>
      <c r="D56" s="185">
        <f ca="1">IF(H56="个人住宅",D57,D58)</f>
        <v>1470</v>
      </c>
      <c r="E56" s="11" t="s">
        <v>2225</v>
      </c>
      <c r="F56" s="184" t="str">
        <f>IF(H56="正常",F58,"免征")</f>
        <v>——</v>
      </c>
      <c r="G56" s="2485" t="s">
        <v>2226</v>
      </c>
      <c r="H56" s="2486" t="s">
        <v>2223</v>
      </c>
      <c r="I56" s="2487"/>
      <c r="J56" s="1809" t="str">
        <f>IF(项目基本情况!K6="上海银行",IF(J55="",4,J55+1),"")</f>
        <v/>
      </c>
      <c r="K56" s="3053" t="str">
        <f>IF(项目基本情况!K6="上海银行","其他处置费用","")</f>
        <v/>
      </c>
      <c r="L56" s="3054"/>
      <c r="M56" s="1751" t="str">
        <f>IF(项目基本情况!K6="上海银行",M69,"")</f>
        <v/>
      </c>
      <c r="N56" s="3056" t="str">
        <f>IF(项目基本情况!K6="上海银行","包含处置中涉及的律师、诉讼、拍卖、评估等费用","")</f>
        <v/>
      </c>
      <c r="O56" s="3057"/>
    </row>
    <row r="57" spans="1:35" ht="13.2">
      <c r="A57" s="183" t="s">
        <v>2199</v>
      </c>
      <c r="B57" s="3101" t="s">
        <v>2227</v>
      </c>
      <c r="C57" s="3102"/>
      <c r="D57" s="187">
        <v>0</v>
      </c>
      <c r="E57" s="23" t="s">
        <v>2201</v>
      </c>
      <c r="F57" s="155"/>
      <c r="G57" s="2483"/>
      <c r="H57" s="2487"/>
      <c r="I57" s="2487"/>
      <c r="J57" s="3070">
        <f>IF(AND(J55="",J56=""),4,IF(项目基本情况!K6="上海银行",结果表!J56+1,结果表!J55+1))</f>
        <v>4</v>
      </c>
      <c r="K57" s="3070" t="s">
        <v>2228</v>
      </c>
      <c r="L57" s="2488" t="s">
        <v>2229</v>
      </c>
      <c r="M57" s="1756"/>
      <c r="N57" s="1757">
        <f ca="1">SUMIF(M52:M56,"&lt;9e307")</f>
        <v>1471</v>
      </c>
      <c r="O57" s="2489"/>
      <c r="P57" s="1750">
        <f ca="1">N57/M49</f>
        <v>0.56642279553330765</v>
      </c>
    </row>
    <row r="58" spans="1:35" ht="25.2">
      <c r="A58" s="183" t="s">
        <v>2210</v>
      </c>
      <c r="B58" s="3101" t="s">
        <v>2230</v>
      </c>
      <c r="C58" s="3114"/>
      <c r="D58" s="185">
        <f ca="1">IF(H58="转让取得",C81,C97)</f>
        <v>1470</v>
      </c>
      <c r="E58" s="11" t="s">
        <v>2225</v>
      </c>
      <c r="F58" s="24" t="s">
        <v>34</v>
      </c>
      <c r="G58" s="2483"/>
      <c r="H58" s="2486" t="s">
        <v>2231</v>
      </c>
      <c r="I58" s="2487"/>
      <c r="J58" s="3070"/>
      <c r="K58" s="3070"/>
      <c r="L58" s="2488" t="s">
        <v>2232</v>
      </c>
      <c r="M58" s="1758"/>
      <c r="N58" s="2490" t="str">
        <f ca="1">NUMBERSTRING(INT(N57*10000),2)&amp;"元整"</f>
        <v>壹仟肆佰柒拾壹万元整</v>
      </c>
      <c r="O58" s="2491"/>
    </row>
    <row r="59" spans="1:35" ht="24.6" thickBot="1">
      <c r="A59" s="3074" t="s">
        <v>2233</v>
      </c>
      <c r="B59" s="3075"/>
      <c r="C59" s="3075"/>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072">
        <f>J57+1</f>
        <v>5</v>
      </c>
      <c r="K59" s="3070" t="s">
        <v>2235</v>
      </c>
      <c r="L59" s="1809" t="s">
        <v>2229</v>
      </c>
      <c r="M59" s="1759"/>
      <c r="N59" s="1760">
        <f ca="1">M49-N57</f>
        <v>1126</v>
      </c>
      <c r="O59" s="2493"/>
    </row>
    <row r="60" spans="1:35" ht="12" customHeight="1">
      <c r="A60" s="2494"/>
      <c r="B60" s="2416"/>
      <c r="C60" s="2416"/>
      <c r="D60" s="2416"/>
      <c r="E60" s="2164"/>
      <c r="F60" s="2487"/>
      <c r="G60" s="2487"/>
      <c r="H60" s="2495"/>
      <c r="I60" s="138"/>
      <c r="J60" s="3073"/>
      <c r="K60" s="3070"/>
      <c r="L60" s="2488" t="s">
        <v>2232</v>
      </c>
      <c r="M60" s="1758"/>
      <c r="N60" s="2490" t="str">
        <f ca="1">NUMBERSTRING(INT(N59*10000),2)&amp;"元整"</f>
        <v>壹仟壹佰贰拾陆万元整</v>
      </c>
      <c r="O60" s="2491"/>
    </row>
    <row r="61" spans="1:35" ht="13.8" thickBot="1">
      <c r="A61" s="3133" t="s">
        <v>2236</v>
      </c>
      <c r="B61" s="3133"/>
      <c r="C61" s="3133"/>
      <c r="D61" s="3133"/>
      <c r="E61" s="3133"/>
      <c r="F61" s="2487"/>
      <c r="G61" s="2487"/>
      <c r="H61" s="2495"/>
      <c r="I61" s="138"/>
      <c r="J61" s="1809">
        <f>J59+1</f>
        <v>6</v>
      </c>
      <c r="K61" s="3070" t="s">
        <v>2237</v>
      </c>
      <c r="L61" s="3070"/>
      <c r="M61" s="1761"/>
      <c r="N61" s="1762">
        <f ca="1">ROUND(N59*10000/'数据-汇总表'!E3,0)</f>
        <v>1867</v>
      </c>
      <c r="O61" s="2496"/>
    </row>
    <row r="62" spans="1:35" ht="13.2">
      <c r="A62" s="3090" t="s">
        <v>2238</v>
      </c>
      <c r="B62" s="3091"/>
      <c r="C62" s="1801"/>
      <c r="D62" s="1801" t="s">
        <v>2239</v>
      </c>
      <c r="E62" s="192" t="s">
        <v>2240</v>
      </c>
      <c r="F62" s="2487"/>
      <c r="G62" s="2487"/>
      <c r="H62" s="2495"/>
      <c r="I62" s="138"/>
    </row>
    <row r="63" spans="1:35" ht="13.2">
      <c r="A63" s="203" t="s">
        <v>775</v>
      </c>
      <c r="B63" s="193" t="s">
        <v>2241</v>
      </c>
      <c r="C63" s="194">
        <f ca="1">ROUND((C64+C65)/(1+'数据-取费表'!C42),0)</f>
        <v>2473</v>
      </c>
      <c r="D63" s="195"/>
      <c r="E63" s="196"/>
      <c r="F63" s="2487"/>
      <c r="G63" s="2487"/>
      <c r="H63" s="2495"/>
      <c r="I63" s="138"/>
      <c r="J63" s="3055" t="s">
        <v>2242</v>
      </c>
      <c r="K63" s="2497" t="s">
        <v>2243</v>
      </c>
      <c r="L63" s="1749">
        <f ca="1">IF(M49&gt;10000,M49*0.5%,IF(AND(M49&gt;1000,M49&lt;=10000),M49*1%,IF(AND(M49&gt;100,M49&lt;=1000),M49*3%,IF(AND(M49&gt;10,M49&lt;=100),M49*5%,M49*8%))))</f>
        <v>25.97</v>
      </c>
      <c r="M63" s="24">
        <f ca="1">ROUND(L63,1)</f>
        <v>26</v>
      </c>
      <c r="Z63" s="2421"/>
      <c r="AI63" s="2422"/>
    </row>
    <row r="64" spans="1:35" ht="14.25" customHeight="1">
      <c r="A64" s="197" t="s">
        <v>770</v>
      </c>
      <c r="B64" s="198" t="s">
        <v>2244</v>
      </c>
      <c r="C64" s="199">
        <f ca="1">D45</f>
        <v>2597</v>
      </c>
      <c r="D64" s="200" t="s">
        <v>32</v>
      </c>
      <c r="E64" s="201"/>
      <c r="F64" s="2487"/>
      <c r="G64" s="2487"/>
      <c r="H64" s="2495"/>
      <c r="I64" s="138"/>
      <c r="J64" s="3055"/>
      <c r="K64" s="2497" t="s">
        <v>2245</v>
      </c>
      <c r="L64" s="1749">
        <f ca="1">IF(M49&gt;2000,M49*0.5%,IF(AND(M49&gt;1000,M49&lt;=2000),M49*0.6%,IF(AND(M49&gt;500,M49&lt;=1000),M49*0.7%,IF(AND(M49&gt;200,M49&lt;=500),M49*0.8%,IF(AND(M49&gt;100,M49&lt;=200),M49*0.9%,IF(AND(M49&gt;50,M49&lt;=100),M49*1%,IF(AND(M49&gt;20,M49&lt;=50),M49*1.5%,IF(AND(M49&gt;10,M49&lt;=20),M49*2%,IF(AND(M49&gt;1,M49&lt;=10),M49*2.5%)))))))))</f>
        <v>12.984999999999999</v>
      </c>
      <c r="M64" s="24">
        <f t="shared" ref="M64:M65" ca="1" si="1">ROUND(L64,1)</f>
        <v>13</v>
      </c>
      <c r="N64" s="138" t="s">
        <v>2246</v>
      </c>
      <c r="Z64" s="2421"/>
      <c r="AI64" s="2422"/>
    </row>
    <row r="65" spans="1:35" ht="14.25" customHeight="1">
      <c r="A65" s="197" t="s">
        <v>771</v>
      </c>
      <c r="B65" s="198" t="s">
        <v>2247</v>
      </c>
      <c r="C65" s="202"/>
      <c r="D65" s="200"/>
      <c r="E65" s="201"/>
      <c r="F65" s="2487"/>
      <c r="G65" s="2487"/>
      <c r="H65" s="2495"/>
      <c r="I65" s="138"/>
      <c r="J65" s="3055"/>
      <c r="K65" s="2497" t="s">
        <v>2248</v>
      </c>
      <c r="L65" s="1749">
        <f ca="1">IF(M49&gt;1000,M49*0.1%,IF(AND(M49&gt;500,M49&lt;=1000),M49*0.5%,IF(AND(M49&gt;50,M49&lt;=500),M49*1%,IF(AND(M49&gt;1,M49&lt;=50),M49*1.5%))))</f>
        <v>2.597</v>
      </c>
      <c r="M65" s="24">
        <f t="shared" ca="1" si="1"/>
        <v>2.6</v>
      </c>
      <c r="N65" s="138" t="s">
        <v>2246</v>
      </c>
      <c r="Z65" s="2421"/>
      <c r="AI65" s="2422"/>
    </row>
    <row r="66" spans="1:35" ht="14.25" customHeight="1">
      <c r="A66" s="203" t="s">
        <v>772</v>
      </c>
      <c r="B66" s="204" t="s">
        <v>2249</v>
      </c>
      <c r="C66" s="205"/>
      <c r="D66" s="206" t="s">
        <v>32</v>
      </c>
      <c r="E66" s="1773" t="s">
        <v>1366</v>
      </c>
      <c r="F66" s="2487"/>
      <c r="G66" s="2487"/>
      <c r="H66" s="2495"/>
      <c r="I66" s="138"/>
      <c r="J66" s="3055"/>
      <c r="K66" s="2497" t="s">
        <v>2250</v>
      </c>
      <c r="L66" s="1749">
        <f ca="1">M49*0.5%</f>
        <v>12.984999999999999</v>
      </c>
      <c r="M66" s="24">
        <f ca="1">IF(L66&gt;0.5,0.5,ROUND(L66,0))</f>
        <v>0.5</v>
      </c>
      <c r="N66" s="138" t="s">
        <v>2251</v>
      </c>
      <c r="Z66" s="2421"/>
      <c r="AI66" s="2422"/>
    </row>
    <row r="67" spans="1:35" ht="14.25" customHeight="1">
      <c r="A67" s="203" t="s">
        <v>773</v>
      </c>
      <c r="B67" s="204" t="s">
        <v>2252</v>
      </c>
      <c r="C67" s="207">
        <f ca="1">C63-C66</f>
        <v>2473</v>
      </c>
      <c r="D67" s="200" t="s">
        <v>32</v>
      </c>
      <c r="E67" s="201"/>
      <c r="F67" s="2487"/>
      <c r="G67" s="2487"/>
      <c r="H67" s="2495"/>
      <c r="I67" s="138"/>
      <c r="J67" s="3055"/>
      <c r="K67" s="2497" t="s">
        <v>2253</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2254</v>
      </c>
      <c r="C68" s="210">
        <f ca="1">IF(C67&lt;=0,0,ROUND(C67*D68,0))</f>
        <v>138</v>
      </c>
      <c r="D68" s="211">
        <f>'数据-取费表'!B41</f>
        <v>5.6000000000000001E-2</v>
      </c>
      <c r="E68" s="212"/>
      <c r="F68" s="2487"/>
      <c r="G68" s="2487"/>
      <c r="H68" s="2495"/>
      <c r="I68" s="138"/>
      <c r="J68" s="3055"/>
      <c r="K68" s="2497" t="s">
        <v>2255</v>
      </c>
      <c r="L68" s="1749">
        <f ca="1">IF(M49&gt;10000,M49*0.5%,IF(AND(M49&gt;5000,M49&lt;=10000),M49*1%,IF(AND(M49&gt;1000,M49&lt;=5000),M49*2%,IF(AND(M49&gt;200,M49&lt;=1000),M49*3%,M49*5%))))</f>
        <v>51.94</v>
      </c>
      <c r="M68" s="24">
        <f ca="1">ROUND(L68,1)</f>
        <v>51.9</v>
      </c>
      <c r="Z68" s="2421"/>
      <c r="AI68" s="2422"/>
    </row>
    <row r="69" spans="1:35" s="2444" customFormat="1" ht="16.5" customHeight="1">
      <c r="A69" s="2498"/>
      <c r="B69" s="2499"/>
      <c r="C69" s="2500"/>
      <c r="D69" s="2501"/>
      <c r="E69" s="2502"/>
      <c r="F69" s="2164"/>
      <c r="G69" s="2164"/>
      <c r="H69" s="2163"/>
      <c r="I69" s="2416"/>
      <c r="J69" s="3055"/>
      <c r="K69" s="2497" t="s">
        <v>2256</v>
      </c>
      <c r="L69" s="2503"/>
      <c r="M69" s="24">
        <f ca="1">ROUND(SUM(M63:M68),0)</f>
        <v>96</v>
      </c>
      <c r="N69" s="1750">
        <f ca="1">M69/M49</f>
        <v>3.6965729688101655E-2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4" thickBot="1">
      <c r="A70" s="3099" t="s">
        <v>2257</v>
      </c>
      <c r="B70" s="3100"/>
      <c r="C70" s="3100"/>
      <c r="D70" s="3100"/>
      <c r="E70" s="3100"/>
      <c r="F70" s="3100"/>
      <c r="G70" s="3100"/>
      <c r="H70" s="310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090" t="s">
        <v>2238</v>
      </c>
      <c r="B71" s="3091"/>
      <c r="C71" s="1801"/>
      <c r="D71" s="1801"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775</v>
      </c>
      <c r="B72" s="204" t="s">
        <v>2258</v>
      </c>
      <c r="C72" s="207">
        <f ca="1">ROUND(D45/(1+'数据-取费表'!C42),0)</f>
        <v>2473</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772</v>
      </c>
      <c r="B73" s="173" t="s">
        <v>2259</v>
      </c>
      <c r="C73" s="207">
        <f ca="1">C74+C78</f>
        <v>15</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096" t="s">
        <v>2266</v>
      </c>
      <c r="F76" s="3095"/>
      <c r="G76" s="3095"/>
      <c r="H76" s="309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15</v>
      </c>
      <c r="D78" s="226">
        <f>'数据-取费表'!B43</f>
        <v>6.000000000000001E-3</v>
      </c>
      <c r="E78" s="3087" t="s">
        <v>2271</v>
      </c>
      <c r="F78" s="3088"/>
      <c r="G78" s="3088"/>
      <c r="H78" s="308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779</v>
      </c>
      <c r="B79" s="204" t="s">
        <v>2272</v>
      </c>
      <c r="C79" s="207">
        <f ca="1">C72-C73</f>
        <v>2458</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163.86666666666667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781</v>
      </c>
      <c r="B81" s="209" t="s">
        <v>2274</v>
      </c>
      <c r="C81" s="228">
        <f ca="1">ROUND(IF(C79&lt;=0,0,IF(C80&gt;=200%,C79*60%-C73*35%,IF(C80&gt;=100%,C79*50%-C73*15%,IF(C80&gt;=50%,C79*40%-C73*5%,IF(C80&lt;50%,C79*30%,0))))),0)</f>
        <v>1470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099" t="s">
        <v>2275</v>
      </c>
      <c r="B83" s="3100"/>
      <c r="C83" s="3100"/>
      <c r="D83" s="3100"/>
      <c r="E83" s="3100"/>
      <c r="F83" s="3100"/>
      <c r="G83" s="3100"/>
      <c r="H83" s="310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090" t="s">
        <v>2238</v>
      </c>
      <c r="B84" s="3091"/>
      <c r="C84" s="1801"/>
      <c r="D84" s="1801"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c r="A85" s="203" t="s">
        <v>775</v>
      </c>
      <c r="B85" s="204" t="s">
        <v>2258</v>
      </c>
      <c r="C85" s="207">
        <f ca="1">ROUND(D45/(1+'数据-取费表'!C42),0)</f>
        <v>2473</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c r="A86" s="203" t="s">
        <v>772</v>
      </c>
      <c r="B86" s="173" t="s">
        <v>2259</v>
      </c>
      <c r="C86" s="207">
        <f ca="1">IF(H88="仅含出让金",C87+C90+C91+C92+C93+C94,C87+C91+C92+C93+C94)</f>
        <v>15</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770</v>
      </c>
      <c r="B87" s="198" t="s">
        <v>2276</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c r="A88" s="217" t="s">
        <v>776</v>
      </c>
      <c r="B88" s="198" t="s">
        <v>2277</v>
      </c>
      <c r="C88" s="236"/>
      <c r="D88" s="226"/>
      <c r="E88" s="237" t="s">
        <v>2278</v>
      </c>
      <c r="F88" s="1797"/>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777</v>
      </c>
      <c r="B89" s="198" t="s">
        <v>2267</v>
      </c>
      <c r="C89" s="225">
        <f>ROUND(C88*D89,0)</f>
        <v>0</v>
      </c>
      <c r="D89" s="226">
        <f>'数据-取费表'!B48+'数据-取费表'!B49</f>
        <v>3.0499999999999999E-2</v>
      </c>
      <c r="E89" s="237" t="s">
        <v>2280</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771</v>
      </c>
      <c r="B90" s="198" t="s">
        <v>2281</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087" t="s">
        <v>2284</v>
      </c>
      <c r="F91" s="3088"/>
      <c r="G91" s="3088"/>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087" t="s">
        <v>2288</v>
      </c>
      <c r="F92" s="3088"/>
      <c r="G92" s="3088"/>
      <c r="H92" s="308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15</v>
      </c>
      <c r="D93" s="226">
        <f>'数据-取费表'!B43</f>
        <v>6.000000000000001E-3</v>
      </c>
      <c r="E93" s="3087" t="s">
        <v>2271</v>
      </c>
      <c r="F93" s="3088"/>
      <c r="G93" s="3088"/>
      <c r="H93" s="308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135" t="s">
        <v>2292</v>
      </c>
      <c r="F94" s="3136"/>
      <c r="G94" s="3136"/>
      <c r="H94" s="313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779</v>
      </c>
      <c r="B95" s="204" t="s">
        <v>2272</v>
      </c>
      <c r="C95" s="207">
        <f ca="1">ROUND(C85-C86,0)</f>
        <v>2458</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163.86666666666667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781</v>
      </c>
      <c r="B97" s="209" t="s">
        <v>2274</v>
      </c>
      <c r="C97" s="228">
        <f ca="1">ROUND(IF(C95&lt;=0,0,IF(C96&gt;=200%,C95*60%-C86*35%,IF(C96&gt;=100%,C95*50%-C86*15%,IF(C96&gt;=50%,C95*40%-C86*5%,IF(C96&lt;50%,C95*30%,0))))),0)</f>
        <v>1470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2293</v>
      </c>
      <c r="B99" s="2416"/>
      <c r="C99" s="2416"/>
      <c r="D99" s="2416"/>
      <c r="E99" s="2164"/>
      <c r="F99" s="2164"/>
      <c r="G99" s="2164"/>
      <c r="H99" s="2163"/>
      <c r="I99" s="138"/>
    </row>
    <row r="100" spans="1:35" ht="18.75" customHeight="1">
      <c r="A100" s="3039" t="s">
        <v>2294</v>
      </c>
      <c r="B100" s="3040"/>
      <c r="C100" s="3040"/>
      <c r="D100" s="3071"/>
      <c r="E100" s="3040" t="s">
        <v>2295</v>
      </c>
      <c r="F100" s="3040"/>
      <c r="G100" s="3040"/>
      <c r="H100" s="3071"/>
      <c r="I100" s="138"/>
    </row>
    <row r="101" spans="1:35" ht="18.75" customHeight="1">
      <c r="A101" s="3079" t="s">
        <v>2296</v>
      </c>
      <c r="B101" s="3080"/>
      <c r="C101" s="736" t="str">
        <f>C4</f>
        <v>成本法</v>
      </c>
      <c r="D101" s="737" t="str">
        <f>D4</f>
        <v>假设开发法</v>
      </c>
      <c r="E101" s="3051" t="s">
        <v>2297</v>
      </c>
      <c r="F101" s="3052"/>
      <c r="G101" s="2518" t="s">
        <v>2298</v>
      </c>
      <c r="H101" s="1045">
        <f ca="1">H118</f>
        <v>2597</v>
      </c>
      <c r="I101" s="138"/>
    </row>
    <row r="102" spans="1:35" ht="18.75" customHeight="1">
      <c r="A102" s="3081" t="s">
        <v>2299</v>
      </c>
      <c r="B102" s="2518" t="s">
        <v>2298</v>
      </c>
      <c r="C102" s="736">
        <f ca="1">C19</f>
        <v>2266</v>
      </c>
      <c r="D102" s="737">
        <f ca="1">D19</f>
        <v>2928</v>
      </c>
      <c r="E102" s="3051"/>
      <c r="F102" s="3052"/>
      <c r="G102" s="2518" t="s">
        <v>2300</v>
      </c>
      <c r="H102" s="371">
        <f ca="1">I118</f>
        <v>4306</v>
      </c>
      <c r="I102" s="138"/>
    </row>
    <row r="103" spans="1:35" ht="42.75" customHeight="1">
      <c r="A103" s="3081"/>
      <c r="B103" s="2518" t="s">
        <v>2300</v>
      </c>
      <c r="C103" s="738">
        <f ca="1">C20</f>
        <v>3757</v>
      </c>
      <c r="D103" s="739">
        <f ca="1">D20</f>
        <v>4855</v>
      </c>
      <c r="E103" s="3045" t="s">
        <v>2301</v>
      </c>
      <c r="F103" s="3046"/>
      <c r="G103" s="2519" t="s">
        <v>2302</v>
      </c>
      <c r="H103" s="1045">
        <f>IF(D36="正常操作",H104+H105+H106,H105+H106)</f>
        <v>0</v>
      </c>
      <c r="I103" s="138"/>
    </row>
    <row r="104" spans="1:35" ht="18.75" customHeight="1">
      <c r="A104" s="3081" t="s">
        <v>2303</v>
      </c>
      <c r="B104" s="2520" t="s">
        <v>2298</v>
      </c>
      <c r="C104" s="740">
        <f ca="1">H118</f>
        <v>2597</v>
      </c>
      <c r="D104" s="741"/>
      <c r="E104" s="2265" t="s">
        <v>2304</v>
      </c>
      <c r="F104" s="2256"/>
      <c r="G104" s="2519" t="s">
        <v>2302</v>
      </c>
      <c r="H104" s="1046">
        <f>IF(D36="同一抵押权人同一抵押物续贷",C36&amp;"（未扣减，详见特别提示）",C36)</f>
        <v>0</v>
      </c>
      <c r="I104" s="138"/>
    </row>
    <row r="105" spans="1:35" ht="18.75" customHeight="1" thickBot="1">
      <c r="A105" s="3093"/>
      <c r="B105" s="2521" t="s">
        <v>2300</v>
      </c>
      <c r="C105" s="742">
        <f ca="1">I118</f>
        <v>4306</v>
      </c>
      <c r="D105" s="743"/>
      <c r="E105" s="2265" t="s">
        <v>2305</v>
      </c>
      <c r="F105" s="2256"/>
      <c r="G105" s="2519" t="s">
        <v>2302</v>
      </c>
      <c r="H105" s="1046">
        <f>C37</f>
        <v>0</v>
      </c>
      <c r="I105" s="138"/>
    </row>
    <row r="106" spans="1:35" ht="18.75" customHeight="1">
      <c r="A106" s="2416" t="s">
        <v>2306</v>
      </c>
      <c r="B106" s="2416"/>
      <c r="C106" s="2416"/>
      <c r="D106" s="2416"/>
      <c r="E106" s="2522" t="s">
        <v>2307</v>
      </c>
      <c r="F106" s="2256"/>
      <c r="G106" s="2519" t="s">
        <v>2302</v>
      </c>
      <c r="H106" s="1046">
        <f>C38</f>
        <v>0</v>
      </c>
      <c r="I106" s="138"/>
    </row>
    <row r="107" spans="1:35" ht="18.75" customHeight="1">
      <c r="A107" s="138"/>
      <c r="B107" s="138"/>
      <c r="C107" s="138"/>
      <c r="D107" s="138"/>
      <c r="E107" s="3082" t="str">
        <f>IF(项目基本情况!E8="已注销","——","3.房地产抵押价值")</f>
        <v>3.房地产抵押价值</v>
      </c>
      <c r="F107" s="3052"/>
      <c r="G107" s="2518" t="s">
        <v>2298</v>
      </c>
      <c r="H107" s="1045">
        <f ca="1">IF(E107="——","——",H101-H103)</f>
        <v>2597</v>
      </c>
      <c r="I107" s="138"/>
    </row>
    <row r="108" spans="1:35" ht="18.75" customHeight="1">
      <c r="A108" s="138"/>
      <c r="B108" s="138"/>
      <c r="C108" s="138"/>
      <c r="D108" s="138"/>
      <c r="E108" s="3082"/>
      <c r="F108" s="3052"/>
      <c r="G108" s="2518" t="s">
        <v>2300</v>
      </c>
      <c r="H108" s="371">
        <f ca="1">ROUND(H107*10000/'数据-汇总表'!E3,0)</f>
        <v>4306</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52"/>
      <c r="G109" s="2518" t="s">
        <v>2298</v>
      </c>
      <c r="H109" s="348" t="str">
        <f>IF(E109="——","——",H101-H105-H106)</f>
        <v>——</v>
      </c>
      <c r="I109" s="138"/>
    </row>
    <row r="110" spans="1:35" ht="18.75" customHeight="1">
      <c r="A110" s="138"/>
      <c r="B110" s="138"/>
      <c r="C110" s="138"/>
      <c r="D110" s="138"/>
      <c r="E110" s="3082"/>
      <c r="F110" s="3052"/>
      <c r="G110" s="2518" t="s">
        <v>2300</v>
      </c>
      <c r="H110" s="371" t="str">
        <f>IF(H109="——","——",ROUND(H109*10000/'数据-汇总表'!E3,0))</f>
        <v>——</v>
      </c>
      <c r="I110" s="138"/>
    </row>
    <row r="111" spans="1:35" ht="18.75" customHeight="1">
      <c r="A111" s="138"/>
      <c r="B111" s="138"/>
      <c r="C111" s="138"/>
      <c r="D111" s="138"/>
      <c r="E111" s="3083" t="str">
        <f>IF(项目基本情况!E9="抵押净值",IF(OR(项目基本情况!E8="已注销",项目基本情况!E8="房地产抵押价值"),"4.抵押净值","5.抵押净值"),"——")</f>
        <v>——</v>
      </c>
      <c r="F111" s="3084"/>
      <c r="G111" s="2518" t="s">
        <v>2298</v>
      </c>
      <c r="H111" s="1045" t="str">
        <f>IF(E111="——","——",N59)</f>
        <v>——</v>
      </c>
      <c r="I111" s="138"/>
    </row>
    <row r="112" spans="1:35" ht="18.75" customHeight="1" thickBot="1">
      <c r="A112" s="138"/>
      <c r="B112" s="138"/>
      <c r="C112" s="138"/>
      <c r="D112" s="138"/>
      <c r="E112" s="3085"/>
      <c r="F112" s="3086"/>
      <c r="G112" s="2523" t="s">
        <v>2300</v>
      </c>
      <c r="H112" s="790" t="str">
        <f>IF(E111="——","——",N61)</f>
        <v>——</v>
      </c>
      <c r="I112" s="138"/>
    </row>
    <row r="113" spans="1:11" ht="18.75" customHeight="1">
      <c r="A113" s="138"/>
      <c r="B113" s="138"/>
      <c r="C113" s="138"/>
      <c r="D113" s="138"/>
      <c r="E113" s="3094" t="s">
        <v>2306</v>
      </c>
      <c r="F113" s="3094"/>
      <c r="G113" s="3094"/>
      <c r="H113" s="3094"/>
      <c r="I113" s="138"/>
    </row>
    <row r="114" spans="1:11" ht="3.75" customHeight="1">
      <c r="A114" s="2416"/>
      <c r="B114" s="2416"/>
      <c r="C114" s="2416"/>
      <c r="D114" s="2416"/>
      <c r="E114" s="2494"/>
      <c r="F114" s="2494"/>
      <c r="G114" s="2494"/>
      <c r="H114" s="2494"/>
      <c r="I114" s="2416"/>
    </row>
    <row r="115" spans="1:11" ht="18.75" customHeight="1">
      <c r="A115" s="3107" t="s">
        <v>2308</v>
      </c>
      <c r="B115" s="3108"/>
      <c r="C115" s="3108"/>
      <c r="D115" s="3108"/>
      <c r="E115" s="3108"/>
      <c r="F115" s="3108"/>
      <c r="G115" s="3108"/>
      <c r="H115" s="3108"/>
      <c r="I115" s="3109"/>
    </row>
    <row r="116" spans="1:11" ht="27" customHeight="1">
      <c r="A116" s="3018" t="s">
        <v>2309</v>
      </c>
      <c r="B116" s="3061" t="s">
        <v>2310</v>
      </c>
      <c r="C116" s="3061" t="s">
        <v>2311</v>
      </c>
      <c r="D116" s="3067" t="s">
        <v>2312</v>
      </c>
      <c r="E116" s="3068"/>
      <c r="F116" s="3103" t="s">
        <v>2313</v>
      </c>
      <c r="G116" s="3103"/>
      <c r="H116" s="3018" t="s">
        <v>2314</v>
      </c>
      <c r="I116" s="3018"/>
    </row>
    <row r="117" spans="1:11" ht="18.75" customHeight="1">
      <c r="A117" s="3018"/>
      <c r="B117" s="3062"/>
      <c r="C117" s="3062"/>
      <c r="D117" s="1795" t="s">
        <v>2315</v>
      </c>
      <c r="E117" s="1795" t="s">
        <v>2316</v>
      </c>
      <c r="F117" s="1795" t="s">
        <v>2315</v>
      </c>
      <c r="G117" s="1795" t="s">
        <v>2317</v>
      </c>
      <c r="H117" s="1795" t="s">
        <v>2315</v>
      </c>
      <c r="I117" s="1795" t="s">
        <v>2317</v>
      </c>
    </row>
    <row r="118" spans="1:11" ht="24.75" customHeight="1">
      <c r="A118" s="2524" t="str">
        <f>项目基本情况!S2</f>
        <v>河北省沧州临港经济技术开发区西区出让国有建设用地使用权及在建建筑物房地产</v>
      </c>
      <c r="B118" s="1795">
        <f>M18</f>
        <v>6031.39</v>
      </c>
      <c r="C118" s="1795">
        <f>M19</f>
        <v>27999.91</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2597</v>
      </c>
      <c r="I118" s="1795">
        <f ca="1">ROUND(IF(D32="楼面单价",C32,H118*10000/B118),0)</f>
        <v>4306</v>
      </c>
    </row>
    <row r="119" spans="1:11" ht="18.75" customHeight="1">
      <c r="A119" s="3018" t="s">
        <v>2318</v>
      </c>
      <c r="B119" s="3018"/>
      <c r="C119" s="3018"/>
      <c r="D119" s="3063" t="e">
        <f ca="1">NUMBERSTRING(INT(D118*10000),2)&amp;"元整"</f>
        <v>#REF!</v>
      </c>
      <c r="E119" s="3064"/>
      <c r="F119" s="3063" t="e">
        <f ca="1">NUMBERSTRING(INT(F118*10000),2)&amp;"元整"</f>
        <v>#REF!</v>
      </c>
      <c r="G119" s="3064"/>
      <c r="H119" s="3063" t="str">
        <f ca="1">NUMBERSTRING(INT(H118*10000),2)&amp;"元整"</f>
        <v>贰仟伍佰玖拾柒万元整</v>
      </c>
      <c r="I119" s="3064"/>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2421" t="str">
        <f>IF(D120=0,"故，本次评估不存在"&amp;A120,"故，本次评估"&amp;A120&amp;"为人民币"&amp;D120&amp;"万元整。")</f>
        <v>故，本次评估不存在估价师知悉的法定优先受偿款</v>
      </c>
    </row>
    <row r="121" spans="1:11" ht="18.75" customHeight="1">
      <c r="A121" s="3104" t="s">
        <v>2318</v>
      </c>
      <c r="B121" s="3105"/>
      <c r="C121" s="3106"/>
      <c r="D121" s="3063" t="str">
        <f>IF(D120=0,"零元整",NUMBERSTRING(INT(D120*10000),2)&amp;"元整")</f>
        <v>零元整</v>
      </c>
      <c r="E121" s="3065"/>
      <c r="F121" s="3065"/>
      <c r="G121" s="3065"/>
      <c r="H121" s="3065"/>
      <c r="I121" s="3064"/>
    </row>
    <row r="122" spans="1:11" ht="18.75" customHeight="1">
      <c r="A122" s="3069" t="str">
        <f>IF(项目基本情况!B9="房地产市场价值","",MID(E107,3,LEN(E107)-2))</f>
        <v>房地产抵押价值</v>
      </c>
      <c r="B122" s="3069"/>
      <c r="C122" s="3069"/>
      <c r="D122" s="3058">
        <f ca="1">H107</f>
        <v>2597</v>
      </c>
      <c r="E122" s="3059"/>
      <c r="F122" s="3059"/>
      <c r="G122" s="3059"/>
      <c r="H122" s="3059"/>
      <c r="I122" s="3060"/>
    </row>
    <row r="123" spans="1:11" ht="18.75" customHeight="1">
      <c r="A123" s="3018" t="s">
        <v>2318</v>
      </c>
      <c r="B123" s="3018"/>
      <c r="C123" s="3018"/>
      <c r="D123" s="3063" t="str">
        <f ca="1">NUMBERSTRING(INT(D122*10000),2)&amp;"元整"</f>
        <v>贰仟伍佰玖拾柒万元整</v>
      </c>
      <c r="E123" s="3065"/>
      <c r="F123" s="3065"/>
      <c r="G123" s="3065"/>
      <c r="H123" s="3065"/>
      <c r="I123" s="3064"/>
    </row>
    <row r="124" spans="1:11" ht="18.75" customHeight="1">
      <c r="A124" s="3069" t="str">
        <f>IF(项目基本情况!B9="房地产市场价值","",MID(E109,3,LEN(E109)-2))</f>
        <v/>
      </c>
      <c r="B124" s="3069"/>
      <c r="C124" s="3069"/>
      <c r="D124" s="3058" t="str">
        <f>H109</f>
        <v>——</v>
      </c>
      <c r="E124" s="3059"/>
      <c r="F124" s="3059"/>
      <c r="G124" s="3059"/>
      <c r="H124" s="3059"/>
      <c r="I124" s="3060"/>
    </row>
    <row r="125" spans="1:11" ht="18.75" customHeight="1">
      <c r="A125" s="3018" t="s">
        <v>2318</v>
      </c>
      <c r="B125" s="3018"/>
      <c r="C125" s="3018"/>
      <c r="D125" s="3063" t="e">
        <f>NUMBERSTRING(INT(D124*10000),2)&amp;"元整"</f>
        <v>#VALUE!</v>
      </c>
      <c r="E125" s="3065"/>
      <c r="F125" s="3065"/>
      <c r="G125" s="3065"/>
      <c r="H125" s="3065"/>
      <c r="I125" s="3064"/>
    </row>
    <row r="126" spans="1:11" ht="18.75" customHeight="1">
      <c r="A126" s="3069" t="str">
        <f>IF(项目基本情况!B9="房地产市场价值","",MID(E111,3,LEN(E111)-2))</f>
        <v/>
      </c>
      <c r="B126" s="3069"/>
      <c r="C126" s="3069"/>
      <c r="D126" s="3058" t="str">
        <f>H111</f>
        <v>——</v>
      </c>
      <c r="E126" s="3059"/>
      <c r="F126" s="3059"/>
      <c r="G126" s="3059"/>
      <c r="H126" s="3059"/>
      <c r="I126" s="3060"/>
    </row>
    <row r="127" spans="1:11" ht="18.75" customHeight="1">
      <c r="A127" s="3018" t="s">
        <v>2318</v>
      </c>
      <c r="B127" s="3018"/>
      <c r="C127" s="3018"/>
      <c r="D127" s="3063" t="e">
        <f>NUMBERSTRING(INT(D126*10000),2)&amp;"元整"</f>
        <v>#VALUE!</v>
      </c>
      <c r="E127" s="3065"/>
      <c r="F127" s="3065"/>
      <c r="G127" s="3065"/>
      <c r="H127" s="3065"/>
      <c r="I127" s="3064"/>
    </row>
    <row r="128" spans="1:11" ht="21.75" customHeight="1">
      <c r="A128" s="3066" t="s">
        <v>2319</v>
      </c>
      <c r="B128" s="3066"/>
      <c r="C128" s="3066"/>
      <c r="D128" s="3066"/>
      <c r="E128" s="3066"/>
      <c r="F128" s="3066"/>
      <c r="G128" s="3066"/>
      <c r="H128" s="3066"/>
      <c r="I128" s="3066"/>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B39" sqref="B3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c r="C1" s="242"/>
      <c r="D1" s="242"/>
      <c r="E1" s="242"/>
      <c r="F1" s="242"/>
      <c r="G1" s="1379">
        <f>MATCH(B1,'数据-取费表'!A6:A16,0)+5</f>
        <v>7</v>
      </c>
    </row>
    <row r="2" spans="1:9" s="244" customFormat="1" ht="18" customHeight="1">
      <c r="A2" s="245" t="s">
        <v>2328</v>
      </c>
      <c r="B2" s="246">
        <f ca="1">IF(D2="——",C52,C52-E2)</f>
        <v>2266</v>
      </c>
      <c r="C2" s="243" t="s">
        <v>2329</v>
      </c>
      <c r="D2" s="2547" t="s">
        <v>70</v>
      </c>
      <c r="E2" s="1440"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3757</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C6+C7+C8</f>
        <v>605</v>
      </c>
      <c r="D5" s="255" t="s">
        <v>2335</v>
      </c>
      <c r="E5" s="256" t="s">
        <v>2336</v>
      </c>
      <c r="F5" s="256" t="s">
        <v>2337</v>
      </c>
      <c r="G5" s="257"/>
    </row>
    <row r="6" spans="1:9" s="258" customFormat="1" ht="13.5" customHeight="1">
      <c r="A6" s="949" t="s">
        <v>2338</v>
      </c>
      <c r="B6" s="259" t="s">
        <v>2339</v>
      </c>
      <c r="C6" s="260">
        <f>'土地比较法-工业'!B2</f>
        <v>535</v>
      </c>
      <c r="D6" s="261"/>
      <c r="E6" s="262"/>
      <c r="F6" s="262"/>
      <c r="G6" s="263"/>
    </row>
    <row r="7" spans="1:9" s="258" customFormat="1" ht="13.5" customHeight="1">
      <c r="A7" s="949" t="s">
        <v>2340</v>
      </c>
      <c r="B7" s="259" t="s">
        <v>2341</v>
      </c>
      <c r="C7" s="264">
        <f>ROUND(C6*F7,0)</f>
        <v>16</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54</v>
      </c>
      <c r="D8" s="266"/>
      <c r="E8" s="264"/>
      <c r="F8" s="265"/>
      <c r="G8" s="2550" t="s">
        <v>3225</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90</v>
      </c>
      <c r="F9" s="265"/>
      <c r="G9" s="2551" t="s">
        <v>3226</v>
      </c>
      <c r="H9" s="1390"/>
      <c r="I9" s="2552" t="s">
        <v>2345</v>
      </c>
    </row>
    <row r="10" spans="1:9" s="258" customFormat="1" ht="13.5" customHeight="1">
      <c r="A10" s="950" t="s">
        <v>801</v>
      </c>
      <c r="B10" s="268" t="s">
        <v>2346</v>
      </c>
      <c r="C10" s="269">
        <f ca="1">ROUND(D10*E10/10000,0)</f>
        <v>54</v>
      </c>
      <c r="D10" s="1032">
        <f ca="1">IF(B1="",'数据-汇总表'!E6,IF(INDIRECT("'数据-取费表'!c"&amp;$G$1)="住宅",INDIRECT("'数据-取费表'!s"&amp;$G$1),INDIRECT("'数据-取费表'!k"&amp;$G$1)+INDIRECT("'数据-取费表'!s"&amp;$G$1)))</f>
        <v>6031.39</v>
      </c>
      <c r="E10" s="269">
        <f>'数据-取费表'!B28</f>
        <v>90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90</v>
      </c>
      <c r="D19" s="1036">
        <f ca="1">D9+D10</f>
        <v>6031.39</v>
      </c>
      <c r="E19" s="255">
        <f>'数据-取费表'!B31</f>
        <v>150</v>
      </c>
      <c r="F19" s="275"/>
      <c r="G19" s="2550" t="s">
        <v>1070</v>
      </c>
    </row>
    <row r="20" spans="1:7" s="258" customFormat="1" ht="13.5" customHeight="1">
      <c r="A20" s="299" t="s">
        <v>2359</v>
      </c>
      <c r="B20" s="254" t="s">
        <v>2360</v>
      </c>
      <c r="C20" s="276">
        <f ca="1">ROUND((C5+C19)*F20,0)</f>
        <v>14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15</v>
      </c>
      <c r="D22" s="279">
        <f ca="1">C26</f>
        <v>2.0000000000000001E-4</v>
      </c>
      <c r="E22" s="280" t="s">
        <v>2364</v>
      </c>
      <c r="F22" s="281">
        <f ca="1">'数据-取费表'!B40</f>
        <v>4.3499999999999997E-2</v>
      </c>
      <c r="G22" s="278" t="str">
        <f>IF('数据-取费表'!B22&lt;=1,"单利计息","复利计息")</f>
        <v>单利计息</v>
      </c>
    </row>
    <row r="23" spans="1:7" s="258" customFormat="1" ht="13.5" customHeight="1">
      <c r="A23" s="951" t="s">
        <v>2368</v>
      </c>
      <c r="B23" s="259" t="s">
        <v>2369</v>
      </c>
      <c r="C23" s="1355">
        <f ca="1">ROUND(IF('数据-取费表'!B22&lt;=1,C5*F22*'数据-取费表'!B23,C5*(POWER((1+F22),'数据-取费表'!B23)-1)),0)</f>
        <v>13</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2</v>
      </c>
      <c r="D24" s="282"/>
      <c r="E24" s="282"/>
      <c r="F24" s="283"/>
      <c r="G24" s="284" t="s">
        <v>2373</v>
      </c>
    </row>
    <row r="25" spans="1:7" s="258" customFormat="1" ht="24">
      <c r="A25" s="951" t="s">
        <v>2374</v>
      </c>
      <c r="B25" s="259" t="s">
        <v>2375</v>
      </c>
      <c r="C25" s="1355">
        <f ca="1">ROUND(IF('数据-取费表'!B22&lt;=1,C20*F22*'数据-取费表'!B23/2,C20*(POWER((1+F22),'数据-取费表'!B23/2)-1)),0)</f>
        <v>0</v>
      </c>
      <c r="D25" s="282"/>
      <c r="E25" s="285"/>
      <c r="F25" s="283"/>
      <c r="G25" s="286" t="s">
        <v>2376</v>
      </c>
    </row>
    <row r="26" spans="1:7" s="258" customFormat="1">
      <c r="A26" s="951" t="s">
        <v>795</v>
      </c>
      <c r="B26" s="259" t="s">
        <v>2377</v>
      </c>
      <c r="C26" s="282">
        <f ca="1">ROUND(IF('数据-取费表'!B22&lt;=1,F21*F22*'数据-取费表'!B23/2,F21*(POWER((1+F22),'数据-取费表'!B23/2)-1)),4)</f>
        <v>2.0000000000000001E-4</v>
      </c>
      <c r="D26" s="282"/>
      <c r="E26" s="285"/>
      <c r="F26" s="283"/>
      <c r="G26" s="287"/>
    </row>
    <row r="27" spans="1:7" s="258" customFormat="1" ht="26.4">
      <c r="A27" s="299" t="s">
        <v>2378</v>
      </c>
      <c r="B27" s="288" t="s">
        <v>2379</v>
      </c>
      <c r="C27" s="289">
        <f ca="1">C28</f>
        <v>69</v>
      </c>
      <c r="D27" s="279">
        <f ca="1">C29</f>
        <v>2E-3</v>
      </c>
      <c r="E27" s="280" t="s">
        <v>2380</v>
      </c>
      <c r="F27" s="290">
        <f ca="1">IF(B1="",'数据-取费表'!Q16,INDIRECT("'数据-取费表'!q"&amp;$G$1))</f>
        <v>0.1</v>
      </c>
      <c r="G27" s="291" t="s">
        <v>2381</v>
      </c>
    </row>
    <row r="28" spans="1:7" s="258" customFormat="1" ht="13.5" customHeight="1">
      <c r="A28" s="951" t="s">
        <v>791</v>
      </c>
      <c r="B28" s="292" t="s">
        <v>2382</v>
      </c>
      <c r="C28" s="293">
        <f ca="1">ROUND((C5+C19+C20)*F27*'数据-取费表'!B21/'数据-取费表'!B20,0)</f>
        <v>69</v>
      </c>
      <c r="D28" s="279"/>
      <c r="E28" s="280"/>
      <c r="F28" s="290"/>
      <c r="G28" s="291"/>
    </row>
    <row r="29" spans="1:7" s="258" customFormat="1" ht="13.5" customHeight="1">
      <c r="A29" s="951" t="s">
        <v>792</v>
      </c>
      <c r="B29" s="292" t="s">
        <v>2383</v>
      </c>
      <c r="C29" s="282">
        <f ca="1">ROUND(C21*F27*'数据-取费表'!B21/'数据-取费表'!B20,4)</f>
        <v>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858</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1150</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1015</v>
      </c>
      <c r="D34" s="261"/>
      <c r="E34" s="264"/>
      <c r="F34" s="301">
        <f ca="1">IF('数据-取费表'!B24=0,1,IF(B1="",'数据-取费表'!N16,INDIRECT("'数据-取费表'!n"&amp;$G$1)))</f>
        <v>0.99</v>
      </c>
      <c r="G34" s="263" t="s">
        <v>2392</v>
      </c>
    </row>
    <row r="35" spans="1:7" ht="13.5" customHeight="1">
      <c r="A35" s="951" t="s">
        <v>796</v>
      </c>
      <c r="B35" s="259" t="s">
        <v>2393</v>
      </c>
      <c r="C35" s="264">
        <f ca="1">ROUND(C34*F35,0)</f>
        <v>30</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90</v>
      </c>
      <c r="D37" s="261">
        <f ca="1">D19</f>
        <v>6031.39</v>
      </c>
      <c r="E37" s="293">
        <f>'数据-取费表'!B35</f>
        <v>150</v>
      </c>
      <c r="F37" s="303"/>
      <c r="G37" s="305" t="s">
        <v>2398</v>
      </c>
    </row>
    <row r="38" spans="1:7" ht="13.5" customHeight="1">
      <c r="A38" s="951" t="s">
        <v>799</v>
      </c>
      <c r="B38" s="259" t="s">
        <v>2399</v>
      </c>
      <c r="C38" s="264">
        <f ca="1">ROUND(C34*F38,0)</f>
        <v>15</v>
      </c>
      <c r="D38" s="264"/>
      <c r="E38" s="264"/>
      <c r="F38" s="303">
        <f>'数据-取费表'!B36</f>
        <v>1.4999999999999999E-2</v>
      </c>
      <c r="G38" s="263" t="s">
        <v>2394</v>
      </c>
    </row>
    <row r="39" spans="1:7" s="258" customFormat="1" ht="13.5" customHeight="1">
      <c r="A39" s="299" t="s">
        <v>2400</v>
      </c>
      <c r="B39" s="254" t="s">
        <v>2401</v>
      </c>
      <c r="C39" s="276">
        <f ca="1">ROUND(C33*F20,0)</f>
        <v>23</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12</v>
      </c>
      <c r="D41" s="279">
        <f ca="1">C44</f>
        <v>2.0000000000000001E-4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ROUND(IF('数据-取费表'!B22&lt;=1,C33*F22*'数据-取费表'!B21/2,C33*(POWER((1+F22),'数据-取费表'!B21/2)-1)),0)</f>
        <v>12</v>
      </c>
      <c r="D42" s="282"/>
      <c r="E42" s="282"/>
      <c r="F42" s="283"/>
      <c r="G42" s="3138" t="s">
        <v>2410</v>
      </c>
    </row>
    <row r="43" spans="1:7" ht="13.5" customHeight="1">
      <c r="A43" s="951" t="s">
        <v>792</v>
      </c>
      <c r="B43" s="259" t="s">
        <v>2411</v>
      </c>
      <c r="C43" s="282">
        <f ca="1">ROUND(IF('数据-取费表'!B22&lt;=1,C39*F22*'数据-取费表'!B21/2,C39*(POWER((1+F22),'数据-取费表'!B21/2)-1)),0)</f>
        <v>0</v>
      </c>
      <c r="D43" s="282"/>
      <c r="E43" s="282"/>
      <c r="F43" s="283"/>
      <c r="G43" s="3139"/>
    </row>
    <row r="44" spans="1:7" ht="13.5" customHeight="1">
      <c r="A44" s="951" t="s">
        <v>793</v>
      </c>
      <c r="B44" s="259" t="s">
        <v>2412</v>
      </c>
      <c r="C44" s="282">
        <f ca="1">ROUND(IF('数据-取费表'!B22&lt;=1,C40*F22*'数据-取费表'!B21/2,C40*(POWER((1+F22),'数据-取费表'!B21/2)-1)),4)</f>
        <v>2.0000000000000001E-4</v>
      </c>
      <c r="D44" s="282"/>
      <c r="E44" s="282"/>
      <c r="F44" s="283"/>
      <c r="G44" s="3140"/>
    </row>
    <row r="45" spans="1:7" s="258" customFormat="1" ht="13.5" customHeight="1">
      <c r="A45" s="299" t="s">
        <v>2413</v>
      </c>
      <c r="B45" s="288" t="s">
        <v>2379</v>
      </c>
      <c r="C45" s="289">
        <f ca="1">C46</f>
        <v>117</v>
      </c>
      <c r="D45" s="279">
        <f ca="1">C47</f>
        <v>2E-3</v>
      </c>
      <c r="E45" s="280" t="s">
        <v>2405</v>
      </c>
      <c r="F45" s="290"/>
      <c r="G45" s="291" t="s">
        <v>2414</v>
      </c>
    </row>
    <row r="46" spans="1:7" s="258" customFormat="1" ht="13.5" customHeight="1">
      <c r="A46" s="951" t="s">
        <v>791</v>
      </c>
      <c r="B46" s="292" t="s">
        <v>2415</v>
      </c>
      <c r="C46" s="293">
        <f ca="1">ROUND((C33+C39)*F27,0)</f>
        <v>117</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1408</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1408</v>
      </c>
      <c r="D51" s="276"/>
      <c r="E51" s="276"/>
      <c r="F51" s="308"/>
      <c r="G51" s="278" t="s">
        <v>2426</v>
      </c>
    </row>
    <row r="52" spans="1:7" s="252" customFormat="1" ht="16.8" thickBot="1">
      <c r="A52" s="309" t="s">
        <v>2427</v>
      </c>
      <c r="B52" s="310"/>
      <c r="C52" s="311">
        <f ca="1">C31+C51</f>
        <v>2266</v>
      </c>
      <c r="D52" s="310"/>
      <c r="E52" s="310"/>
      <c r="F52" s="310"/>
      <c r="G52" s="312"/>
    </row>
    <row r="55" spans="1:7" ht="15">
      <c r="B55" s="314" t="s">
        <v>2428</v>
      </c>
      <c r="C55" s="315"/>
    </row>
    <row r="56" spans="1:7">
      <c r="B56" s="317" t="s">
        <v>1507</v>
      </c>
      <c r="C56" s="319">
        <f ca="1">1-C57</f>
        <v>0.379</v>
      </c>
    </row>
    <row r="57" spans="1:7">
      <c r="B57" s="317" t="s">
        <v>1508</v>
      </c>
      <c r="C57" s="318">
        <f ca="1">ROUND(C51/C52,3)</f>
        <v>0.621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52" t="str">
        <f>项目基本情况!B1</f>
        <v>河北省沧州临港经济技术开发区西区出让国有建设用地使用权及在建建筑物房地产抵押价值预评估</v>
      </c>
      <c r="C37" s="2952"/>
      <c r="D37" s="2952"/>
      <c r="E37" s="2952"/>
      <c r="F37" s="2952"/>
      <c r="G37" s="2952"/>
      <c r="H37" s="2952"/>
      <c r="I37" s="2952"/>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6"/>
      <c r="C1" s="2553"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1603</v>
      </c>
      <c r="C2" s="243" t="s">
        <v>2329</v>
      </c>
      <c r="D2" s="2547" t="s">
        <v>70</v>
      </c>
      <c r="E2" s="1440"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2658</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542825</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542825</v>
      </c>
      <c r="D8" s="266"/>
      <c r="E8" s="264"/>
      <c r="F8" s="265"/>
      <c r="G8" s="2550"/>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90</v>
      </c>
      <c r="F9" s="265"/>
      <c r="G9" s="270"/>
    </row>
    <row r="10" spans="1:8" s="258" customFormat="1" ht="13.5" customHeight="1">
      <c r="A10" s="950" t="s">
        <v>801</v>
      </c>
      <c r="B10" s="268" t="s">
        <v>2346</v>
      </c>
      <c r="C10" s="269">
        <f ca="1">ROUND(D10*E10,0)</f>
        <v>542825</v>
      </c>
      <c r="D10" s="1032">
        <f ca="1">IF(B1="",'数据-汇总表'!E6,IF(INDIRECT("'数据-取费表'!c"&amp;$G$1)="住宅",INDIRECT("'数据-取费表'!s"&amp;$G$1),INDIRECT("'数据-取费表'!k"&amp;$G$1)+INDIRECT("'数据-取费表'!s"&amp;$G$1)))</f>
        <v>6031.39</v>
      </c>
      <c r="E10" s="269">
        <f>'数据-取费表'!B28</f>
        <v>90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904709</v>
      </c>
      <c r="D19" s="1036">
        <f ca="1">D9+D10</f>
        <v>6031.39</v>
      </c>
      <c r="E19" s="255">
        <f>'数据-取费表'!B31</f>
        <v>150</v>
      </c>
      <c r="F19" s="275"/>
      <c r="G19" s="2550"/>
    </row>
    <row r="20" spans="1:7" s="258" customFormat="1" ht="13.5" customHeight="1">
      <c r="A20" s="299" t="s">
        <v>2440</v>
      </c>
      <c r="B20" s="254" t="s">
        <v>2441</v>
      </c>
      <c r="C20" s="276">
        <f ca="1">ROUND((C5+C19)*F20,0)</f>
        <v>28951</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31798</v>
      </c>
      <c r="D22" s="279">
        <f ca="1">C26</f>
        <v>2.0000000000000001E-4</v>
      </c>
      <c r="E22" s="280" t="s">
        <v>2445</v>
      </c>
      <c r="F22" s="281">
        <f ca="1">'数据-取费表'!B40</f>
        <v>4.3499999999999997E-2</v>
      </c>
      <c r="G22" s="278" t="str">
        <f>IF('数据-取费表'!B22&lt;=1,"单利计息","复利计息")</f>
        <v>单利计息</v>
      </c>
    </row>
    <row r="23" spans="1:7" s="258" customFormat="1" ht="13.5" customHeight="1">
      <c r="A23" s="951" t="s">
        <v>2338</v>
      </c>
      <c r="B23" s="259" t="s">
        <v>2449</v>
      </c>
      <c r="C23" s="1381">
        <f ca="1">ROUND(IF('数据-取费表'!B22&lt;=1,C5*F22*'数据-取费表'!B22,C5*(POWER((1+F22),'数据-取费表'!B22)-1)),0)</f>
        <v>11806</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19677</v>
      </c>
      <c r="D24" s="282"/>
      <c r="E24" s="282"/>
      <c r="F24" s="283"/>
      <c r="G24" s="284" t="s">
        <v>2452</v>
      </c>
    </row>
    <row r="25" spans="1:7" s="258" customFormat="1" ht="24">
      <c r="A25" s="951" t="s">
        <v>2342</v>
      </c>
      <c r="B25" s="259" t="s">
        <v>2453</v>
      </c>
      <c r="C25" s="1381">
        <f ca="1">ROUND(IF('数据-取费表'!B22&lt;=1,C20*F22*'数据-取费表'!B22/2,C20*(POWER((1+F22),'数据-取费表'!B22/2)-1)),0)</f>
        <v>315</v>
      </c>
      <c r="D25" s="282"/>
      <c r="E25" s="285"/>
      <c r="F25" s="283"/>
      <c r="G25" s="286" t="s">
        <v>2454</v>
      </c>
    </row>
    <row r="26" spans="1:7" s="258" customFormat="1">
      <c r="A26" s="951" t="s">
        <v>795</v>
      </c>
      <c r="B26" s="259" t="s">
        <v>2377</v>
      </c>
      <c r="C26" s="282">
        <f ca="1">ROUND(IF('数据-取费表'!B22&lt;=1,F21*F22*'数据-取费表'!B22/2,F21*(POWER((1+F22),'数据-取费表'!B22/2)-1)),4)</f>
        <v>2.0000000000000001E-4</v>
      </c>
      <c r="D26" s="282"/>
      <c r="E26" s="285"/>
      <c r="F26" s="283"/>
      <c r="G26" s="287"/>
    </row>
    <row r="27" spans="1:7" s="258" customFormat="1" ht="26.4">
      <c r="A27" s="299" t="s">
        <v>2378</v>
      </c>
      <c r="B27" s="288" t="s">
        <v>2379</v>
      </c>
      <c r="C27" s="289">
        <f ca="1">C28</f>
        <v>147649</v>
      </c>
      <c r="D27" s="279">
        <f ca="1">C29</f>
        <v>2E-3</v>
      </c>
      <c r="E27" s="280" t="s">
        <v>2380</v>
      </c>
      <c r="F27" s="290">
        <f ca="1">IF(B1="",'数据-取费表'!Q16,INDIRECT("'数据-取费表'!q"&amp;$G$1))</f>
        <v>0.1</v>
      </c>
      <c r="G27" s="291" t="s">
        <v>2381</v>
      </c>
    </row>
    <row r="28" spans="1:7" s="258" customFormat="1" ht="13.5" customHeight="1">
      <c r="A28" s="951" t="s">
        <v>791</v>
      </c>
      <c r="B28" s="292" t="s">
        <v>2382</v>
      </c>
      <c r="C28" s="293">
        <f ca="1">ROUND((C5+C19+C20)*F27,0)</f>
        <v>147649</v>
      </c>
      <c r="D28" s="279"/>
      <c r="E28" s="280"/>
      <c r="F28" s="290"/>
      <c r="G28" s="291"/>
    </row>
    <row r="29" spans="1:7" s="258" customFormat="1" ht="13.5" customHeight="1">
      <c r="A29" s="951" t="s">
        <v>792</v>
      </c>
      <c r="B29" s="292" t="s">
        <v>2383</v>
      </c>
      <c r="C29" s="282">
        <f ca="1">ROUND(C21*F27,4)</f>
        <v>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1791165</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11619473</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10253363</v>
      </c>
      <c r="D34" s="261"/>
      <c r="E34" s="264"/>
      <c r="F34" s="301"/>
      <c r="G34" s="263"/>
    </row>
    <row r="35" spans="1:7" ht="13.5" customHeight="1">
      <c r="A35" s="951" t="s">
        <v>796</v>
      </c>
      <c r="B35" s="259" t="s">
        <v>2393</v>
      </c>
      <c r="C35" s="264">
        <f ca="1">ROUND(C34*F35,0)</f>
        <v>307601</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904709</v>
      </c>
      <c r="D37" s="261">
        <f ca="1">D19</f>
        <v>6031.39</v>
      </c>
      <c r="E37" s="293">
        <f>'数据-取费表'!B35</f>
        <v>150</v>
      </c>
      <c r="F37" s="303"/>
      <c r="G37" s="305"/>
    </row>
    <row r="38" spans="1:7" ht="13.5" customHeight="1">
      <c r="A38" s="951" t="s">
        <v>799</v>
      </c>
      <c r="B38" s="259" t="s">
        <v>2399</v>
      </c>
      <c r="C38" s="264">
        <f ca="1">ROUND(C34*F38,0)</f>
        <v>153800</v>
      </c>
      <c r="D38" s="264"/>
      <c r="E38" s="264"/>
      <c r="F38" s="303">
        <f>'数据-取费表'!B36</f>
        <v>1.4999999999999999E-2</v>
      </c>
      <c r="G38" s="263" t="s">
        <v>2394</v>
      </c>
    </row>
    <row r="39" spans="1:7" s="258" customFormat="1" ht="13.5" customHeight="1">
      <c r="A39" s="299" t="s">
        <v>2400</v>
      </c>
      <c r="B39" s="254" t="s">
        <v>2401</v>
      </c>
      <c r="C39" s="276">
        <f ca="1">ROUND(C33*F20,0)</f>
        <v>232389</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128889</v>
      </c>
      <c r="D41" s="279">
        <f ca="1">C44</f>
        <v>2.0000000000000001E-4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ROUND(IF('数据-取费表'!B22&lt;=1,C33*F22*'数据-取费表'!B20/2,C33*(POWER((1+F22),'数据-取费表'!B20/2)-1)),0)</f>
        <v>126362</v>
      </c>
      <c r="D42" s="282"/>
      <c r="E42" s="282"/>
      <c r="F42" s="283"/>
      <c r="G42" s="3138" t="s">
        <v>2457</v>
      </c>
    </row>
    <row r="43" spans="1:7" ht="13.5" customHeight="1">
      <c r="A43" s="951" t="s">
        <v>792</v>
      </c>
      <c r="B43" s="259" t="s">
        <v>2411</v>
      </c>
      <c r="C43" s="282">
        <f ca="1">ROUND(IF('数据-取费表'!B22&lt;=1,C39*F22*'数据-取费表'!B20/2,C39*(POWER((1+F22),'数据-取费表'!B20/2)-1)),0)</f>
        <v>2527</v>
      </c>
      <c r="D43" s="282"/>
      <c r="E43" s="282"/>
      <c r="F43" s="283"/>
      <c r="G43" s="3139"/>
    </row>
    <row r="44" spans="1:7" ht="13.5" customHeight="1">
      <c r="A44" s="951" t="s">
        <v>793</v>
      </c>
      <c r="B44" s="259" t="s">
        <v>2412</v>
      </c>
      <c r="C44" s="282">
        <f ca="1">ROUND(IF('数据-取费表'!B22&lt;=1,C40*F22*'数据-取费表'!B20/2,C40*(POWER((1+F22),'数据-取费表'!B20/2)-1)),4)</f>
        <v>2.0000000000000001E-4</v>
      </c>
      <c r="D44" s="282"/>
      <c r="E44" s="282"/>
      <c r="F44" s="283"/>
      <c r="G44" s="3140"/>
    </row>
    <row r="45" spans="1:7" s="258" customFormat="1" ht="13.5" customHeight="1">
      <c r="A45" s="299" t="s">
        <v>2413</v>
      </c>
      <c r="B45" s="288" t="s">
        <v>2379</v>
      </c>
      <c r="C45" s="289">
        <f ca="1">C46</f>
        <v>1185186</v>
      </c>
      <c r="D45" s="279">
        <f ca="1">C47</f>
        <v>2E-3</v>
      </c>
      <c r="E45" s="280" t="s">
        <v>2405</v>
      </c>
      <c r="F45" s="290"/>
      <c r="G45" s="291" t="s">
        <v>2414</v>
      </c>
    </row>
    <row r="46" spans="1:7" s="258" customFormat="1" ht="13.5" customHeight="1">
      <c r="A46" s="951" t="s">
        <v>791</v>
      </c>
      <c r="B46" s="292" t="s">
        <v>2415</v>
      </c>
      <c r="C46" s="293">
        <f ca="1">ROUND((C33+C39)*F27,0)</f>
        <v>1185186</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14241143</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14241143</v>
      </c>
      <c r="D51" s="276"/>
      <c r="E51" s="276"/>
      <c r="F51" s="308"/>
      <c r="G51" s="278" t="s">
        <v>2426</v>
      </c>
    </row>
    <row r="52" spans="1:7" s="252" customFormat="1" ht="16.8" thickBot="1">
      <c r="A52" s="309" t="s">
        <v>2427</v>
      </c>
      <c r="B52" s="310"/>
      <c r="C52" s="311">
        <f ca="1">C31+C51</f>
        <v>16032308</v>
      </c>
      <c r="D52" s="310"/>
      <c r="E52" s="310"/>
      <c r="F52" s="310"/>
      <c r="G52" s="312"/>
    </row>
    <row r="55" spans="1:7" ht="15">
      <c r="B55" s="314" t="s">
        <v>2428</v>
      </c>
      <c r="C55" s="315"/>
    </row>
    <row r="56" spans="1:7">
      <c r="B56" s="317" t="s">
        <v>1507</v>
      </c>
      <c r="C56" s="319">
        <f ca="1">1-C57</f>
        <v>0.11199999999999999</v>
      </c>
    </row>
    <row r="57" spans="1:7">
      <c r="B57" s="317" t="s">
        <v>1508</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F36" sqref="F36"/>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1"/>
      <c r="C1" s="1582"/>
      <c r="D1" s="1580"/>
      <c r="E1" s="320"/>
      <c r="F1" s="320"/>
      <c r="G1" s="1581"/>
      <c r="H1" s="320"/>
      <c r="I1" s="320"/>
      <c r="J1" s="320"/>
      <c r="K1" s="320">
        <f>MATCH(C1,'数据-取费表'!A6:A16,0)+5</f>
        <v>7</v>
      </c>
    </row>
    <row r="2" spans="1:33" ht="18" customHeight="1">
      <c r="A2" s="245" t="s">
        <v>2328</v>
      </c>
      <c r="B2" s="248">
        <f ca="1">C32</f>
        <v>2928</v>
      </c>
      <c r="C2" s="320" t="s">
        <v>2461</v>
      </c>
      <c r="D2" s="320"/>
      <c r="E2" s="320"/>
      <c r="F2" s="320"/>
      <c r="G2" s="320"/>
      <c r="H2" s="320"/>
      <c r="I2" s="320"/>
      <c r="J2" s="320"/>
      <c r="K2" s="320"/>
    </row>
    <row r="3" spans="1:33" ht="18" customHeight="1" thickBot="1">
      <c r="A3" s="247" t="s">
        <v>2330</v>
      </c>
      <c r="B3" s="248">
        <f ca="1">ROUND(B2*10000/IF(C1="",'数据-汇总表'!E3,INDIRECT("'数据-取费表'!K"&amp;$K$1)),0)</f>
        <v>4855</v>
      </c>
      <c r="C3" s="320" t="s">
        <v>2462</v>
      </c>
      <c r="D3" s="320"/>
      <c r="E3" s="320"/>
      <c r="F3" s="320"/>
      <c r="G3" s="320"/>
      <c r="H3" s="320"/>
      <c r="I3" s="320"/>
      <c r="J3" s="320"/>
      <c r="K3" s="320"/>
    </row>
    <row r="4" spans="1:33" s="956" customFormat="1" ht="16.5" customHeight="1">
      <c r="A4" s="953" t="s">
        <v>2463</v>
      </c>
      <c r="B4" s="954"/>
      <c r="C4" s="996">
        <f ca="1">SUM(C8:K8)</f>
        <v>3204</v>
      </c>
      <c r="D4" s="954"/>
      <c r="E4" s="954"/>
      <c r="F4" s="954"/>
      <c r="G4" s="954"/>
      <c r="H4" s="954"/>
      <c r="I4" s="954"/>
      <c r="J4" s="954"/>
      <c r="K4" s="955"/>
    </row>
    <row r="5" spans="1:33" s="960" customFormat="1" ht="14.4">
      <c r="A5" s="957" t="s">
        <v>2464</v>
      </c>
      <c r="B5" s="958" t="s">
        <v>2465</v>
      </c>
      <c r="C5" s="2554" t="s">
        <v>6</v>
      </c>
      <c r="D5" s="2554"/>
      <c r="E5" s="2554"/>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收益法!C43</f>
        <v>5312</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6031.39</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收益法!C40</f>
        <v>3204</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10</v>
      </c>
      <c r="D11" s="973"/>
      <c r="E11" s="375"/>
      <c r="F11" s="974">
        <f ca="1">1-IF('数据-取费表'!B24=0,1,IF(C1="",'数据-取费表'!N16,INDIRECT("'数据-取费表'!n"&amp;$K$1)))</f>
        <v>1.0000000000000009E-2</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1</v>
      </c>
      <c r="D14" s="1033">
        <f ca="1">IF(C1="",'数据-汇总表'!E3,INDIRECT("'数据-取费表'!K"&amp;$K$1)+INDIRECT("'数据-取费表'!S"&amp;$K$1))</f>
        <v>6031.39</v>
      </c>
      <c r="E14" s="24">
        <f>'数据-取费表'!B35</f>
        <v>150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11</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6031.39</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6" t="s">
        <v>3232</v>
      </c>
      <c r="H18" s="1577"/>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90</v>
      </c>
      <c r="F19" s="976"/>
      <c r="G19" s="15"/>
      <c r="H19" s="1579"/>
      <c r="I19" s="981"/>
      <c r="J19" s="981"/>
      <c r="K19" s="982"/>
    </row>
    <row r="20" spans="1:33" s="975" customFormat="1" ht="13.5" customHeight="1">
      <c r="A20" s="971" t="s">
        <v>806</v>
      </c>
      <c r="B20" s="972" t="s">
        <v>2493</v>
      </c>
      <c r="C20" s="24">
        <f ca="1">ROUND(D20*E20/10000,0)</f>
        <v>54</v>
      </c>
      <c r="D20" s="1033">
        <f ca="1">IF(C1="",'数据-汇总表'!E6,IF(INDIRECT("'数据-取费表'!c"&amp;$K$1)="住宅",INDIRECT("'数据-取费表'!s"&amp;$K$1),INDIRECT("'数据-取费表'!k"&amp;$K$1)+INDIRECT("'数据-取费表'!s"&amp;$K$1)))</f>
        <v>6031.39</v>
      </c>
      <c r="E20" s="24">
        <f>'数据-取费表'!B28</f>
        <v>90</v>
      </c>
      <c r="F20" s="976"/>
      <c r="G20" s="15"/>
      <c r="H20" s="981"/>
      <c r="I20" s="981"/>
      <c r="J20" s="981"/>
      <c r="K20" s="982"/>
    </row>
    <row r="21" spans="1:33" s="975" customFormat="1" ht="13.5" customHeight="1">
      <c r="A21" s="961" t="s">
        <v>802</v>
      </c>
      <c r="B21" s="985" t="s">
        <v>2494</v>
      </c>
      <c r="C21" s="986">
        <f ca="1">C16+C17+C18</f>
        <v>11</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1</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4.0000000000000002E-4</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4.0000000000000002E-4</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2507</v>
      </c>
      <c r="B28" s="2559" t="s">
        <v>2508</v>
      </c>
      <c r="C28" s="331">
        <f ca="1">C30</f>
        <v>1</v>
      </c>
      <c r="D28" s="324">
        <f ca="1">C29</f>
        <v>2.0999999999999999E-3</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2.0999999999999999E-3</v>
      </c>
      <c r="D29" s="328"/>
      <c r="E29" s="329"/>
      <c r="F29" s="334"/>
      <c r="G29" s="140" t="s">
        <v>2510</v>
      </c>
      <c r="H29" s="979"/>
      <c r="I29" s="979"/>
      <c r="J29" s="979"/>
      <c r="K29" s="980"/>
    </row>
    <row r="30" spans="1:33" s="335" customFormat="1" ht="13.5" customHeight="1">
      <c r="A30" s="971" t="s">
        <v>804</v>
      </c>
      <c r="B30" s="994" t="s">
        <v>2511</v>
      </c>
      <c r="C30" s="336">
        <f ca="1">ROUND((C21+C22+C23)*F28,0)</f>
        <v>1</v>
      </c>
      <c r="D30" s="328"/>
      <c r="E30" s="329"/>
      <c r="F30" s="334"/>
      <c r="G30" s="140"/>
      <c r="H30" s="979"/>
      <c r="I30" s="979"/>
      <c r="J30" s="979"/>
      <c r="K30" s="980"/>
    </row>
    <row r="31" spans="1:33" s="975" customFormat="1" ht="13.5" customHeight="1" thickBot="1">
      <c r="A31" s="2560" t="s">
        <v>2512</v>
      </c>
      <c r="B31" s="1005" t="s">
        <v>2513</v>
      </c>
      <c r="C31" s="1006">
        <f ca="1">ROUND(C4*F31/(1+'数据-取费表'!C42),0)</f>
        <v>171</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2928</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E46" sqref="E4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t="s">
        <v>6</v>
      </c>
      <c r="D1" s="1820" t="s">
        <v>3227</v>
      </c>
      <c r="E1" s="1821" t="s">
        <v>1381</v>
      </c>
      <c r="F1" s="1283">
        <f ca="1">J53</f>
        <v>46.4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3773</v>
      </c>
      <c r="C2" s="1845" t="s">
        <v>1510</v>
      </c>
      <c r="D2" s="1845"/>
      <c r="E2" s="1846"/>
      <c r="F2" s="1847"/>
      <c r="G2" s="1848"/>
      <c r="H2" s="1840"/>
      <c r="I2" s="1840"/>
      <c r="J2" s="1840"/>
      <c r="K2" s="1841"/>
      <c r="L2" s="1840"/>
      <c r="M2" s="1840"/>
    </row>
    <row r="3" spans="1:37" ht="18" customHeight="1" thickBot="1">
      <c r="A3" s="1849" t="s">
        <v>1511</v>
      </c>
      <c r="B3" s="1850">
        <f ca="1">IF(ISERROR(B2*10000/F43),0,ROUND(B2*10000/F43,0))</f>
        <v>6256</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198</v>
      </c>
      <c r="D5" s="1822" t="s">
        <v>1396</v>
      </c>
      <c r="E5" s="1293"/>
      <c r="F5" s="1294"/>
      <c r="G5" s="1851"/>
      <c r="H5" s="344">
        <v>1</v>
      </c>
      <c r="I5" s="345" t="s">
        <v>1395</v>
      </c>
      <c r="J5" s="1292">
        <f ca="1">J6+J10+J12</f>
        <v>0</v>
      </c>
      <c r="K5" s="1822" t="s">
        <v>1396</v>
      </c>
      <c r="L5" s="1293"/>
      <c r="M5" s="1294"/>
    </row>
    <row r="6" spans="1:37" ht="18" customHeight="1">
      <c r="A6" s="1291" t="s">
        <v>1031</v>
      </c>
      <c r="B6" s="3143" t="s">
        <v>1397</v>
      </c>
      <c r="C6" s="1296">
        <f ca="1">ROUND(F6*F8*F7*(1-F9)/10000,0)</f>
        <v>198</v>
      </c>
      <c r="D6" s="164" t="s">
        <v>3029</v>
      </c>
      <c r="E6" s="347" t="s">
        <v>1399</v>
      </c>
      <c r="F6" s="348">
        <f ca="1">INDIRECT("'数据-取费表'!u"&amp;$G$1)</f>
        <v>1</v>
      </c>
      <c r="G6" s="1851"/>
      <c r="H6" s="1291" t="s">
        <v>1031</v>
      </c>
      <c r="I6" s="3143" t="s">
        <v>1397</v>
      </c>
      <c r="J6" s="346">
        <f ca="1">ROUND(M6*M8*M7*(1-M9)/10000,0)</f>
        <v>0</v>
      </c>
      <c r="K6" s="164" t="s">
        <v>3028</v>
      </c>
      <c r="L6" s="347" t="s">
        <v>1399</v>
      </c>
      <c r="M6" s="348">
        <f ca="1">INDIRECT("'数据-取费表'!z"&amp;$G$1)</f>
        <v>0</v>
      </c>
    </row>
    <row r="7" spans="1:37" ht="18" customHeight="1">
      <c r="A7" s="1295"/>
      <c r="B7" s="3144"/>
      <c r="C7" s="1297"/>
      <c r="D7" s="352"/>
      <c r="E7" s="1298" t="s">
        <v>1400</v>
      </c>
      <c r="F7" s="348">
        <f ca="1">IF(INDIRECT("'数据-取费表'!ah"&amp;$G$1)="",INDIRECT("'数据-取费表'!k"&amp;$G$1),INDIRECT("'数据-取费表'!ah"&amp;$G$1))</f>
        <v>6031.39</v>
      </c>
      <c r="G7" s="1851"/>
      <c r="H7" s="349"/>
      <c r="I7" s="3144"/>
      <c r="J7" s="351"/>
      <c r="K7" s="352"/>
      <c r="L7" s="347" t="s">
        <v>1400</v>
      </c>
      <c r="M7" s="348">
        <f ca="1">F7</f>
        <v>6031.39</v>
      </c>
    </row>
    <row r="8" spans="1:37" ht="18" customHeight="1">
      <c r="A8" s="349"/>
      <c r="B8" s="3144"/>
      <c r="C8" s="351"/>
      <c r="D8" s="352"/>
      <c r="E8" s="347" t="s">
        <v>1401</v>
      </c>
      <c r="F8" s="348">
        <f ca="1">INDIRECT("'数据-取费表'!ai"&amp;$G$1)</f>
        <v>365</v>
      </c>
      <c r="G8" s="1851"/>
      <c r="H8" s="349"/>
      <c r="I8" s="3144"/>
      <c r="J8" s="351"/>
      <c r="K8" s="352"/>
      <c r="L8" s="347" t="s">
        <v>1401</v>
      </c>
      <c r="M8" s="348">
        <f ca="1">INDIRECT("'数据-取费表'!ai"&amp;$G$1)</f>
        <v>365</v>
      </c>
    </row>
    <row r="9" spans="1:37" ht="18" customHeight="1">
      <c r="A9" s="349"/>
      <c r="B9" s="3145"/>
      <c r="C9" s="351"/>
      <c r="D9" s="352"/>
      <c r="E9" s="347" t="s">
        <v>1402</v>
      </c>
      <c r="F9" s="357">
        <f ca="1">INDIRECT("'数据-取费表'!w"&amp;$G$1)</f>
        <v>0.1</v>
      </c>
      <c r="G9" s="1851"/>
      <c r="H9" s="349"/>
      <c r="I9" s="3145"/>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t="s">
        <v>3228</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1422</v>
      </c>
      <c r="D13" s="1331" t="s">
        <v>1409</v>
      </c>
      <c r="E13" s="1331" t="s">
        <v>1410</v>
      </c>
      <c r="F13" s="1332">
        <f ca="1">INDIRECT("'数据-取费表'!y"&amp;$G$1)</f>
        <v>1</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1025</v>
      </c>
      <c r="D14" s="1800" t="s">
        <v>1412</v>
      </c>
      <c r="E14" s="1794"/>
      <c r="F14" s="364"/>
      <c r="G14" s="1851"/>
      <c r="H14" s="1201" t="s">
        <v>1031</v>
      </c>
      <c r="I14" s="347" t="s">
        <v>1413</v>
      </c>
      <c r="J14" s="24">
        <f ca="1">C29</f>
        <v>1422</v>
      </c>
      <c r="K14" s="15"/>
      <c r="L14" s="979"/>
      <c r="M14" s="980"/>
    </row>
    <row r="15" spans="1:37" s="1858" customFormat="1" ht="18" customHeight="1" thickBot="1">
      <c r="A15" s="1201" t="s">
        <v>1032</v>
      </c>
      <c r="B15" s="347" t="s">
        <v>1414</v>
      </c>
      <c r="C15" s="24">
        <f ca="1">ROUND(C14*F15,0)</f>
        <v>31</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42</v>
      </c>
      <c r="K16" s="1337" t="s">
        <v>1419</v>
      </c>
      <c r="L16" s="1338"/>
      <c r="M16" s="1294"/>
    </row>
    <row r="17" spans="1:37" s="1858" customFormat="1" ht="18" customHeight="1">
      <c r="A17" s="1201" t="s">
        <v>1384</v>
      </c>
      <c r="B17" s="347" t="s">
        <v>1420</v>
      </c>
      <c r="C17" s="24">
        <f ca="1">ROUND(F17*(F43+INDIRECT("'数据-取费表'!S"&amp;$G$1))/10000,0)</f>
        <v>90</v>
      </c>
      <c r="D17" s="347" t="s">
        <v>1421</v>
      </c>
      <c r="E17" s="347" t="s">
        <v>1422</v>
      </c>
      <c r="F17" s="26">
        <f>'数据-取费表'!B35</f>
        <v>150</v>
      </c>
      <c r="G17" s="1854"/>
      <c r="H17" s="1201" t="s">
        <v>1031</v>
      </c>
      <c r="I17" s="347" t="s">
        <v>1423</v>
      </c>
      <c r="J17" s="24">
        <f ca="1">ROUND(IF(项目基本情况!B11="自然人",J6*M17/(1+'数据-取费表'!C42),J18+J19+J20),1)</f>
        <v>20.3</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15</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1161</v>
      </c>
      <c r="D19" s="140" t="s">
        <v>1430</v>
      </c>
      <c r="E19" s="1818"/>
      <c r="F19" s="26"/>
      <c r="G19" s="1851"/>
      <c r="H19" s="1201" t="s">
        <v>1032</v>
      </c>
      <c r="I19" s="347" t="s">
        <v>1431</v>
      </c>
      <c r="J19" s="24">
        <f ca="1">IF(K19="按租金收入计税",ROUND(J6*M19/(1+'数据-取费表'!C42),2),ROUND(C29*M19*0.7,2))</f>
        <v>11.94</v>
      </c>
      <c r="K19" s="1828" t="s">
        <v>1432</v>
      </c>
      <c r="L19" s="347" t="s">
        <v>1416</v>
      </c>
      <c r="M19" s="367">
        <f>IF(K19="按租金收入计税",'数据-取费表'!B51,'数据-取费表'!B50)</f>
        <v>1.2E-2</v>
      </c>
    </row>
    <row r="20" spans="1:37" s="1858" customFormat="1" ht="18" customHeight="1">
      <c r="A20" s="1201" t="s">
        <v>1035</v>
      </c>
      <c r="B20" s="347" t="s">
        <v>1433</v>
      </c>
      <c r="C20" s="24">
        <f ca="1">ROUND(C19*F20,0)</f>
        <v>23</v>
      </c>
      <c r="D20" s="369" t="s">
        <v>1434</v>
      </c>
      <c r="E20" s="347" t="s">
        <v>1416</v>
      </c>
      <c r="F20" s="367">
        <f>'数据-取费表'!B37</f>
        <v>0.02</v>
      </c>
      <c r="G20" s="1854"/>
      <c r="H20" s="1201" t="s">
        <v>1383</v>
      </c>
      <c r="I20" s="164" t="s">
        <v>1435</v>
      </c>
      <c r="J20" s="25">
        <f ca="1">ROUND(M20*M21/10000,2)</f>
        <v>8.4</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27999.91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21.3</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13</v>
      </c>
      <c r="D23" s="375" t="str">
        <f>IF(F23&lt;=1,"(建造成本+管理费用)×利率×(建设周期÷2)","(建造成本+管理费用)×((1+利率)^(建设周期÷2)-1)")</f>
        <v>(建造成本+管理费用)×利率×(建设周期÷2)</v>
      </c>
      <c r="E23" s="347" t="s">
        <v>1446</v>
      </c>
      <c r="F23" s="371">
        <f>'数据-取费表'!B20</f>
        <v>0.5</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-42</v>
      </c>
      <c r="K25" s="1345" t="s">
        <v>1458</v>
      </c>
      <c r="L25" s="1346"/>
      <c r="M25" s="1347"/>
    </row>
    <row r="26" spans="1:37">
      <c r="A26" s="1201" t="s">
        <v>1030</v>
      </c>
      <c r="B26" s="347" t="s">
        <v>1459</v>
      </c>
      <c r="C26" s="24">
        <f ca="1">ROUND((C19+C20)*F26,0)</f>
        <v>118</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1422</v>
      </c>
      <c r="D29" s="1342"/>
      <c r="E29" s="1340"/>
      <c r="F29" s="1343"/>
      <c r="G29" s="1854"/>
      <c r="H29" s="380" t="s">
        <v>1029</v>
      </c>
      <c r="I29" s="381" t="s">
        <v>1473</v>
      </c>
      <c r="J29" s="382">
        <f ca="1">ROUND(J26/(1+F40)^F41,0)</f>
        <v>0</v>
      </c>
      <c r="K29" s="383" t="s">
        <v>1474</v>
      </c>
      <c r="L29" s="384"/>
      <c r="M29" s="385">
        <f ca="1">INDIRECT("'数据-取费表'!k"&amp;$G$1)</f>
        <v>6031.39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68</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41.6</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10.56</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22.63</v>
      </c>
      <c r="D33" s="1828" t="s">
        <v>3229</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8.4</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27999.91</v>
      </c>
      <c r="G35" s="1851"/>
      <c r="H35" s="745"/>
      <c r="I35" s="1860"/>
      <c r="J35" s="1861"/>
      <c r="K35" s="1862"/>
      <c r="L35" s="1859"/>
      <c r="M35" s="1859"/>
    </row>
    <row r="36" spans="1:18" ht="18" customHeight="1">
      <c r="A36" s="1352" t="s">
        <v>1035</v>
      </c>
      <c r="B36" s="347" t="s">
        <v>1443</v>
      </c>
      <c r="C36" s="24">
        <f ca="1">ROUND(C29*F36,1)</f>
        <v>21.3</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2.1</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3</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130</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3204</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46.4</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5312</v>
      </c>
      <c r="D43" s="383" t="s">
        <v>1482</v>
      </c>
      <c r="E43" s="384" t="s">
        <v>1483</v>
      </c>
      <c r="F43" s="385">
        <f ca="1">INDIRECT("'数据-取费表'!k"&amp;$G$1)</f>
        <v>6031.39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8" thickBot="1">
      <c r="A46" s="1870" t="s">
        <v>1514</v>
      </c>
      <c r="C46" s="1871">
        <f ca="1">C68-C40</f>
        <v>-5910</v>
      </c>
      <c r="D46" s="1872" t="str">
        <f>C2</f>
        <v>万元</v>
      </c>
      <c r="E46" s="1866"/>
      <c r="F46" s="1866"/>
      <c r="I46" s="1873" t="s">
        <v>1515</v>
      </c>
      <c r="J46" s="1874"/>
      <c r="K46" s="1875"/>
      <c r="L46" s="1876">
        <f ca="1">IF(M47="住宅",0,IF(L48&gt;J51,L60,J60))</f>
        <v>569</v>
      </c>
      <c r="O46" s="1877" t="s">
        <v>1516</v>
      </c>
      <c r="P46" s="1878" t="s">
        <v>1517</v>
      </c>
      <c r="Q46" s="1879" t="s">
        <v>1518</v>
      </c>
      <c r="R46" s="1879" t="s">
        <v>1519</v>
      </c>
    </row>
    <row r="47" spans="1:18" s="1842" customFormat="1" ht="13.8" thickBot="1">
      <c r="A47" s="1165" t="s">
        <v>1390</v>
      </c>
      <c r="B47" s="1197" t="s">
        <v>1391</v>
      </c>
      <c r="C47" s="1367" t="s">
        <v>1392</v>
      </c>
      <c r="D47" s="1197" t="s">
        <v>1393</v>
      </c>
      <c r="E47" s="1279" t="s">
        <v>1394</v>
      </c>
      <c r="F47" s="1280"/>
      <c r="G47" s="792"/>
      <c r="I47" s="1880" t="s">
        <v>1520</v>
      </c>
      <c r="J47" s="1881" t="s">
        <v>3230</v>
      </c>
      <c r="K47" s="1882" t="s">
        <v>1521</v>
      </c>
      <c r="L47" s="1883">
        <f ca="1">INDIRECT("'数据-取费表'!d"&amp;$G$1)</f>
        <v>50</v>
      </c>
      <c r="M47" s="1838" t="str">
        <f>IF(ISNUMBER(FIND("住宅",C1)),"住宅","非住宅")</f>
        <v>非住宅</v>
      </c>
      <c r="O47" s="1884" t="s">
        <v>1036</v>
      </c>
      <c r="P47" s="1885" t="s">
        <v>1522</v>
      </c>
      <c r="Q47" s="1886">
        <f ca="1">C40+J29</f>
        <v>3204</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t="s">
        <v>3231</v>
      </c>
      <c r="K48" s="1889" t="s">
        <v>1525</v>
      </c>
      <c r="L48" s="1890">
        <f ca="1">INDIRECT("'数据-取费表'!f"&amp;$G$1)</f>
        <v>46.41</v>
      </c>
      <c r="O48" s="1884" t="s">
        <v>1037</v>
      </c>
      <c r="P48" s="1885" t="s">
        <v>1526</v>
      </c>
      <c r="Q48" s="1886">
        <f ca="1">J60</f>
        <v>569</v>
      </c>
      <c r="R48" s="1886" t="s">
        <v>1527</v>
      </c>
    </row>
    <row r="49" spans="1:18" s="1842" customFormat="1" ht="13.8" thickBot="1">
      <c r="A49" s="1194" t="s">
        <v>1132</v>
      </c>
      <c r="B49" s="1829" t="s">
        <v>1484</v>
      </c>
      <c r="C49" s="1364">
        <f ca="1">ROUND(F49*F51*F50*(1-F52)/10000,0)</f>
        <v>0</v>
      </c>
      <c r="D49" s="1276" t="s">
        <v>3030</v>
      </c>
      <c r="E49" s="1830" t="s">
        <v>1485</v>
      </c>
      <c r="F49" s="1281"/>
      <c r="G49" s="1891"/>
      <c r="H49" s="793"/>
      <c r="I49" s="1887" t="s">
        <v>1528</v>
      </c>
      <c r="J49" s="1892">
        <v>2020</v>
      </c>
      <c r="K49" s="1889" t="s">
        <v>1529</v>
      </c>
      <c r="L49" s="1893"/>
      <c r="O49" s="1894" t="s">
        <v>1038</v>
      </c>
      <c r="P49" s="1885" t="s">
        <v>1530</v>
      </c>
      <c r="Q49" s="1886">
        <f ca="1">C29</f>
        <v>1422</v>
      </c>
      <c r="R49" s="1886" t="s">
        <v>1523</v>
      </c>
    </row>
    <row r="50" spans="1:18" s="1842" customFormat="1" ht="13.8" thickBot="1">
      <c r="A50" s="1195"/>
      <c r="B50" s="1198"/>
      <c r="C50" s="1368"/>
      <c r="D50" s="1172"/>
      <c r="E50" s="1277" t="s">
        <v>1400</v>
      </c>
      <c r="F50" s="1278">
        <f ca="1">F7</f>
        <v>6031.39</v>
      </c>
      <c r="H50" s="793"/>
      <c r="I50" s="1887" t="s">
        <v>1531</v>
      </c>
      <c r="J50" s="1895">
        <f>SUMPRODUCT((I63:I65=J47)*(J62:L62=J48)*(J63:L65))</f>
        <v>60</v>
      </c>
      <c r="K50" s="1889" t="s">
        <v>1532</v>
      </c>
      <c r="L50" s="1893"/>
      <c r="M50" s="1896"/>
      <c r="O50" s="1894" t="s">
        <v>1039</v>
      </c>
      <c r="P50" s="1885" t="s">
        <v>1533</v>
      </c>
      <c r="Q50" s="1897">
        <f ca="1">J58</f>
        <v>0.4</v>
      </c>
      <c r="R50" s="1886"/>
    </row>
    <row r="51" spans="1:18" s="1842" customFormat="1" ht="13.8" thickBot="1">
      <c r="A51" s="1196"/>
      <c r="B51" s="1198"/>
      <c r="C51" s="1199"/>
      <c r="D51" s="1172"/>
      <c r="E51" s="1200" t="s">
        <v>1401</v>
      </c>
      <c r="F51" s="348">
        <f ca="1">F8</f>
        <v>365</v>
      </c>
      <c r="I51" s="1898" t="s">
        <v>1534</v>
      </c>
      <c r="J51" s="1899">
        <f>IF(J49="",J50,J49+J50-YEAR('数据-取费表'!B2))</f>
        <v>61</v>
      </c>
      <c r="K51" s="1900" t="s">
        <v>1535</v>
      </c>
      <c r="L51" s="1901">
        <f ca="1">ROUND(-PV(INDIRECT("'数据-取费表'!h"&amp;$G$1),L48,(C39-C13*C76),0),0)</f>
        <v>177</v>
      </c>
      <c r="M51" s="1902"/>
      <c r="O51" s="1894" t="s">
        <v>1040</v>
      </c>
      <c r="P51" s="1885" t="s">
        <v>1536</v>
      </c>
      <c r="Q51" s="1897">
        <f>J52</f>
        <v>0</v>
      </c>
      <c r="R51" s="1886"/>
    </row>
    <row r="52" spans="1:18" s="1842" customFormat="1" ht="13.8" thickBot="1">
      <c r="A52" s="1196"/>
      <c r="B52" s="1198"/>
      <c r="C52" s="1199"/>
      <c r="D52" s="1172"/>
      <c r="E52" s="1200" t="s">
        <v>1402</v>
      </c>
      <c r="F52" s="1275"/>
      <c r="I52" s="1903" t="s">
        <v>1537</v>
      </c>
      <c r="J52" s="1904"/>
      <c r="K52" s="1903" t="s">
        <v>1538</v>
      </c>
      <c r="L52" s="1904"/>
      <c r="O52" s="1894" t="s">
        <v>1041</v>
      </c>
      <c r="P52" s="1885" t="s">
        <v>1539</v>
      </c>
      <c r="Q52" s="1886">
        <f ca="1">J53</f>
        <v>46.4</v>
      </c>
      <c r="R52" s="1886" t="s">
        <v>1540</v>
      </c>
    </row>
    <row r="53" spans="1:18" s="1842" customFormat="1" ht="36.6" thickBot="1">
      <c r="A53" s="1405" t="s">
        <v>1133</v>
      </c>
      <c r="B53" s="1831" t="s">
        <v>1403</v>
      </c>
      <c r="C53" s="361">
        <f ca="1">ROUND(IF(F53="押一",C49/12*F11,IF(F53="押二",C49/12*2*F11,IF(F53="押三",C49/12*3*F11,C54*F11))),0)</f>
        <v>0</v>
      </c>
      <c r="D53" s="1824" t="s">
        <v>3037</v>
      </c>
      <c r="E53" s="358" t="s">
        <v>1404</v>
      </c>
      <c r="F53" s="1366"/>
      <c r="I53" s="1905" t="s">
        <v>1541</v>
      </c>
      <c r="J53" s="2950">
        <f ca="1">IF(M47="住宅",IF(D1="——",MAX(J51,L48),MAX(J51,L48-'数据-取费表'!B24)),IF(D1="——",MIN(J51,L48),MIN(J51,L48-'数据-取费表'!B24)))</f>
        <v>46.4</v>
      </c>
      <c r="K53" s="3141" t="s">
        <v>1542</v>
      </c>
      <c r="L53" s="3142"/>
      <c r="O53" s="1884" t="s">
        <v>1042</v>
      </c>
      <c r="P53" s="1885" t="s">
        <v>1543</v>
      </c>
      <c r="Q53" s="1886">
        <f ca="1">Q47+Q48</f>
        <v>3773</v>
      </c>
      <c r="R53" s="1886" t="s">
        <v>1043</v>
      </c>
    </row>
    <row r="54" spans="1:18" s="1842" customFormat="1" ht="24.6"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f ca="1">ROUND(IF(J47="钢混",J57/J50,1-(1-2%)*(J50-J57)/J50),3)</f>
        <v>0.24299999999999999</v>
      </c>
      <c r="K55" s="1911" t="s">
        <v>1546</v>
      </c>
      <c r="L55" s="1912" t="s">
        <v>1547</v>
      </c>
      <c r="O55" s="1877" t="s">
        <v>1516</v>
      </c>
      <c r="P55" s="1878" t="s">
        <v>1517</v>
      </c>
      <c r="Q55" s="1879" t="s">
        <v>1518</v>
      </c>
      <c r="R55" s="1879" t="s">
        <v>1519</v>
      </c>
    </row>
    <row r="56" spans="1:18" s="1842" customFormat="1" ht="37.200000000000003" thickTop="1" thickBot="1">
      <c r="A56" s="1176">
        <v>2</v>
      </c>
      <c r="B56" s="1177" t="s">
        <v>1408</v>
      </c>
      <c r="C56" s="276">
        <f ca="1">C13</f>
        <v>1422</v>
      </c>
      <c r="D56" s="1913"/>
      <c r="E56" s="1914"/>
      <c r="F56" s="1906"/>
      <c r="I56" s="1915" t="s">
        <v>1548</v>
      </c>
      <c r="J56" s="1916"/>
      <c r="K56" s="1887" t="s">
        <v>1549</v>
      </c>
      <c r="L56" s="1890" t="str">
        <f ca="1">IF(L48&lt;J51,"——",L48-J53)</f>
        <v>——</v>
      </c>
      <c r="O56" s="1884" t="s">
        <v>1036</v>
      </c>
      <c r="P56" s="1885" t="s">
        <v>1522</v>
      </c>
      <c r="Q56" s="1886">
        <f ca="1">C40+J29</f>
        <v>3204</v>
      </c>
      <c r="R56" s="1886" t="s">
        <v>1523</v>
      </c>
    </row>
    <row r="57" spans="1:18" s="1842" customFormat="1" ht="24.6" thickBot="1">
      <c r="A57" s="1917"/>
      <c r="B57" s="1169" t="s">
        <v>1472</v>
      </c>
      <c r="C57" s="282">
        <f ca="1">C29</f>
        <v>1422</v>
      </c>
      <c r="D57" s="1918"/>
      <c r="E57" s="1919"/>
      <c r="F57" s="1920"/>
      <c r="I57" s="1921" t="s">
        <v>1550</v>
      </c>
      <c r="J57" s="1922">
        <f ca="1">IF(OR(M47="住宅",J51&lt;L48,J56="是"),"——",J51-L48)</f>
        <v>14.590000000000003</v>
      </c>
      <c r="K57" s="1887" t="s">
        <v>1551</v>
      </c>
      <c r="L57" s="1890" t="str">
        <f ca="1">IF(L48&lt;J51,"——",IF(L55="比较法",L49,IF(L55="基准地价",L50,L51)))</f>
        <v>——</v>
      </c>
      <c r="O57" s="1884" t="s">
        <v>1037</v>
      </c>
      <c r="P57" s="1885" t="s">
        <v>1552</v>
      </c>
      <c r="Q57" s="1886">
        <f ca="1">L60</f>
        <v>0</v>
      </c>
      <c r="R57" s="1886" t="s">
        <v>1553</v>
      </c>
    </row>
    <row r="58" spans="1:18" s="1842" customFormat="1" ht="24.6" thickBot="1">
      <c r="A58" s="360" t="s">
        <v>1026</v>
      </c>
      <c r="B58" s="1177" t="s">
        <v>1418</v>
      </c>
      <c r="C58" s="361">
        <f ca="1">ROUND(C59+C64+C65+C66,0)</f>
        <v>151</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ROUND(IF(项目基本情况!B11="自然人",C48*F59,C60+C61+C62),1)</f>
        <v>127.9</v>
      </c>
      <c r="D59" s="1182" t="s">
        <v>1424</v>
      </c>
      <c r="E59" s="1183" t="s">
        <v>1425</v>
      </c>
      <c r="F59" s="368" t="str">
        <f ca="1">IF(项目基本情况!B11="企业","",IF(INDIRECT("'数据-取费表'!c"&amp;$G$1)="住宅",5%,IF(F49*F50*F51/12/(1+'数据-取费表'!C42)&gt;20000,12%,7%)))</f>
        <v/>
      </c>
      <c r="I59" s="1921" t="s">
        <v>1557</v>
      </c>
      <c r="J59" s="1922">
        <f ca="1">IF(OR(M47="住宅",J51&lt;L48,J56="是"),"——",ROUND(C29*J58,0))</f>
        <v>569</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f ca="1">IF(OR(M47="住宅",J51&lt;L48,J56="是"),"0",ROUND(J59/(1+J52)^J53,0))</f>
        <v>569</v>
      </c>
      <c r="K60" s="1926" t="s">
        <v>1560</v>
      </c>
      <c r="L60" s="1925">
        <f ca="1">IF(OR(M47="住宅",L48&lt;J51),0,ROUND(L57*(L58/L59-1),0))</f>
        <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IF(项目基本情况!B11="自然人","——",IF(D61="按租金收入计税",ROUND(C48*F61,2),IF(D61="按房产原值计税",ROUND(C57*F61*0.7,2),INDIRECT("'数据-取费表'!Aj"&amp;$G$1))))</f>
        <v>119.45</v>
      </c>
      <c r="D61" s="1828" t="s">
        <v>1432</v>
      </c>
      <c r="E61" s="1169" t="s">
        <v>1488</v>
      </c>
      <c r="F61" s="367">
        <f t="shared" si="0"/>
        <v>0.12</v>
      </c>
      <c r="I61" s="1927"/>
      <c r="J61" s="1927"/>
      <c r="K61" s="1927"/>
      <c r="L61" s="1927"/>
      <c r="O61" s="1894" t="s">
        <v>1041</v>
      </c>
      <c r="P61" s="1885" t="str">
        <f>K59</f>
        <v>续建工期及建筑物耐用年限下的土地年期修正系数Kn</v>
      </c>
      <c r="Q61" s="1886" t="e">
        <f ca="1">L59</f>
        <v>#DIV/0!</v>
      </c>
      <c r="R61" s="1886" t="s">
        <v>1563</v>
      </c>
    </row>
    <row r="62" spans="1:18" s="1842" customFormat="1" ht="13.8" thickBot="1">
      <c r="A62" s="1201" t="s">
        <v>1489</v>
      </c>
      <c r="B62" s="1168" t="s">
        <v>1490</v>
      </c>
      <c r="C62" s="25">
        <f ca="1">IF(项目基本情况!B11="自然人","——",ROUND(F62*F63/10000,2))</f>
        <v>8.4</v>
      </c>
      <c r="D62" s="1184" t="s">
        <v>1491</v>
      </c>
      <c r="E62" s="1169" t="s">
        <v>1492</v>
      </c>
      <c r="F62" s="371">
        <f t="shared" si="0"/>
        <v>3</v>
      </c>
      <c r="I62" s="1928" t="s">
        <v>1564</v>
      </c>
      <c r="J62" s="1929" t="s">
        <v>1565</v>
      </c>
      <c r="K62" s="1929" t="s">
        <v>1566</v>
      </c>
      <c r="L62" s="1929" t="s">
        <v>1567</v>
      </c>
      <c r="M62" s="1930" t="s">
        <v>1568</v>
      </c>
      <c r="O62" s="1884" t="s">
        <v>1042</v>
      </c>
      <c r="P62" s="1885" t="s">
        <v>1569</v>
      </c>
      <c r="Q62" s="1886">
        <f ca="1">Q56+Q57</f>
        <v>3204</v>
      </c>
      <c r="R62" s="1886" t="s">
        <v>1043</v>
      </c>
    </row>
    <row r="63" spans="1:18" s="1842" customFormat="1" ht="13.8" thickBot="1">
      <c r="A63" s="372"/>
      <c r="B63" s="1175"/>
      <c r="C63" s="29"/>
      <c r="D63" s="1185"/>
      <c r="E63" s="1169" t="s">
        <v>1493</v>
      </c>
      <c r="F63" s="348">
        <f t="shared" ca="1" si="0"/>
        <v>27999.91</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ROUND(C57*F64,1)</f>
        <v>21.3</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ROUND(C56*F65,1)</f>
        <v>2.1</v>
      </c>
      <c r="D65" s="1183" t="s">
        <v>1448</v>
      </c>
      <c r="E65" s="1169" t="s">
        <v>1449</v>
      </c>
      <c r="F65" s="376">
        <f t="shared" ca="1" si="0"/>
        <v>1.5E-3</v>
      </c>
      <c r="I65" s="1928" t="s">
        <v>1573</v>
      </c>
      <c r="J65" s="1929">
        <v>40</v>
      </c>
      <c r="K65" s="1929">
        <v>30</v>
      </c>
      <c r="L65" s="1929">
        <v>50</v>
      </c>
      <c r="M65" s="1931">
        <v>0.02</v>
      </c>
      <c r="O65" s="1884" t="s">
        <v>1036</v>
      </c>
      <c r="P65" s="1885" t="s">
        <v>1574</v>
      </c>
      <c r="Q65" s="1886">
        <f ca="1">C40+J29</f>
        <v>3204</v>
      </c>
      <c r="R65" s="1886" t="s">
        <v>1523</v>
      </c>
    </row>
    <row r="66" spans="1:18" s="1842" customFormat="1" ht="16.2" thickBot="1">
      <c r="A66" s="1201" t="s">
        <v>1498</v>
      </c>
      <c r="B66" s="1169" t="s">
        <v>1433</v>
      </c>
      <c r="C66" s="24">
        <f ca="1">ROUND(C48*F66,1)</f>
        <v>0</v>
      </c>
      <c r="D66" s="1183" t="s">
        <v>1499</v>
      </c>
      <c r="E66" s="1169" t="s">
        <v>1416</v>
      </c>
      <c r="F66" s="357">
        <f t="shared" ca="1" si="0"/>
        <v>1.4999999999999999E-2</v>
      </c>
      <c r="O66" s="1884" t="s">
        <v>1037</v>
      </c>
      <c r="P66" s="1885" t="s">
        <v>1552</v>
      </c>
      <c r="Q66" s="1886">
        <f ca="1">L60</f>
        <v>0</v>
      </c>
      <c r="R66" s="1886" t="s">
        <v>1575</v>
      </c>
    </row>
    <row r="67" spans="1:18" s="1842" customFormat="1" ht="24.6" thickBot="1">
      <c r="A67" s="1176" t="s">
        <v>1027</v>
      </c>
      <c r="B67" s="1186" t="s">
        <v>1457</v>
      </c>
      <c r="C67" s="361">
        <f ca="1">C48-C58</f>
        <v>-151</v>
      </c>
      <c r="D67" s="1182" t="s">
        <v>1458</v>
      </c>
      <c r="E67" s="1187"/>
      <c r="F67" s="1188"/>
      <c r="O67" s="1894" t="s">
        <v>1038</v>
      </c>
      <c r="P67" s="1885" t="s">
        <v>1556</v>
      </c>
      <c r="Q67" s="1932">
        <f ca="1">L51</f>
        <v>177</v>
      </c>
      <c r="R67" s="1886" t="s">
        <v>1576</v>
      </c>
    </row>
    <row r="68" spans="1:18" s="1842" customFormat="1" ht="16.2" thickBot="1">
      <c r="A68" s="1166" t="s">
        <v>1028</v>
      </c>
      <c r="B68" s="1167" t="s">
        <v>1479</v>
      </c>
      <c r="C68" s="346">
        <f ca="1">ROUND(C67*(1-((1+F70)/(1+F68))^F69)/(F68-F70),0)</f>
        <v>-2706</v>
      </c>
      <c r="D68" s="1184" t="s">
        <v>1463</v>
      </c>
      <c r="E68" s="1169" t="s">
        <v>1464</v>
      </c>
      <c r="F68" s="357">
        <f ca="1">F40</f>
        <v>0.05</v>
      </c>
      <c r="O68" s="1894" t="s">
        <v>1039</v>
      </c>
      <c r="P68" s="1933" t="s">
        <v>1577</v>
      </c>
      <c r="Q68" s="1886">
        <f ca="1">ROUND(Q69-Q70*Q71,0)</f>
        <v>9</v>
      </c>
      <c r="R68" s="1886" t="s">
        <v>1047</v>
      </c>
    </row>
    <row r="69" spans="1:18" s="1842" customFormat="1" ht="13.8" thickBot="1">
      <c r="A69" s="1170"/>
      <c r="B69" s="1171"/>
      <c r="C69" s="351"/>
      <c r="D69" s="1189" t="s">
        <v>1467</v>
      </c>
      <c r="E69" s="1169" t="s">
        <v>1468</v>
      </c>
      <c r="F69" s="379">
        <f ca="1">F41</f>
        <v>46.4</v>
      </c>
      <c r="O69" s="1894" t="s">
        <v>1044</v>
      </c>
      <c r="P69" s="1933" t="s">
        <v>1578</v>
      </c>
      <c r="Q69" s="1886">
        <f ca="1">C39</f>
        <v>130</v>
      </c>
      <c r="R69" s="1886" t="s">
        <v>1523</v>
      </c>
    </row>
    <row r="70" spans="1:18" s="1842" customFormat="1" ht="13.8" thickBot="1">
      <c r="A70" s="1173"/>
      <c r="B70" s="1174"/>
      <c r="C70" s="355"/>
      <c r="D70" s="1185"/>
      <c r="E70" s="1169" t="s">
        <v>1471</v>
      </c>
      <c r="F70" s="1275"/>
      <c r="O70" s="1894" t="s">
        <v>1045</v>
      </c>
      <c r="P70" s="1933" t="s">
        <v>1579</v>
      </c>
      <c r="Q70" s="1886">
        <f ca="1">C13</f>
        <v>1422</v>
      </c>
      <c r="R70" s="1886" t="s">
        <v>1523</v>
      </c>
    </row>
    <row r="71" spans="1:18" s="1842" customFormat="1" ht="13.8" thickBot="1">
      <c r="A71" s="1190" t="s">
        <v>1029</v>
      </c>
      <c r="B71" s="1191" t="s">
        <v>1481</v>
      </c>
      <c r="C71" s="382">
        <f ca="1">ROUND(C68*10000/F71,0)</f>
        <v>-4487</v>
      </c>
      <c r="D71" s="1192" t="s">
        <v>1482</v>
      </c>
      <c r="E71" s="1193" t="s">
        <v>1483</v>
      </c>
      <c r="F71" s="385">
        <f ca="1">F43</f>
        <v>6031.39</v>
      </c>
      <c r="O71" s="1894" t="s">
        <v>1046</v>
      </c>
      <c r="P71" s="1933" t="s">
        <v>1580</v>
      </c>
      <c r="Q71" s="1897">
        <f ca="1">C76</f>
        <v>8.5000000000000006E-2</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续建工期及建筑物耐用年限下的土地年期修正系数Kn</v>
      </c>
      <c r="Q74" s="1886" t="e">
        <f ca="1">L59</f>
        <v>#DIV/0!</v>
      </c>
      <c r="R74" s="1886" t="s">
        <v>1563</v>
      </c>
    </row>
    <row r="75" spans="1:18" ht="13.8" thickBot="1">
      <c r="A75" s="1842"/>
      <c r="B75" s="386" t="s">
        <v>1500</v>
      </c>
      <c r="C75" s="387">
        <f ca="1">ROUND(C13*C76,0)</f>
        <v>121</v>
      </c>
      <c r="D75" s="1842"/>
      <c r="E75" s="1842"/>
      <c r="F75" s="1842"/>
      <c r="K75" s="1868"/>
      <c r="L75" s="1842"/>
      <c r="O75" s="1884" t="s">
        <v>1042</v>
      </c>
      <c r="P75" s="1885" t="s">
        <v>1543</v>
      </c>
      <c r="Q75" s="1886">
        <f ca="1">Q65+Q66</f>
        <v>3204</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6.899999999999995E-2</v>
      </c>
    </row>
    <row r="80" spans="1:18">
      <c r="B80" s="386" t="s">
        <v>1505</v>
      </c>
      <c r="C80" s="318">
        <f ca="1">ROUND(C75/C39,3)</f>
        <v>0.93100000000000005</v>
      </c>
    </row>
    <row r="81" spans="2:3">
      <c r="B81" s="314" t="s">
        <v>1506</v>
      </c>
      <c r="C81" s="282"/>
    </row>
    <row r="82" spans="2:3">
      <c r="B82" s="317" t="s">
        <v>1507</v>
      </c>
      <c r="C82" s="319">
        <f ca="1">1-C83</f>
        <v>0.55600000000000005</v>
      </c>
    </row>
    <row r="83" spans="2:3">
      <c r="B83" s="317" t="s">
        <v>1508</v>
      </c>
      <c r="C83" s="318">
        <f ca="1">ROUND(C13/C40,3)</f>
        <v>0.44400000000000001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c r="D1" s="1820"/>
      <c r="E1" s="1821" t="s">
        <v>1381</v>
      </c>
      <c r="F1" s="1283">
        <f ca="1">J53</f>
        <v>-1.0000000000000009E-2</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43" t="s">
        <v>1397</v>
      </c>
      <c r="C6" s="1296">
        <f ca="1">ROUND(F6*F8*F7*(1-F9),0)</f>
        <v>0</v>
      </c>
      <c r="D6" s="164" t="s">
        <v>3026</v>
      </c>
      <c r="E6" s="347" t="s">
        <v>1399</v>
      </c>
      <c r="F6" s="348">
        <f ca="1">INDIRECT("'数据-取费表'!u"&amp;$G$1)</f>
        <v>0</v>
      </c>
      <c r="G6" s="1851"/>
      <c r="H6" s="1291" t="s">
        <v>1031</v>
      </c>
      <c r="I6" s="3143" t="s">
        <v>1397</v>
      </c>
      <c r="J6" s="346">
        <f ca="1">ROUND(M6*M8*M7*(1-M9),0)</f>
        <v>0</v>
      </c>
      <c r="K6" s="1834" t="s">
        <v>3027</v>
      </c>
      <c r="L6" s="347" t="s">
        <v>1399</v>
      </c>
      <c r="M6" s="348">
        <f ca="1">INDIRECT("'数据-取费表'!z"&amp;$G$1)</f>
        <v>0</v>
      </c>
    </row>
    <row r="7" spans="1:37" ht="18" customHeight="1">
      <c r="A7" s="1295"/>
      <c r="B7" s="3144"/>
      <c r="C7" s="1297"/>
      <c r="D7" s="352"/>
      <c r="E7" s="1298" t="s">
        <v>1400</v>
      </c>
      <c r="F7" s="348">
        <f ca="1">IF(INDIRECT("'数据-取费表'!ah"&amp;$G$1)="",INDIRECT("'数据-取费表'!k"&amp;$G$1),INDIRECT("'数据-取费表'!ah"&amp;$G$1))</f>
        <v>0</v>
      </c>
      <c r="G7" s="1851"/>
      <c r="H7" s="349"/>
      <c r="I7" s="3144"/>
      <c r="J7" s="351"/>
      <c r="K7" s="352"/>
      <c r="L7" s="347" t="s">
        <v>1400</v>
      </c>
      <c r="M7" s="348">
        <f ca="1">F7</f>
        <v>0</v>
      </c>
    </row>
    <row r="8" spans="1:37" ht="18" customHeight="1">
      <c r="A8" s="349"/>
      <c r="B8" s="3144"/>
      <c r="C8" s="351"/>
      <c r="D8" s="352"/>
      <c r="E8" s="347" t="s">
        <v>1401</v>
      </c>
      <c r="F8" s="348">
        <f ca="1">INDIRECT("'数据-取费表'!ai"&amp;$G$1)</f>
        <v>0</v>
      </c>
      <c r="G8" s="1851"/>
      <c r="H8" s="349"/>
      <c r="I8" s="3144"/>
      <c r="J8" s="351"/>
      <c r="K8" s="352"/>
      <c r="L8" s="347" t="s">
        <v>1401</v>
      </c>
      <c r="M8" s="348">
        <f ca="1">INDIRECT("'数据-取费表'!ai"&amp;$G$1)</f>
        <v>0</v>
      </c>
    </row>
    <row r="9" spans="1:37" ht="18" customHeight="1">
      <c r="A9" s="349"/>
      <c r="B9" s="3145"/>
      <c r="C9" s="351"/>
      <c r="D9" s="352"/>
      <c r="E9" s="347" t="s">
        <v>1402</v>
      </c>
      <c r="F9" s="357">
        <f ca="1">INDIRECT("'数据-取费表'!w"&amp;$G$1)</f>
        <v>0</v>
      </c>
      <c r="G9" s="1851"/>
      <c r="H9" s="349"/>
      <c r="I9" s="3145"/>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150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0.5</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8"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8"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8"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8"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8"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8" thickBot="1">
      <c r="A52" s="1196"/>
      <c r="B52" s="1198"/>
      <c r="C52" s="1199"/>
      <c r="D52" s="1172"/>
      <c r="E52" s="1200" t="s">
        <v>1402</v>
      </c>
      <c r="F52" s="1275"/>
      <c r="I52" s="1903" t="s">
        <v>1537</v>
      </c>
      <c r="J52" s="1904"/>
      <c r="K52" s="1903" t="s">
        <v>1538</v>
      </c>
      <c r="L52" s="1904"/>
      <c r="O52" s="1894" t="s">
        <v>1041</v>
      </c>
      <c r="P52" s="1885" t="s">
        <v>1539</v>
      </c>
      <c r="Q52" s="1886">
        <f ca="1">J53</f>
        <v>-1.0000000000000009E-2</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0">
        <f ca="1">IF(M47="住宅",IF(D1="——",MAX(J51,L48),MAX(J51,L48-'数据-取费表'!B24)),IF(D1="——",MIN(J51,L48),MIN(J51,L48-'数据-取费表'!B24)))</f>
        <v>-1.0000000000000009E-2</v>
      </c>
      <c r="K53" s="3141" t="s">
        <v>1542</v>
      </c>
      <c r="L53" s="3142"/>
      <c r="O53" s="1884" t="s">
        <v>1042</v>
      </c>
      <c r="P53" s="1885" t="s">
        <v>1543</v>
      </c>
      <c r="Q53" s="1886" t="e">
        <f ca="1">Q47+Q48</f>
        <v>#DIV/0!</v>
      </c>
      <c r="R53" s="1886" t="s">
        <v>1043</v>
      </c>
    </row>
    <row r="54" spans="1:18" s="1842" customFormat="1" ht="13.8"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6"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6"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8" thickBot="1">
      <c r="A62" s="1201" t="s">
        <v>1489</v>
      </c>
      <c r="B62" s="1168" t="s">
        <v>1490</v>
      </c>
      <c r="C62" s="25">
        <f ca="1">IF(项目基本情况!B11="自然人","——",ROUND(F62*F63,0))</f>
        <v>0</v>
      </c>
      <c r="D62" s="1184" t="s">
        <v>1491</v>
      </c>
      <c r="E62" s="1169" t="s">
        <v>1492</v>
      </c>
      <c r="F62" s="371">
        <f t="shared" si="0"/>
        <v>3</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8"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2"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4.6"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2"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8" thickBot="1">
      <c r="A69" s="1170"/>
      <c r="B69" s="1171"/>
      <c r="C69" s="351"/>
      <c r="D69" s="1189" t="s">
        <v>1467</v>
      </c>
      <c r="E69" s="1169" t="s">
        <v>1468</v>
      </c>
      <c r="F69" s="379">
        <f ca="1">F41</f>
        <v>0</v>
      </c>
      <c r="O69" s="1894" t="s">
        <v>1044</v>
      </c>
      <c r="P69" s="1933" t="s">
        <v>1578</v>
      </c>
      <c r="Q69" s="1886">
        <f ca="1">C39</f>
        <v>0</v>
      </c>
      <c r="R69" s="1886" t="s">
        <v>1523</v>
      </c>
    </row>
    <row r="70" spans="1:18" s="1842" customFormat="1" ht="13.8" thickBot="1">
      <c r="A70" s="1173"/>
      <c r="B70" s="1174"/>
      <c r="C70" s="355"/>
      <c r="D70" s="1185"/>
      <c r="E70" s="1169" t="s">
        <v>1471</v>
      </c>
      <c r="F70" s="1275">
        <f ca="1">F42</f>
        <v>0</v>
      </c>
      <c r="O70" s="1894" t="s">
        <v>1045</v>
      </c>
      <c r="P70" s="1933" t="s">
        <v>1579</v>
      </c>
      <c r="Q70" s="1886">
        <f ca="1">C13</f>
        <v>0</v>
      </c>
      <c r="R70" s="1886" t="s">
        <v>1523</v>
      </c>
    </row>
    <row r="71" spans="1:18" s="1842" customFormat="1" ht="13.8"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8"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1" t="s">
        <v>2524</v>
      </c>
      <c r="B1" s="2562"/>
      <c r="C1" s="2562"/>
      <c r="D1" s="2562"/>
      <c r="E1" s="2563"/>
    </row>
    <row r="2" spans="1:6" ht="15.6">
      <c r="A2" s="2564" t="s">
        <v>2328</v>
      </c>
      <c r="B2" s="2565">
        <f ca="1">SUMIF(B6:B13,"&lt;&gt;#ref!",B6:B13)</f>
        <v>3773</v>
      </c>
      <c r="C2" s="2566" t="s">
        <v>2517</v>
      </c>
      <c r="D2" s="2567" t="s">
        <v>2518</v>
      </c>
      <c r="E2" s="2568">
        <f>SUM(E6:E13)</f>
        <v>6031.39</v>
      </c>
    </row>
    <row r="3" spans="1:6" ht="15.6">
      <c r="A3" s="2564" t="s">
        <v>1389</v>
      </c>
      <c r="B3" s="2565">
        <f ca="1">ROUND(B2*10000/E2,0)</f>
        <v>6256</v>
      </c>
      <c r="C3" s="2566" t="s">
        <v>2525</v>
      </c>
      <c r="D3" s="2569"/>
      <c r="E3" s="2570"/>
    </row>
    <row r="4" spans="1:6" ht="15.6">
      <c r="A4" s="2571"/>
      <c r="B4" s="2569"/>
      <c r="C4" s="2569"/>
      <c r="D4" s="2569"/>
      <c r="E4" s="2570"/>
    </row>
    <row r="5" spans="1:6" ht="14.4">
      <c r="A5" s="2572" t="s">
        <v>2519</v>
      </c>
      <c r="B5" s="3146" t="s">
        <v>2520</v>
      </c>
      <c r="C5" s="3146"/>
      <c r="D5" s="2573"/>
      <c r="E5" s="2574" t="s">
        <v>2521</v>
      </c>
      <c r="F5" s="2575" t="s">
        <v>2522</v>
      </c>
    </row>
    <row r="6" spans="1:6" ht="14.4">
      <c r="A6" s="2576" t="str">
        <f>'数据-取费表'!AN6</f>
        <v>收益法</v>
      </c>
      <c r="B6" s="2575">
        <f ca="1">IF(F6="是",'数据-取费表'!AO6,0)</f>
        <v>3773</v>
      </c>
      <c r="C6" s="2566" t="s">
        <v>2517</v>
      </c>
      <c r="D6" s="2569"/>
      <c r="E6" s="2577">
        <f>IF(OR(A6=0,F6="否"),0,'数据-取费表'!K6+'数据-取费表'!S6)</f>
        <v>6031.39</v>
      </c>
      <c r="F6" s="2578" t="s">
        <v>2523</v>
      </c>
    </row>
    <row r="7" spans="1:6" ht="14.4">
      <c r="A7" s="2576">
        <f>'数据-取费表'!AN7</f>
        <v>0</v>
      </c>
      <c r="B7" s="2575" t="e">
        <f ca="1">IF(F7="是",'数据-取费表'!AO7,0)</f>
        <v>#REF!</v>
      </c>
      <c r="C7" s="2566" t="s">
        <v>2517</v>
      </c>
      <c r="D7" s="2569"/>
      <c r="E7" s="2577">
        <f>IF(OR(A7=0,F7="否"),0,'数据-取费表'!K7+'数据-取费表'!S7)</f>
        <v>0</v>
      </c>
      <c r="F7" s="2578" t="s">
        <v>2523</v>
      </c>
    </row>
    <row r="8" spans="1:6" ht="14.4">
      <c r="A8" s="2576">
        <f>'数据-取费表'!AN8</f>
        <v>0</v>
      </c>
      <c r="B8" s="2575" t="e">
        <f ca="1">IF(F8="是",'数据-取费表'!AO8,0)</f>
        <v>#REF!</v>
      </c>
      <c r="C8" s="2566" t="s">
        <v>2517</v>
      </c>
      <c r="D8" s="2569"/>
      <c r="E8" s="2577">
        <f>IF(OR(A8=0,F8="否"),0,'数据-取费表'!K8+'数据-取费表'!S8)</f>
        <v>0</v>
      </c>
      <c r="F8" s="2578" t="s">
        <v>2523</v>
      </c>
    </row>
    <row r="9" spans="1:6" ht="14.4">
      <c r="A9" s="2576">
        <f>'数据-取费表'!AN9</f>
        <v>0</v>
      </c>
      <c r="B9" s="2575" t="e">
        <f ca="1">IF(F9="是",'数据-取费表'!AO9,0)</f>
        <v>#REF!</v>
      </c>
      <c r="C9" s="2566" t="s">
        <v>2517</v>
      </c>
      <c r="D9" s="2569"/>
      <c r="E9" s="2577">
        <f>IF(OR(A9=0,F9="否"),0,'数据-取费表'!K9+'数据-取费表'!S9)</f>
        <v>0</v>
      </c>
      <c r="F9" s="2578" t="s">
        <v>2523</v>
      </c>
    </row>
    <row r="10" spans="1:6" ht="14.4">
      <c r="A10" s="2576">
        <f>'数据-取费表'!AN10</f>
        <v>0</v>
      </c>
      <c r="B10" s="2575" t="e">
        <f ca="1">IF(F10="是",'数据-取费表'!AO10,0)</f>
        <v>#REF!</v>
      </c>
      <c r="C10" s="2566" t="s">
        <v>2517</v>
      </c>
      <c r="D10" s="2569"/>
      <c r="E10" s="2577">
        <f>IF(OR(A10=0,F10="否"),0,'数据-取费表'!K10+'数据-取费表'!S10)</f>
        <v>0</v>
      </c>
      <c r="F10" s="2578" t="s">
        <v>2523</v>
      </c>
    </row>
    <row r="11" spans="1:6" ht="14.4">
      <c r="A11" s="2576">
        <f>'数据-取费表'!AN11</f>
        <v>0</v>
      </c>
      <c r="B11" s="2575" t="e">
        <f ca="1">IF(F11="是",'数据-取费表'!AO11,0)</f>
        <v>#REF!</v>
      </c>
      <c r="C11" s="2566" t="s">
        <v>2517</v>
      </c>
      <c r="D11" s="2569"/>
      <c r="E11" s="2577">
        <f>IF(OR(A11=0,F11="否"),0,'数据-取费表'!K11+'数据-取费表'!S11)</f>
        <v>0</v>
      </c>
      <c r="F11" s="2578" t="s">
        <v>2523</v>
      </c>
    </row>
    <row r="12" spans="1:6" ht="14.4">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147" t="s">
        <v>1072</v>
      </c>
      <c r="B1" s="3148"/>
      <c r="C1" s="3149"/>
      <c r="D1" s="3150">
        <f>SUM(I10,I15,I20,I21,I23)</f>
        <v>0</v>
      </c>
      <c r="E1" s="3150"/>
      <c r="F1" s="3150"/>
      <c r="G1" s="3150"/>
      <c r="H1" s="3150"/>
      <c r="I1" s="3151"/>
    </row>
    <row r="2" spans="1:9">
      <c r="A2" s="3152" t="s">
        <v>1073</v>
      </c>
      <c r="B2" s="3153" t="s">
        <v>1074</v>
      </c>
      <c r="C2" s="3153"/>
      <c r="D2" s="1301" t="s">
        <v>1075</v>
      </c>
      <c r="E2" s="1301" t="s">
        <v>1076</v>
      </c>
      <c r="F2" s="1301" t="s">
        <v>1077</v>
      </c>
      <c r="G2" s="1301" t="s">
        <v>1078</v>
      </c>
      <c r="H2" s="1301" t="s">
        <v>1079</v>
      </c>
      <c r="I2" s="1302" t="s">
        <v>1080</v>
      </c>
    </row>
    <row r="3" spans="1:9">
      <c r="A3" s="3152"/>
      <c r="B3" s="3153" t="s">
        <v>1081</v>
      </c>
      <c r="C3" s="3153"/>
      <c r="D3" s="1303"/>
      <c r="E3" s="1301"/>
      <c r="F3" s="1304"/>
      <c r="G3" s="1304"/>
      <c r="H3" s="1305"/>
      <c r="I3" s="1306">
        <f>ROUND(D3*E3*F3*G3*H3/10000,0)</f>
        <v>0</v>
      </c>
    </row>
    <row r="4" spans="1:9">
      <c r="A4" s="3152"/>
      <c r="B4" s="3153" t="s">
        <v>1082</v>
      </c>
      <c r="C4" s="3153"/>
      <c r="D4" s="1303"/>
      <c r="E4" s="1301"/>
      <c r="F4" s="1304"/>
      <c r="G4" s="1304"/>
      <c r="H4" s="1305"/>
      <c r="I4" s="1306">
        <f t="shared" ref="I4:I9" si="0">ROUND(D4*E4*F4*G4*H4/10000,0)</f>
        <v>0</v>
      </c>
    </row>
    <row r="5" spans="1:9">
      <c r="A5" s="3152"/>
      <c r="B5" s="3153" t="s">
        <v>1083</v>
      </c>
      <c r="C5" s="3153"/>
      <c r="D5" s="1303"/>
      <c r="E5" s="1301"/>
      <c r="F5" s="1304"/>
      <c r="G5" s="1304"/>
      <c r="H5" s="1305"/>
      <c r="I5" s="1306">
        <f t="shared" si="0"/>
        <v>0</v>
      </c>
    </row>
    <row r="6" spans="1:9">
      <c r="A6" s="3152"/>
      <c r="B6" s="3153" t="s">
        <v>1084</v>
      </c>
      <c r="C6" s="3153"/>
      <c r="D6" s="1303"/>
      <c r="E6" s="1301"/>
      <c r="F6" s="1304"/>
      <c r="G6" s="1304"/>
      <c r="H6" s="1305"/>
      <c r="I6" s="1306">
        <f t="shared" si="0"/>
        <v>0</v>
      </c>
    </row>
    <row r="7" spans="1:9">
      <c r="A7" s="3152"/>
      <c r="B7" s="3153" t="s">
        <v>1085</v>
      </c>
      <c r="C7" s="3153"/>
      <c r="D7" s="1303"/>
      <c r="E7" s="1301"/>
      <c r="F7" s="1304"/>
      <c r="G7" s="1304"/>
      <c r="H7" s="1305"/>
      <c r="I7" s="1306">
        <f t="shared" si="0"/>
        <v>0</v>
      </c>
    </row>
    <row r="8" spans="1:9">
      <c r="A8" s="3152"/>
      <c r="B8" s="3153" t="s">
        <v>1086</v>
      </c>
      <c r="C8" s="3153"/>
      <c r="D8" s="1303"/>
      <c r="E8" s="1301"/>
      <c r="F8" s="1304"/>
      <c r="G8" s="1304"/>
      <c r="H8" s="1305"/>
      <c r="I8" s="1306">
        <f t="shared" si="0"/>
        <v>0</v>
      </c>
    </row>
    <row r="9" spans="1:9">
      <c r="A9" s="3152"/>
      <c r="B9" s="3153" t="s">
        <v>1087</v>
      </c>
      <c r="C9" s="3153"/>
      <c r="D9" s="1303"/>
      <c r="E9" s="1301"/>
      <c r="F9" s="1304"/>
      <c r="G9" s="1304"/>
      <c r="H9" s="1305"/>
      <c r="I9" s="1306">
        <f t="shared" si="0"/>
        <v>0</v>
      </c>
    </row>
    <row r="10" spans="1:9">
      <c r="A10" s="3152"/>
      <c r="B10" s="3154" t="s">
        <v>1088</v>
      </c>
      <c r="C10" s="3154"/>
      <c r="D10" s="1307"/>
      <c r="E10" s="1307" t="e">
        <f>ROUND(D1*10000/D10/H9,0)</f>
        <v>#DIV/0!</v>
      </c>
      <c r="F10" s="1308"/>
      <c r="G10" s="1308"/>
      <c r="H10" s="1309"/>
      <c r="I10" s="1310">
        <f>SUM(I3:I9)</f>
        <v>0</v>
      </c>
    </row>
    <row r="11" spans="1:9" ht="15.6">
      <c r="A11" s="3152" t="s">
        <v>1089</v>
      </c>
      <c r="B11" s="3153" t="s">
        <v>1090</v>
      </c>
      <c r="C11" s="3153"/>
      <c r="D11" s="1303" t="s">
        <v>1091</v>
      </c>
      <c r="E11" s="1303" t="s">
        <v>1092</v>
      </c>
      <c r="F11" s="1304" t="s">
        <v>1093</v>
      </c>
      <c r="G11" s="1304" t="s">
        <v>1079</v>
      </c>
      <c r="H11" s="1311" t="s">
        <v>1094</v>
      </c>
      <c r="I11" s="1302" t="s">
        <v>1080</v>
      </c>
    </row>
    <row r="12" spans="1:9">
      <c r="A12" s="3152"/>
      <c r="B12" s="3153" t="s">
        <v>1095</v>
      </c>
      <c r="C12" s="3153"/>
      <c r="D12" s="1303"/>
      <c r="E12" s="1303"/>
      <c r="F12" s="1304"/>
      <c r="G12" s="1305"/>
      <c r="H12" s="1312"/>
      <c r="I12" s="1302">
        <f>ROUND(D12*E12*F12*G12/10000,0)</f>
        <v>0</v>
      </c>
    </row>
    <row r="13" spans="1:9">
      <c r="A13" s="3152"/>
      <c r="B13" s="3153" t="s">
        <v>1096</v>
      </c>
      <c r="C13" s="3153"/>
      <c r="D13" s="1303"/>
      <c r="E13" s="1303"/>
      <c r="F13" s="1304"/>
      <c r="G13" s="1305"/>
      <c r="H13" s="1312"/>
      <c r="I13" s="1302">
        <f>ROUND(D13*E13*F13*G13/10000,0)</f>
        <v>0</v>
      </c>
    </row>
    <row r="14" spans="1:9">
      <c r="A14" s="3152"/>
      <c r="B14" s="3153" t="s">
        <v>1097</v>
      </c>
      <c r="C14" s="3153"/>
      <c r="D14" s="1303"/>
      <c r="E14" s="1303"/>
      <c r="F14" s="1304"/>
      <c r="G14" s="1305"/>
      <c r="H14" s="1312"/>
      <c r="I14" s="1302">
        <f>ROUND(D14*E14*F14*G14/10000,0)</f>
        <v>0</v>
      </c>
    </row>
    <row r="15" spans="1:9">
      <c r="A15" s="3152"/>
      <c r="B15" s="3154" t="s">
        <v>1088</v>
      </c>
      <c r="C15" s="3154"/>
      <c r="D15" s="1307"/>
      <c r="E15" s="1307">
        <f>SUM(E12:E14)</f>
        <v>0</v>
      </c>
      <c r="F15" s="1308"/>
      <c r="G15" s="1305"/>
      <c r="H15" s="1312"/>
      <c r="I15" s="1313">
        <f>SUM(I12:I14)</f>
        <v>0</v>
      </c>
    </row>
    <row r="16" spans="1:9" ht="24">
      <c r="A16" s="3152" t="s">
        <v>1098</v>
      </c>
      <c r="B16" s="3153" t="s">
        <v>1099</v>
      </c>
      <c r="C16" s="3153"/>
      <c r="D16" s="1303" t="s">
        <v>1075</v>
      </c>
      <c r="E16" s="1314" t="s">
        <v>1100</v>
      </c>
      <c r="F16" s="1304" t="s">
        <v>1101</v>
      </c>
      <c r="G16" s="1305" t="s">
        <v>1079</v>
      </c>
      <c r="H16" s="1311" t="s">
        <v>1094</v>
      </c>
      <c r="I16" s="1302" t="s">
        <v>1080</v>
      </c>
    </row>
    <row r="17" spans="1:9" ht="15.6">
      <c r="A17" s="3152"/>
      <c r="B17" s="3153" t="s">
        <v>1102</v>
      </c>
      <c r="C17" s="3153"/>
      <c r="D17" s="1303"/>
      <c r="E17" s="1303"/>
      <c r="F17" s="1304"/>
      <c r="G17" s="1305"/>
      <c r="H17" s="1315"/>
      <c r="I17" s="1316">
        <f>ROUND(D17*E17*F17*G17/10000,0)</f>
        <v>0</v>
      </c>
    </row>
    <row r="18" spans="1:9" ht="15.6">
      <c r="A18" s="3152"/>
      <c r="B18" s="3153" t="s">
        <v>1103</v>
      </c>
      <c r="C18" s="3153"/>
      <c r="D18" s="1303"/>
      <c r="E18" s="1303"/>
      <c r="F18" s="1304"/>
      <c r="G18" s="1305"/>
      <c r="H18" s="1315"/>
      <c r="I18" s="1316">
        <f>ROUND(D18*E18*F18*G18/10000,0)</f>
        <v>0</v>
      </c>
    </row>
    <row r="19" spans="1:9" ht="15.6">
      <c r="A19" s="3152"/>
      <c r="B19" s="3153" t="s">
        <v>1104</v>
      </c>
      <c r="C19" s="3153"/>
      <c r="D19" s="1303"/>
      <c r="E19" s="1303"/>
      <c r="F19" s="1304"/>
      <c r="G19" s="1305"/>
      <c r="H19" s="1315"/>
      <c r="I19" s="1316">
        <f>ROUND(D19*E19*F19*G19/10000,0)</f>
        <v>0</v>
      </c>
    </row>
    <row r="20" spans="1:9">
      <c r="A20" s="3152"/>
      <c r="B20" s="3154" t="s">
        <v>1088</v>
      </c>
      <c r="C20" s="3154"/>
      <c r="D20" s="1307">
        <f>SUM(D17:D19)</f>
        <v>0</v>
      </c>
      <c r="E20" s="1307"/>
      <c r="F20" s="1308"/>
      <c r="G20" s="1305"/>
      <c r="H20" s="1312"/>
      <c r="I20" s="1313">
        <f>SUM(I17:I19)</f>
        <v>0</v>
      </c>
    </row>
    <row r="21" spans="1:9">
      <c r="A21" s="3152" t="s">
        <v>1105</v>
      </c>
      <c r="B21" s="3156"/>
      <c r="C21" s="3156"/>
      <c r="D21" s="3156"/>
      <c r="E21" s="3156"/>
      <c r="F21" s="3156"/>
      <c r="G21" s="3156"/>
      <c r="H21" s="1765">
        <v>0.1</v>
      </c>
      <c r="I21" s="1310">
        <f>ROUND(I10*H21,0)</f>
        <v>0</v>
      </c>
    </row>
    <row r="22" spans="1:9" ht="15.6">
      <c r="A22" s="3157" t="s">
        <v>1106</v>
      </c>
      <c r="B22" s="3158"/>
      <c r="C22" s="3159"/>
      <c r="D22" s="1317" t="s">
        <v>1107</v>
      </c>
      <c r="E22" s="1317" t="s">
        <v>1108</v>
      </c>
      <c r="F22" s="1318" t="s">
        <v>1109</v>
      </c>
      <c r="G22" s="1318" t="s">
        <v>1110</v>
      </c>
      <c r="H22" s="1311" t="s">
        <v>1111</v>
      </c>
      <c r="I22" s="1302" t="s">
        <v>1112</v>
      </c>
    </row>
    <row r="23" spans="1:9" ht="15" thickBot="1">
      <c r="A23" s="3160"/>
      <c r="B23" s="3161"/>
      <c r="C23" s="3162"/>
      <c r="D23" s="1319"/>
      <c r="E23" s="1319"/>
      <c r="F23" s="1319"/>
      <c r="G23" s="1320"/>
      <c r="H23" s="1321"/>
      <c r="I23" s="1322">
        <f>ROUND(E23*D23*F23*(1-G23)/10000,0)</f>
        <v>0</v>
      </c>
    </row>
    <row r="26" spans="1:9">
      <c r="A26" s="1323" t="s">
        <v>1113</v>
      </c>
      <c r="B26" s="1323"/>
      <c r="C26" s="1323"/>
      <c r="D26" s="1323"/>
      <c r="E26" s="3163">
        <f>C27-C30-C31-C32</f>
        <v>0</v>
      </c>
      <c r="F26" s="3163"/>
      <c r="G26" s="3163"/>
      <c r="H26" s="1737" t="s">
        <v>1335</v>
      </c>
    </row>
    <row r="27" spans="1:9">
      <c r="A27" s="1324">
        <v>1</v>
      </c>
      <c r="B27" s="1325" t="s">
        <v>1114</v>
      </c>
      <c r="C27" s="1325">
        <f>C28+C29</f>
        <v>0</v>
      </c>
      <c r="D27" s="1325"/>
      <c r="E27" s="3164"/>
      <c r="F27" s="3164"/>
      <c r="G27" s="3164"/>
    </row>
    <row r="28" spans="1:9">
      <c r="A28" s="1326" t="s">
        <v>1115</v>
      </c>
      <c r="B28" s="1325" t="s">
        <v>1116</v>
      </c>
      <c r="C28" s="1325"/>
      <c r="D28" s="1325"/>
      <c r="E28" s="3164"/>
      <c r="F28" s="3164"/>
      <c r="G28" s="316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5"/>
      <c r="F32" s="3155"/>
      <c r="G32" s="3155"/>
    </row>
    <row r="33" spans="1:7" hidden="1">
      <c r="A33" s="3165" t="s">
        <v>1125</v>
      </c>
      <c r="B33" s="3166"/>
      <c r="C33" s="3166"/>
      <c r="D33" s="3167"/>
      <c r="E33" s="3163"/>
      <c r="F33" s="3163"/>
      <c r="G33" s="3163"/>
    </row>
    <row r="34" spans="1:7" hidden="1">
      <c r="A34" s="1328">
        <v>1</v>
      </c>
      <c r="B34" s="1325" t="s">
        <v>1126</v>
      </c>
      <c r="C34" s="1325"/>
      <c r="D34" s="1325"/>
      <c r="E34" s="3164"/>
      <c r="F34" s="3164"/>
      <c r="G34" s="3164"/>
    </row>
    <row r="35" spans="1:7" hidden="1">
      <c r="A35" s="1328">
        <v>2</v>
      </c>
      <c r="B35" s="1325" t="s">
        <v>1127</v>
      </c>
      <c r="C35" s="1325"/>
      <c r="D35" s="1325"/>
      <c r="E35" s="3164"/>
      <c r="F35" s="3164"/>
      <c r="G35" s="3164"/>
    </row>
    <row r="36" spans="1:7" hidden="1">
      <c r="A36" s="1328">
        <v>3</v>
      </c>
      <c r="B36" s="1325" t="s">
        <v>1128</v>
      </c>
      <c r="C36" s="1325"/>
      <c r="D36" s="1325"/>
      <c r="E36" s="3164"/>
      <c r="F36" s="3164"/>
      <c r="G36" s="3164"/>
    </row>
    <row r="37" spans="1:7" hidden="1">
      <c r="A37" s="1328">
        <v>4</v>
      </c>
      <c r="B37" s="1325" t="s">
        <v>1129</v>
      </c>
      <c r="C37" s="1325"/>
      <c r="D37" s="1325"/>
      <c r="E37" s="3164"/>
      <c r="F37" s="3164"/>
      <c r="G37" s="3164"/>
    </row>
    <row r="38" spans="1:7" hidden="1">
      <c r="A38" s="3165" t="s">
        <v>1130</v>
      </c>
      <c r="B38" s="3166"/>
      <c r="C38" s="3166"/>
      <c r="D38" s="3167"/>
      <c r="E38" s="3163"/>
      <c r="F38" s="3163"/>
      <c r="G38" s="31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582" t="s">
        <v>2527</v>
      </c>
      <c r="C1" s="1634" t="s">
        <v>2528</v>
      </c>
      <c r="D1" s="1621"/>
      <c r="E1" s="2583"/>
      <c r="F1" s="2584" t="s">
        <v>2529</v>
      </c>
      <c r="G1" s="1631" t="s">
        <v>2530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6031.39</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4.4">
      <c r="A4" s="401" t="s">
        <v>2533</v>
      </c>
      <c r="B4" s="402"/>
      <c r="C4" s="3186" t="s">
        <v>2534</v>
      </c>
      <c r="D4" s="3187"/>
      <c r="E4" s="3188" t="s">
        <v>2535</v>
      </c>
      <c r="F4" s="3189"/>
      <c r="G4" s="3186" t="s">
        <v>2536</v>
      </c>
      <c r="H4" s="3187"/>
      <c r="I4" s="3186" t="s">
        <v>2537</v>
      </c>
      <c r="J4" s="3187"/>
      <c r="K4" s="2596" t="s">
        <v>2538</v>
      </c>
      <c r="L4" s="1130"/>
      <c r="M4" s="1131"/>
      <c r="N4" s="1131"/>
      <c r="O4" s="1131"/>
      <c r="P4" s="3190" t="s">
        <v>2539</v>
      </c>
      <c r="Q4" s="3191"/>
      <c r="R4" s="3173" t="s">
        <v>2535</v>
      </c>
      <c r="S4" s="3174"/>
      <c r="T4" s="3173" t="s">
        <v>2536</v>
      </c>
      <c r="U4" s="3174"/>
      <c r="V4" s="3198" t="s">
        <v>2537</v>
      </c>
      <c r="W4" s="3198"/>
      <c r="X4" s="1813"/>
      <c r="Y4" s="3173" t="s">
        <v>2539</v>
      </c>
      <c r="Z4" s="3174"/>
      <c r="AA4" s="3168" t="s">
        <v>2535</v>
      </c>
      <c r="AB4" s="3168" t="s">
        <v>2536</v>
      </c>
      <c r="AC4" s="3168" t="s">
        <v>2537</v>
      </c>
    </row>
    <row r="5" spans="1:29">
      <c r="A5" s="404"/>
      <c r="B5" s="405"/>
      <c r="C5" s="3179" t="s">
        <v>2540</v>
      </c>
      <c r="D5" s="3180"/>
      <c r="E5" s="3177" t="s">
        <v>2541</v>
      </c>
      <c r="F5" s="3178"/>
      <c r="G5" s="3179" t="s">
        <v>2542</v>
      </c>
      <c r="H5" s="3180"/>
      <c r="I5" s="3179" t="s">
        <v>2543</v>
      </c>
      <c r="J5" s="3180"/>
      <c r="K5" s="2597"/>
      <c r="L5" s="1130"/>
      <c r="M5" s="1131"/>
      <c r="N5" s="1131"/>
      <c r="O5" s="1131"/>
      <c r="P5" s="3192"/>
      <c r="Q5" s="3193"/>
      <c r="R5" s="3175"/>
      <c r="S5" s="3176"/>
      <c r="T5" s="3175"/>
      <c r="U5" s="3176"/>
      <c r="V5" s="3198"/>
      <c r="W5" s="3198"/>
      <c r="X5" s="1813"/>
      <c r="Y5" s="3175"/>
      <c r="Z5" s="3176"/>
      <c r="AA5" s="3169"/>
      <c r="AB5" s="3169"/>
      <c r="AC5" s="3169"/>
    </row>
    <row r="6" spans="1:29" ht="15" thickBot="1">
      <c r="A6" s="406"/>
      <c r="B6" s="407"/>
      <c r="C6" s="3181" t="s">
        <v>2544</v>
      </c>
      <c r="D6" s="3182"/>
      <c r="E6" s="3183" t="s">
        <v>2544</v>
      </c>
      <c r="F6" s="3184"/>
      <c r="G6" s="3181" t="s">
        <v>2544</v>
      </c>
      <c r="H6" s="3182"/>
      <c r="I6" s="3181" t="s">
        <v>2544</v>
      </c>
      <c r="J6" s="3182"/>
      <c r="K6" s="2597" t="s">
        <v>2545</v>
      </c>
      <c r="L6" s="1130"/>
      <c r="M6" s="1131"/>
      <c r="N6" s="1131"/>
      <c r="O6" s="1131"/>
      <c r="P6" s="3194"/>
      <c r="Q6" s="3195"/>
      <c r="R6" s="3175"/>
      <c r="S6" s="3176"/>
      <c r="T6" s="3196"/>
      <c r="U6" s="3197"/>
      <c r="V6" s="3198"/>
      <c r="W6" s="3198"/>
      <c r="X6" s="1813"/>
      <c r="Y6" s="3196"/>
      <c r="Z6" s="3197"/>
      <c r="AA6" s="3170"/>
      <c r="AB6" s="3170"/>
      <c r="AC6" s="3170"/>
    </row>
    <row r="7" spans="1:29" s="117" customFormat="1" ht="15" thickBot="1">
      <c r="A7" s="408" t="s">
        <v>2546</v>
      </c>
      <c r="B7" s="409"/>
      <c r="C7" s="410">
        <f>'数据-取费表'!B2</f>
        <v>43819</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1" t="s">
        <v>2547</v>
      </c>
      <c r="Q7" s="3199"/>
      <c r="R7" s="770" t="s">
        <v>23</v>
      </c>
      <c r="S7" s="771">
        <f t="shared" ref="S7:S15" si="0">F7</f>
        <v>0</v>
      </c>
      <c r="T7" s="770" t="s">
        <v>23</v>
      </c>
      <c r="U7" s="771">
        <f t="shared" ref="U7:U15" si="1">H7</f>
        <v>0</v>
      </c>
      <c r="V7" s="770" t="s">
        <v>23</v>
      </c>
      <c r="W7" s="771">
        <f t="shared" ref="W7:W15" si="2">J7</f>
        <v>0</v>
      </c>
      <c r="X7" s="772"/>
      <c r="Y7" s="3171" t="s">
        <v>2547</v>
      </c>
      <c r="Z7" s="3172"/>
      <c r="AA7" s="773" t="e">
        <f>D7/F7</f>
        <v>#DIV/0!</v>
      </c>
      <c r="AB7" s="773" t="e">
        <f>D7/H7</f>
        <v>#DIV/0!</v>
      </c>
      <c r="AC7" s="773" t="e">
        <f>D7/J7</f>
        <v>#DIV/0!</v>
      </c>
    </row>
    <row r="8" spans="1:29" s="117" customFormat="1" ht="1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1" t="s">
        <v>2550</v>
      </c>
      <c r="Q8" s="3172"/>
      <c r="R8" s="770" t="s">
        <v>23</v>
      </c>
      <c r="S8" s="771">
        <f t="shared" si="0"/>
        <v>0</v>
      </c>
      <c r="T8" s="770" t="s">
        <v>23</v>
      </c>
      <c r="U8" s="771">
        <f t="shared" si="1"/>
        <v>0</v>
      </c>
      <c r="V8" s="770" t="s">
        <v>23</v>
      </c>
      <c r="W8" s="771">
        <f t="shared" si="2"/>
        <v>0</v>
      </c>
      <c r="X8" s="772"/>
      <c r="Y8" s="3171" t="s">
        <v>2550</v>
      </c>
      <c r="Z8" s="3172"/>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5" t="s">
        <v>2553</v>
      </c>
      <c r="Q9" s="1795"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5"/>
      <c r="Q11" s="1795"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5"/>
      <c r="Q12" s="1795">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5"/>
      <c r="Q13" s="1795">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5"/>
      <c r="Q14" s="1795">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6.6">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2" t="s">
        <v>2558</v>
      </c>
      <c r="Q15" s="1810" t="str">
        <f t="shared" si="6"/>
        <v>居住社区成熟度</v>
      </c>
      <c r="R15" s="774" t="s">
        <v>21</v>
      </c>
      <c r="S15" s="775">
        <f t="shared" si="0"/>
        <v>100</v>
      </c>
      <c r="T15" s="774" t="s">
        <v>21</v>
      </c>
      <c r="U15" s="775">
        <f t="shared" si="1"/>
        <v>100</v>
      </c>
      <c r="V15" s="774" t="s">
        <v>21</v>
      </c>
      <c r="W15" s="775">
        <f t="shared" si="2"/>
        <v>100</v>
      </c>
      <c r="X15" s="1813"/>
      <c r="Y15" s="3205" t="s">
        <v>2558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13"/>
      <c r="Q16" s="1810"/>
      <c r="R16" s="774"/>
      <c r="S16" s="775"/>
      <c r="T16" s="774"/>
      <c r="U16" s="775"/>
      <c r="V16" s="774"/>
      <c r="W16" s="775"/>
      <c r="X16" s="1813"/>
      <c r="Y16" s="3206"/>
      <c r="Z16" s="1814"/>
      <c r="AA16" s="1811">
        <v>1</v>
      </c>
      <c r="AB16" s="1811">
        <v>1</v>
      </c>
      <c r="AC16" s="1811">
        <v>1</v>
      </c>
    </row>
    <row r="17" spans="1:29" ht="82.8">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3"/>
      <c r="Q17" s="1810" t="str">
        <f>B17</f>
        <v>交通便捷度</v>
      </c>
      <c r="R17" s="774" t="s">
        <v>21</v>
      </c>
      <c r="S17" s="775">
        <f>F17</f>
        <v>100</v>
      </c>
      <c r="T17" s="774" t="s">
        <v>21</v>
      </c>
      <c r="U17" s="775">
        <f>H17</f>
        <v>100</v>
      </c>
      <c r="V17" s="774" t="s">
        <v>21</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13"/>
      <c r="Q18" s="1810"/>
      <c r="R18" s="774"/>
      <c r="S18" s="775"/>
      <c r="T18" s="774"/>
      <c r="U18" s="775"/>
      <c r="V18" s="774"/>
      <c r="W18" s="775"/>
      <c r="X18" s="1813"/>
      <c r="Y18" s="3206"/>
      <c r="Z18" s="1814"/>
      <c r="AA18" s="1811">
        <v>1</v>
      </c>
      <c r="AB18" s="1811">
        <v>1</v>
      </c>
      <c r="AC18" s="1811">
        <v>1</v>
      </c>
    </row>
    <row r="19" spans="1:29" ht="41.4">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3"/>
      <c r="Q19" s="1810" t="str">
        <f>B19</f>
        <v>公共配套设施</v>
      </c>
      <c r="R19" s="774" t="s">
        <v>21</v>
      </c>
      <c r="S19" s="775">
        <f>F19</f>
        <v>100</v>
      </c>
      <c r="T19" s="774" t="s">
        <v>21</v>
      </c>
      <c r="U19" s="775">
        <f>H19</f>
        <v>100</v>
      </c>
      <c r="V19" s="774" t="s">
        <v>21</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13"/>
      <c r="Q20" s="1810"/>
      <c r="R20" s="774"/>
      <c r="S20" s="775"/>
      <c r="T20" s="774"/>
      <c r="U20" s="775"/>
      <c r="V20" s="774"/>
      <c r="W20" s="775"/>
      <c r="X20" s="1813"/>
      <c r="Y20" s="3206"/>
      <c r="Z20" s="1814"/>
      <c r="AA20" s="1811">
        <v>1</v>
      </c>
      <c r="AB20" s="1811">
        <v>1</v>
      </c>
      <c r="AC20" s="1811">
        <v>1</v>
      </c>
    </row>
    <row r="21" spans="1:29" ht="27.6">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13"/>
      <c r="Q22" s="1810"/>
      <c r="R22" s="774"/>
      <c r="S22" s="775"/>
      <c r="T22" s="774"/>
      <c r="U22" s="775"/>
      <c r="V22" s="774"/>
      <c r="W22" s="775"/>
      <c r="X22" s="1813"/>
      <c r="Y22" s="3206"/>
      <c r="Z22" s="1814"/>
      <c r="AA22" s="1811">
        <v>1</v>
      </c>
      <c r="AB22" s="1811">
        <v>1</v>
      </c>
      <c r="AC22" s="1811">
        <v>1</v>
      </c>
    </row>
    <row r="23" spans="1:29" ht="55.2">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3"/>
      <c r="Q23" s="1810" t="str">
        <f>B23</f>
        <v>自然及人文环境</v>
      </c>
      <c r="R23" s="774" t="s">
        <v>21</v>
      </c>
      <c r="S23" s="775">
        <f>F23</f>
        <v>100</v>
      </c>
      <c r="T23" s="774" t="s">
        <v>21</v>
      </c>
      <c r="U23" s="775">
        <f>H23</f>
        <v>100</v>
      </c>
      <c r="V23" s="774" t="s">
        <v>21</v>
      </c>
      <c r="W23" s="775">
        <f>J23</f>
        <v>100</v>
      </c>
      <c r="X23" s="1813"/>
      <c r="Y23" s="3206"/>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1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6"/>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13"/>
      <c r="Q26" s="1810" t="str">
        <f t="shared" si="11"/>
        <v>朝向</v>
      </c>
      <c r="R26" s="774" t="s">
        <v>21</v>
      </c>
      <c r="S26" s="775">
        <f t="shared" si="12"/>
        <v>100</v>
      </c>
      <c r="T26" s="774" t="s">
        <v>21</v>
      </c>
      <c r="U26" s="775">
        <f t="shared" si="13"/>
        <v>100</v>
      </c>
      <c r="V26" s="774" t="s">
        <v>21</v>
      </c>
      <c r="W26" s="775">
        <f t="shared" si="14"/>
        <v>100</v>
      </c>
      <c r="X26" s="1813"/>
      <c r="Y26" s="320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13"/>
      <c r="Q27" s="1795">
        <f t="shared" si="11"/>
        <v>111</v>
      </c>
      <c r="R27" s="770" t="s">
        <v>21</v>
      </c>
      <c r="S27" s="771">
        <f t="shared" si="12"/>
        <v>100</v>
      </c>
      <c r="T27" s="770" t="s">
        <v>21</v>
      </c>
      <c r="U27" s="771">
        <f t="shared" si="13"/>
        <v>100</v>
      </c>
      <c r="V27" s="770" t="s">
        <v>21</v>
      </c>
      <c r="W27" s="771">
        <f t="shared" si="14"/>
        <v>100</v>
      </c>
      <c r="X27" s="772"/>
      <c r="Y27" s="320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13"/>
      <c r="Q28" s="1810">
        <f t="shared" si="11"/>
        <v>111</v>
      </c>
      <c r="R28" s="774" t="s">
        <v>21</v>
      </c>
      <c r="S28" s="775">
        <f t="shared" si="12"/>
        <v>100</v>
      </c>
      <c r="T28" s="774" t="s">
        <v>21</v>
      </c>
      <c r="U28" s="775">
        <f t="shared" si="13"/>
        <v>100</v>
      </c>
      <c r="V28" s="774" t="s">
        <v>21</v>
      </c>
      <c r="W28" s="775">
        <f t="shared" si="14"/>
        <v>100</v>
      </c>
      <c r="X28" s="1813"/>
      <c r="Y28" s="320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13"/>
      <c r="Q29" s="1810">
        <f t="shared" si="11"/>
        <v>111</v>
      </c>
      <c r="R29" s="774" t="s">
        <v>21</v>
      </c>
      <c r="S29" s="775">
        <f t="shared" si="12"/>
        <v>100</v>
      </c>
      <c r="T29" s="774" t="s">
        <v>21</v>
      </c>
      <c r="U29" s="775">
        <f t="shared" si="13"/>
        <v>100</v>
      </c>
      <c r="V29" s="774" t="s">
        <v>21</v>
      </c>
      <c r="W29" s="775">
        <f t="shared" si="14"/>
        <v>100</v>
      </c>
      <c r="X29" s="1813"/>
      <c r="Y29" s="320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13"/>
      <c r="Q30" s="1810">
        <f t="shared" si="11"/>
        <v>111</v>
      </c>
      <c r="R30" s="774" t="s">
        <v>21</v>
      </c>
      <c r="S30" s="775">
        <f t="shared" si="12"/>
        <v>100</v>
      </c>
      <c r="T30" s="774" t="s">
        <v>21</v>
      </c>
      <c r="U30" s="775">
        <f t="shared" si="13"/>
        <v>100</v>
      </c>
      <c r="V30" s="774" t="s">
        <v>21</v>
      </c>
      <c r="W30" s="775">
        <f t="shared" si="14"/>
        <v>100</v>
      </c>
      <c r="X30" s="1813"/>
      <c r="Y30" s="3206"/>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13"/>
      <c r="Q31" s="1810">
        <f t="shared" si="11"/>
        <v>111</v>
      </c>
      <c r="R31" s="774" t="s">
        <v>21</v>
      </c>
      <c r="S31" s="775">
        <f t="shared" si="12"/>
        <v>100</v>
      </c>
      <c r="T31" s="774" t="s">
        <v>21</v>
      </c>
      <c r="U31" s="775">
        <f t="shared" si="13"/>
        <v>100</v>
      </c>
      <c r="V31" s="774" t="s">
        <v>21</v>
      </c>
      <c r="W31" s="775">
        <f t="shared" si="14"/>
        <v>100</v>
      </c>
      <c r="X31" s="1813"/>
      <c r="Y31" s="3206"/>
      <c r="Z31" s="1814">
        <f t="shared" si="18"/>
        <v>111</v>
      </c>
      <c r="AA31" s="1811">
        <f t="shared" si="15"/>
        <v>1</v>
      </c>
      <c r="AB31" s="1811">
        <f t="shared" si="16"/>
        <v>1</v>
      </c>
      <c r="AC31" s="1811">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07" t="s">
        <v>2563</v>
      </c>
      <c r="Q32" s="1810" t="str">
        <f t="shared" si="11"/>
        <v>建筑类型</v>
      </c>
      <c r="R32" s="774" t="s">
        <v>21</v>
      </c>
      <c r="S32" s="775">
        <f t="shared" si="12"/>
        <v>100</v>
      </c>
      <c r="T32" s="774" t="s">
        <v>21</v>
      </c>
      <c r="U32" s="775">
        <f t="shared" si="13"/>
        <v>100</v>
      </c>
      <c r="V32" s="774" t="s">
        <v>21</v>
      </c>
      <c r="W32" s="775">
        <f t="shared" si="14"/>
        <v>100</v>
      </c>
      <c r="X32" s="1813"/>
      <c r="Y32" s="3210"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1" t="e">
        <f t="shared" si="15"/>
        <v>#N/A</v>
      </c>
      <c r="AB33" s="1811" t="e">
        <f t="shared" si="16"/>
        <v>#N/A</v>
      </c>
      <c r="AC33" s="1811"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08"/>
      <c r="Q34" s="1810" t="str">
        <f t="shared" si="11"/>
        <v>建筑结构</v>
      </c>
      <c r="R34" s="774" t="s">
        <v>21</v>
      </c>
      <c r="S34" s="775">
        <f t="shared" si="12"/>
        <v>100</v>
      </c>
      <c r="T34" s="774" t="s">
        <v>21</v>
      </c>
      <c r="U34" s="775">
        <f t="shared" si="13"/>
        <v>100</v>
      </c>
      <c r="V34" s="774" t="s">
        <v>21</v>
      </c>
      <c r="W34" s="775">
        <f t="shared" si="14"/>
        <v>100</v>
      </c>
      <c r="X34" s="1813"/>
      <c r="Y34" s="3210"/>
      <c r="Z34" s="1814" t="str">
        <f t="shared" si="18"/>
        <v>建筑结构</v>
      </c>
      <c r="AA34" s="1811">
        <f t="shared" si="15"/>
        <v>1</v>
      </c>
      <c r="AB34" s="1811">
        <f t="shared" si="16"/>
        <v>1</v>
      </c>
      <c r="AC34" s="1811">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08"/>
      <c r="Q35" s="1810" t="str">
        <f t="shared" si="11"/>
        <v>建筑品质</v>
      </c>
      <c r="R35" s="774" t="s">
        <v>21</v>
      </c>
      <c r="S35" s="775">
        <f t="shared" si="12"/>
        <v>100</v>
      </c>
      <c r="T35" s="774" t="s">
        <v>21</v>
      </c>
      <c r="U35" s="775">
        <f t="shared" si="13"/>
        <v>100</v>
      </c>
      <c r="V35" s="774" t="s">
        <v>21</v>
      </c>
      <c r="W35" s="775">
        <f t="shared" si="14"/>
        <v>100</v>
      </c>
      <c r="X35" s="1813"/>
      <c r="Y35" s="3210"/>
      <c r="Z35" s="1814" t="str">
        <f t="shared" si="18"/>
        <v>建筑品质</v>
      </c>
      <c r="AA35" s="1811">
        <f t="shared" si="15"/>
        <v>1</v>
      </c>
      <c r="AB35" s="1811">
        <f t="shared" si="16"/>
        <v>1</v>
      </c>
      <c r="AC35" s="1811">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08"/>
      <c r="Q36" s="1810" t="str">
        <f t="shared" si="11"/>
        <v>公共部分装修</v>
      </c>
      <c r="R36" s="774" t="s">
        <v>21</v>
      </c>
      <c r="S36" s="775">
        <f t="shared" si="12"/>
        <v>100</v>
      </c>
      <c r="T36" s="774" t="s">
        <v>21</v>
      </c>
      <c r="U36" s="775">
        <f t="shared" si="13"/>
        <v>100</v>
      </c>
      <c r="V36" s="774" t="s">
        <v>21</v>
      </c>
      <c r="W36" s="775">
        <f t="shared" si="14"/>
        <v>100</v>
      </c>
      <c r="X36" s="1813"/>
      <c r="Y36" s="3210"/>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8"/>
      <c r="Q37" s="1795"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08" t="s">
        <v>2563</v>
      </c>
      <c r="Q38" s="1810" t="str">
        <f t="shared" si="11"/>
        <v>物业管理</v>
      </c>
      <c r="R38" s="774" t="s">
        <v>21</v>
      </c>
      <c r="S38" s="775">
        <f t="shared" si="12"/>
        <v>100</v>
      </c>
      <c r="T38" s="774" t="s">
        <v>21</v>
      </c>
      <c r="U38" s="775">
        <f t="shared" si="13"/>
        <v>100</v>
      </c>
      <c r="V38" s="774" t="s">
        <v>21</v>
      </c>
      <c r="W38" s="775">
        <f t="shared" si="14"/>
        <v>100</v>
      </c>
      <c r="X38" s="1813"/>
      <c r="Y38" s="3210" t="s">
        <v>2563</v>
      </c>
      <c r="Z38" s="1814" t="str">
        <f t="shared" si="18"/>
        <v>物业管理</v>
      </c>
      <c r="AA38" s="1811">
        <f t="shared" si="15"/>
        <v>1</v>
      </c>
      <c r="AB38" s="1811">
        <f t="shared" si="16"/>
        <v>1</v>
      </c>
      <c r="AC38" s="1811">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08"/>
      <c r="Q39" s="1810" t="str">
        <f t="shared" si="11"/>
        <v>市政基础设施</v>
      </c>
      <c r="R39" s="774" t="s">
        <v>21</v>
      </c>
      <c r="S39" s="775">
        <f t="shared" si="12"/>
        <v>100</v>
      </c>
      <c r="T39" s="774" t="s">
        <v>21</v>
      </c>
      <c r="U39" s="775">
        <f t="shared" si="13"/>
        <v>100</v>
      </c>
      <c r="V39" s="774" t="s">
        <v>21</v>
      </c>
      <c r="W39" s="775">
        <f t="shared" si="14"/>
        <v>100</v>
      </c>
      <c r="X39" s="1813"/>
      <c r="Y39" s="3210"/>
      <c r="Z39" s="1814" t="str">
        <f t="shared" si="18"/>
        <v>市政基础设施</v>
      </c>
      <c r="AA39" s="1811">
        <f t="shared" si="15"/>
        <v>1</v>
      </c>
      <c r="AB39" s="1811">
        <f t="shared" si="16"/>
        <v>1</v>
      </c>
      <c r="AC39" s="1811">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08"/>
      <c r="Q40" s="1810" t="str">
        <f t="shared" si="11"/>
        <v>房型</v>
      </c>
      <c r="R40" s="774" t="s">
        <v>21</v>
      </c>
      <c r="S40" s="775">
        <f t="shared" si="12"/>
        <v>100</v>
      </c>
      <c r="T40" s="774" t="s">
        <v>21</v>
      </c>
      <c r="U40" s="775">
        <f t="shared" si="13"/>
        <v>100</v>
      </c>
      <c r="V40" s="774" t="s">
        <v>21</v>
      </c>
      <c r="W40" s="775">
        <f t="shared" si="14"/>
        <v>100</v>
      </c>
      <c r="X40" s="1813"/>
      <c r="Y40" s="3210"/>
      <c r="Z40" s="1814" t="str">
        <f t="shared" si="18"/>
        <v>房型</v>
      </c>
      <c r="AA40" s="1811">
        <f t="shared" si="15"/>
        <v>1</v>
      </c>
      <c r="AB40" s="1811">
        <f t="shared" si="16"/>
        <v>1</v>
      </c>
      <c r="AC40" s="1811">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1">
        <f t="shared" si="15"/>
        <v>1</v>
      </c>
      <c r="AB41" s="1811">
        <f t="shared" si="16"/>
        <v>1</v>
      </c>
      <c r="AC41" s="1811">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08"/>
      <c r="Q42" s="1810" t="str">
        <f t="shared" si="11"/>
        <v>内部装修</v>
      </c>
      <c r="R42" s="774" t="s">
        <v>21</v>
      </c>
      <c r="S42" s="775">
        <f t="shared" si="12"/>
        <v>100</v>
      </c>
      <c r="T42" s="774" t="s">
        <v>21</v>
      </c>
      <c r="U42" s="775">
        <f t="shared" si="13"/>
        <v>100</v>
      </c>
      <c r="V42" s="774" t="s">
        <v>21</v>
      </c>
      <c r="W42" s="775">
        <f t="shared" si="14"/>
        <v>100</v>
      </c>
      <c r="X42" s="1813"/>
      <c r="Y42" s="3210"/>
      <c r="Z42" s="1814" t="str">
        <f t="shared" si="18"/>
        <v>内部装修</v>
      </c>
      <c r="AA42" s="1811">
        <f t="shared" si="15"/>
        <v>1</v>
      </c>
      <c r="AB42" s="1811">
        <f t="shared" si="16"/>
        <v>1</v>
      </c>
      <c r="AC42" s="1811">
        <f t="shared" si="17"/>
        <v>1</v>
      </c>
    </row>
    <row r="43" spans="1:29" ht="28.8">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08"/>
      <c r="Q43" s="1810" t="str">
        <f t="shared" si="11"/>
        <v>内部装修维护情况</v>
      </c>
      <c r="R43" s="774" t="s">
        <v>21</v>
      </c>
      <c r="S43" s="775">
        <f t="shared" si="12"/>
        <v>100</v>
      </c>
      <c r="T43" s="774" t="s">
        <v>21</v>
      </c>
      <c r="U43" s="775">
        <f t="shared" si="13"/>
        <v>100</v>
      </c>
      <c r="V43" s="774" t="s">
        <v>21</v>
      </c>
      <c r="W43" s="775">
        <f t="shared" si="14"/>
        <v>100</v>
      </c>
      <c r="X43" s="1813"/>
      <c r="Y43" s="321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08"/>
      <c r="Q44" s="1795">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08"/>
      <c r="Q45" s="1810">
        <f t="shared" si="11"/>
        <v>111</v>
      </c>
      <c r="R45" s="774" t="s">
        <v>21</v>
      </c>
      <c r="S45" s="775">
        <f t="shared" si="12"/>
        <v>100</v>
      </c>
      <c r="T45" s="774" t="s">
        <v>21</v>
      </c>
      <c r="U45" s="775">
        <f t="shared" si="13"/>
        <v>100</v>
      </c>
      <c r="V45" s="774" t="s">
        <v>21</v>
      </c>
      <c r="W45" s="775">
        <f t="shared" si="14"/>
        <v>100</v>
      </c>
      <c r="X45" s="1813"/>
      <c r="Y45" s="3210"/>
      <c r="Z45" s="1814">
        <f t="shared" si="18"/>
        <v>111</v>
      </c>
      <c r="AA45" s="1811">
        <f t="shared" si="15"/>
        <v>1</v>
      </c>
      <c r="AB45" s="1811">
        <f t="shared" si="16"/>
        <v>1</v>
      </c>
      <c r="AC45" s="1811">
        <f t="shared" si="17"/>
        <v>1</v>
      </c>
    </row>
    <row r="46" spans="1:29" ht="15.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09"/>
      <c r="Q46" s="1810">
        <f t="shared" si="11"/>
        <v>111</v>
      </c>
      <c r="R46" s="774" t="s">
        <v>20</v>
      </c>
      <c r="S46" s="775">
        <f t="shared" si="12"/>
        <v>100</v>
      </c>
      <c r="T46" s="774" t="s">
        <v>20</v>
      </c>
      <c r="U46" s="775">
        <f t="shared" si="13"/>
        <v>100</v>
      </c>
      <c r="V46" s="774" t="s">
        <v>20</v>
      </c>
      <c r="W46" s="775">
        <f t="shared" si="14"/>
        <v>100</v>
      </c>
      <c r="X46" s="1813"/>
      <c r="Y46" s="3211"/>
      <c r="Z46" s="1814">
        <f t="shared" si="18"/>
        <v>111</v>
      </c>
      <c r="AA46" s="1811">
        <f t="shared" si="15"/>
        <v>1</v>
      </c>
      <c r="AB46" s="1811">
        <f t="shared" si="16"/>
        <v>1</v>
      </c>
      <c r="AC46" s="1811">
        <f t="shared" si="17"/>
        <v>1</v>
      </c>
    </row>
    <row r="47" spans="1:29" ht="14.4">
      <c r="A47" s="479" t="s">
        <v>2575</v>
      </c>
      <c r="B47" s="480"/>
      <c r="C47" s="1407" t="s">
        <v>19</v>
      </c>
      <c r="D47" s="1408"/>
      <c r="E47" s="1409"/>
      <c r="F47" s="1410"/>
      <c r="G47" s="1411"/>
      <c r="H47" s="1412"/>
      <c r="I47" s="1409"/>
      <c r="J47" s="1412"/>
      <c r="K47" s="2621"/>
      <c r="L47" s="1143"/>
      <c r="M47" s="1144"/>
      <c r="N47" s="1131"/>
      <c r="O47" s="1144"/>
      <c r="P47" s="3203" t="str">
        <f>A47</f>
        <v>成交单价（元/平方米）</v>
      </c>
      <c r="Q47" s="3203"/>
      <c r="R47" s="3204">
        <f>E47</f>
        <v>0</v>
      </c>
      <c r="S47" s="3204"/>
      <c r="T47" s="3204">
        <f>G47</f>
        <v>0</v>
      </c>
      <c r="U47" s="3204"/>
      <c r="V47" s="3204">
        <f>I47</f>
        <v>0</v>
      </c>
      <c r="W47" s="3204"/>
      <c r="X47" s="759"/>
      <c r="Y47" s="781"/>
      <c r="Z47" s="759"/>
      <c r="AA47" s="759"/>
      <c r="AB47" s="759"/>
      <c r="AC47" s="759"/>
    </row>
    <row r="48" spans="1:29" ht="1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 thickBot="1">
      <c r="A49" s="492" t="s">
        <v>2577</v>
      </c>
      <c r="B49" s="493"/>
      <c r="C49" s="1416" t="e">
        <f>R49</f>
        <v>#DIV/0!</v>
      </c>
      <c r="D49" s="1417"/>
      <c r="E49" s="1417"/>
      <c r="F49" s="1417"/>
      <c r="G49" s="1417"/>
      <c r="H49" s="1417"/>
      <c r="I49" s="1417"/>
      <c r="J49" s="1417"/>
      <c r="K49" s="2623"/>
      <c r="L49" s="1143"/>
      <c r="M49" s="1144"/>
      <c r="N49" s="1144"/>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26"/>
      <c r="Q57" s="504"/>
    </row>
    <row r="58" spans="1:29" s="508" customFormat="1" ht="14.4">
      <c r="A58" s="505" t="s">
        <v>2582</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c r="A59" s="509"/>
      <c r="B59" s="2627"/>
      <c r="C59" s="1573">
        <v>100</v>
      </c>
      <c r="D59" s="511"/>
      <c r="E59" s="512"/>
      <c r="F59" s="512"/>
      <c r="G59" s="512"/>
      <c r="H59" s="512"/>
      <c r="I59" s="512"/>
      <c r="J59" s="512"/>
      <c r="K59" s="512"/>
      <c r="L59" s="512"/>
      <c r="M59" s="513"/>
      <c r="N59" s="512"/>
      <c r="O59" s="513"/>
      <c r="P59" s="2628"/>
    </row>
    <row r="60" spans="1:29" s="117" customFormat="1" ht="15" thickBot="1">
      <c r="A60" s="515" t="s">
        <v>2583</v>
      </c>
      <c r="B60" s="516"/>
      <c r="C60" s="517"/>
      <c r="D60" s="518"/>
      <c r="E60" s="518"/>
      <c r="F60" s="518"/>
      <c r="G60" s="518"/>
      <c r="H60" s="518"/>
      <c r="I60" s="518"/>
      <c r="J60" s="518"/>
      <c r="K60" s="518"/>
      <c r="L60" s="518"/>
      <c r="M60" s="519"/>
      <c r="N60" s="518"/>
      <c r="O60" s="519"/>
      <c r="P60" s="2628"/>
      <c r="Q60" s="504"/>
    </row>
    <row r="61" spans="1:29" s="117" customFormat="1" ht="14.4">
      <c r="A61" s="521" t="s">
        <v>2584</v>
      </c>
      <c r="B61" s="510"/>
      <c r="C61" s="522" t="s">
        <v>2585</v>
      </c>
      <c r="D61" s="523"/>
      <c r="E61" s="523"/>
      <c r="F61" s="523"/>
      <c r="G61" s="523"/>
      <c r="H61" s="523"/>
      <c r="I61" s="523"/>
      <c r="J61" s="523"/>
      <c r="K61" s="523"/>
      <c r="L61" s="524"/>
      <c r="M61" s="525"/>
      <c r="N61" s="1151"/>
      <c r="O61" s="1151"/>
      <c r="P61" s="2629"/>
      <c r="Q61" s="504"/>
    </row>
    <row r="62" spans="1:29" s="117" customFormat="1" ht="14.4" thickBot="1">
      <c r="A62" s="521"/>
      <c r="B62" s="510"/>
      <c r="C62" s="511">
        <v>100</v>
      </c>
      <c r="D62" s="512"/>
      <c r="E62" s="512"/>
      <c r="F62" s="512"/>
      <c r="G62" s="512"/>
      <c r="H62" s="512"/>
      <c r="I62" s="512"/>
      <c r="J62" s="512"/>
      <c r="K62" s="512"/>
      <c r="L62" s="512"/>
      <c r="M62" s="514"/>
      <c r="N62" s="1151"/>
      <c r="O62" s="1151"/>
      <c r="P62" s="2628"/>
      <c r="Q62" s="504"/>
    </row>
    <row r="63" spans="1:29" ht="14.4">
      <c r="A63" s="527" t="s">
        <v>2586</v>
      </c>
      <c r="B63" s="528" t="s">
        <v>2552</v>
      </c>
      <c r="C63" s="529">
        <f>C9</f>
        <v>0</v>
      </c>
      <c r="D63" s="530"/>
      <c r="E63" s="530"/>
      <c r="F63" s="530"/>
      <c r="G63" s="530"/>
      <c r="H63" s="530"/>
      <c r="I63" s="530"/>
      <c r="J63" s="530"/>
      <c r="K63" s="531"/>
      <c r="L63" s="532"/>
      <c r="M63" s="533"/>
      <c r="N63" s="1152"/>
      <c r="O63" s="1152"/>
      <c r="P63" s="2630"/>
      <c r="Q63" s="504"/>
    </row>
    <row r="64" spans="1:29" ht="14.4" thickBot="1">
      <c r="A64" s="534"/>
      <c r="B64" s="535"/>
      <c r="C64" s="536">
        <v>100</v>
      </c>
      <c r="D64" s="536"/>
      <c r="E64" s="536"/>
      <c r="F64" s="536"/>
      <c r="G64" s="536"/>
      <c r="H64" s="536"/>
      <c r="I64" s="536"/>
      <c r="J64" s="536"/>
      <c r="K64" s="536"/>
      <c r="L64" s="536"/>
      <c r="M64" s="537"/>
      <c r="N64" s="1153"/>
      <c r="O64" s="1153"/>
      <c r="P64" s="2630"/>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c r="A68" s="534"/>
      <c r="B68" s="548"/>
      <c r="C68" s="549"/>
      <c r="D68" s="549"/>
      <c r="E68" s="549"/>
      <c r="F68" s="549"/>
      <c r="G68" s="549"/>
      <c r="H68" s="549"/>
      <c r="I68" s="549"/>
      <c r="J68" s="549"/>
      <c r="K68" s="550"/>
      <c r="L68" s="551"/>
      <c r="M68" s="552"/>
      <c r="N68" s="1152"/>
      <c r="O68" s="1152"/>
      <c r="P68" s="2630"/>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4.4" thickTop="1">
      <c r="A70" s="553"/>
      <c r="B70" s="538">
        <f>B12</f>
        <v>111</v>
      </c>
      <c r="C70" s="554"/>
      <c r="D70" s="554"/>
      <c r="E70" s="554"/>
      <c r="F70" s="554"/>
      <c r="G70" s="554"/>
      <c r="H70" s="555"/>
      <c r="I70" s="555"/>
      <c r="J70" s="555"/>
      <c r="K70" s="555"/>
      <c r="L70" s="556"/>
      <c r="M70" s="557"/>
      <c r="N70" s="1154"/>
      <c r="O70" s="1154"/>
      <c r="P70" s="2631"/>
      <c r="Q70" s="559"/>
    </row>
    <row r="71" spans="1:17" s="471" customFormat="1" ht="14.4" thickBot="1">
      <c r="A71" s="553"/>
      <c r="B71" s="543"/>
      <c r="C71" s="560"/>
      <c r="D71" s="536"/>
      <c r="E71" s="536"/>
      <c r="F71" s="536"/>
      <c r="G71" s="536"/>
      <c r="H71" s="536"/>
      <c r="I71" s="536"/>
      <c r="J71" s="536"/>
      <c r="K71" s="536"/>
      <c r="L71" s="536"/>
      <c r="M71" s="537"/>
      <c r="N71" s="1153"/>
      <c r="O71" s="1153"/>
      <c r="P71" s="2631"/>
      <c r="Q71" s="559"/>
    </row>
    <row r="72" spans="1:17" s="471" customFormat="1" ht="14.4" thickTop="1">
      <c r="A72" s="553"/>
      <c r="B72" s="538">
        <f>B13</f>
        <v>111</v>
      </c>
      <c r="C72" s="554"/>
      <c r="D72" s="554"/>
      <c r="E72" s="554"/>
      <c r="F72" s="554"/>
      <c r="G72" s="554"/>
      <c r="H72" s="555"/>
      <c r="I72" s="555"/>
      <c r="J72" s="555"/>
      <c r="K72" s="555"/>
      <c r="L72" s="556"/>
      <c r="M72" s="557"/>
      <c r="N72" s="1154"/>
      <c r="O72" s="1154"/>
      <c r="P72" s="2632"/>
      <c r="Q72" s="561"/>
    </row>
    <row r="73" spans="1:17" s="471" customFormat="1" ht="14.4" thickBot="1">
      <c r="A73" s="553"/>
      <c r="B73" s="543"/>
      <c r="C73" s="560"/>
      <c r="D73" s="560"/>
      <c r="E73" s="560"/>
      <c r="F73" s="560"/>
      <c r="G73" s="560"/>
      <c r="H73" s="562"/>
      <c r="I73" s="562"/>
      <c r="J73" s="562"/>
      <c r="K73" s="562"/>
      <c r="L73" s="562"/>
      <c r="M73" s="563"/>
      <c r="N73" s="1154"/>
      <c r="O73" s="1154"/>
      <c r="P73" s="2631"/>
      <c r="Q73" s="559"/>
    </row>
    <row r="74" spans="1:17" s="471" customFormat="1" ht="14.4" thickTop="1">
      <c r="A74" s="553"/>
      <c r="B74" s="546">
        <f>B14</f>
        <v>111</v>
      </c>
      <c r="C74" s="554"/>
      <c r="D74" s="554"/>
      <c r="E74" s="554"/>
      <c r="F74" s="554"/>
      <c r="G74" s="523"/>
      <c r="H74" s="564"/>
      <c r="I74" s="564"/>
      <c r="J74" s="564"/>
      <c r="K74" s="564"/>
      <c r="L74" s="565"/>
      <c r="M74" s="566"/>
      <c r="N74" s="1154"/>
      <c r="O74" s="1154"/>
      <c r="P74" s="2633"/>
      <c r="Q74" s="559"/>
    </row>
    <row r="75" spans="1:17" s="471" customFormat="1" ht="14.4" thickBot="1">
      <c r="A75" s="568"/>
      <c r="B75" s="569"/>
      <c r="C75" s="570"/>
      <c r="D75" s="570"/>
      <c r="E75" s="570"/>
      <c r="F75" s="570"/>
      <c r="G75" s="570"/>
      <c r="H75" s="571"/>
      <c r="I75" s="571"/>
      <c r="J75" s="571"/>
      <c r="K75" s="571"/>
      <c r="L75" s="571"/>
      <c r="M75" s="572"/>
      <c r="N75" s="1154"/>
      <c r="O75" s="1154"/>
      <c r="P75" s="2631"/>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 thickTop="1">
      <c r="A82" s="534"/>
      <c r="B82" s="546" t="s">
        <v>2097</v>
      </c>
      <c r="C82" s="539" t="s">
        <v>2602</v>
      </c>
      <c r="D82" s="539" t="s">
        <v>2603</v>
      </c>
      <c r="E82" s="539" t="s">
        <v>2604</v>
      </c>
      <c r="F82" s="539" t="s">
        <v>2605</v>
      </c>
      <c r="G82" s="539" t="s">
        <v>2606</v>
      </c>
      <c r="H82" s="539"/>
      <c r="I82" s="539"/>
      <c r="J82" s="539"/>
      <c r="K82" s="539"/>
      <c r="L82" s="539"/>
      <c r="M82" s="1382"/>
      <c r="N82" s="1153"/>
      <c r="O82" s="1153"/>
      <c r="P82" s="2630"/>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 thickTop="1">
      <c r="A86" s="579"/>
      <c r="B86" s="538" t="s">
        <v>2608</v>
      </c>
      <c r="C86" s="554"/>
      <c r="D86" s="554"/>
      <c r="E86" s="554"/>
      <c r="F86" s="554"/>
      <c r="G86" s="554"/>
      <c r="H86" s="554"/>
      <c r="I86" s="554"/>
      <c r="J86" s="554"/>
      <c r="K86" s="554"/>
      <c r="L86" s="580"/>
      <c r="M86" s="581"/>
      <c r="N86" s="1151"/>
      <c r="O86" s="1151"/>
      <c r="P86" s="263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 thickTop="1">
      <c r="A88" s="579"/>
      <c r="B88" s="538" t="s">
        <v>2609</v>
      </c>
      <c r="C88" s="554"/>
      <c r="D88" s="554"/>
      <c r="E88" s="554"/>
      <c r="F88" s="2635"/>
      <c r="G88" s="554"/>
      <c r="H88" s="554"/>
      <c r="I88" s="554"/>
      <c r="J88" s="554"/>
      <c r="K88" s="554"/>
      <c r="L88" s="554"/>
      <c r="M88" s="581"/>
      <c r="N88" s="1151"/>
      <c r="O88" s="1151"/>
      <c r="P88" s="263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4.4" thickTop="1">
      <c r="A90" s="553"/>
      <c r="B90" s="538">
        <f>B27</f>
        <v>111</v>
      </c>
      <c r="C90" s="554"/>
      <c r="D90" s="554"/>
      <c r="E90" s="554"/>
      <c r="F90" s="554"/>
      <c r="G90" s="554"/>
      <c r="H90" s="555"/>
      <c r="I90" s="555"/>
      <c r="J90" s="555"/>
      <c r="K90" s="555"/>
      <c r="L90" s="556"/>
      <c r="M90" s="557"/>
      <c r="N90" s="1154"/>
      <c r="O90" s="1154"/>
      <c r="P90" s="2631"/>
      <c r="Q90" s="559"/>
    </row>
    <row r="91" spans="1:17" s="471" customFormat="1" ht="14.4" thickBot="1">
      <c r="A91" s="553"/>
      <c r="B91" s="543"/>
      <c r="C91" s="560"/>
      <c r="D91" s="560"/>
      <c r="E91" s="560"/>
      <c r="F91" s="560"/>
      <c r="G91" s="560"/>
      <c r="H91" s="562"/>
      <c r="I91" s="562"/>
      <c r="J91" s="562"/>
      <c r="K91" s="562"/>
      <c r="L91" s="562"/>
      <c r="M91" s="563"/>
      <c r="N91" s="1154"/>
      <c r="O91" s="1154"/>
      <c r="P91" s="2631"/>
      <c r="Q91" s="559"/>
    </row>
    <row r="92" spans="1:17" ht="14.4" thickTop="1">
      <c r="A92" s="534"/>
      <c r="B92" s="538">
        <f>B28</f>
        <v>111</v>
      </c>
      <c r="C92" s="554"/>
      <c r="D92" s="554"/>
      <c r="E92" s="554"/>
      <c r="F92" s="554"/>
      <c r="G92" s="583"/>
      <c r="H92" s="583"/>
      <c r="I92" s="583"/>
      <c r="J92" s="583"/>
      <c r="K92" s="584"/>
      <c r="L92" s="585"/>
      <c r="M92" s="586"/>
      <c r="N92" s="1152"/>
      <c r="O92" s="1152"/>
      <c r="P92" s="2630"/>
      <c r="Q92" s="504"/>
    </row>
    <row r="93" spans="1:17" ht="14.4" thickBot="1">
      <c r="A93" s="534"/>
      <c r="B93" s="543"/>
      <c r="C93" s="560"/>
      <c r="D93" s="536"/>
      <c r="E93" s="536"/>
      <c r="F93" s="536"/>
      <c r="G93" s="536"/>
      <c r="H93" s="536"/>
      <c r="I93" s="536"/>
      <c r="J93" s="536"/>
      <c r="K93" s="536"/>
      <c r="L93" s="536"/>
      <c r="M93" s="537"/>
      <c r="N93" s="1153"/>
      <c r="O93" s="1153"/>
      <c r="P93" s="2630"/>
      <c r="Q93" s="504"/>
    </row>
    <row r="94" spans="1:17" ht="14.4" thickTop="1">
      <c r="A94" s="534"/>
      <c r="B94" s="538">
        <f>B29</f>
        <v>111</v>
      </c>
      <c r="C94" s="554"/>
      <c r="D94" s="554"/>
      <c r="E94" s="554"/>
      <c r="F94" s="554"/>
      <c r="G94" s="583"/>
      <c r="H94" s="583"/>
      <c r="I94" s="583"/>
      <c r="J94" s="583"/>
      <c r="K94" s="584"/>
      <c r="L94" s="585"/>
      <c r="M94" s="586"/>
      <c r="N94" s="1152"/>
      <c r="O94" s="1152"/>
      <c r="P94" s="2630"/>
      <c r="Q94" s="504"/>
    </row>
    <row r="95" spans="1:17" ht="14.4" thickBot="1">
      <c r="A95" s="534"/>
      <c r="B95" s="543"/>
      <c r="C95" s="560"/>
      <c r="D95" s="560"/>
      <c r="E95" s="560"/>
      <c r="F95" s="560"/>
      <c r="G95" s="536"/>
      <c r="H95" s="536"/>
      <c r="I95" s="536"/>
      <c r="J95" s="536"/>
      <c r="K95" s="536"/>
      <c r="L95" s="536"/>
      <c r="M95" s="537"/>
      <c r="N95" s="1153"/>
      <c r="O95" s="1153"/>
      <c r="P95" s="2630"/>
      <c r="Q95" s="504"/>
    </row>
    <row r="96" spans="1:17" ht="14.4" thickTop="1">
      <c r="A96" s="534"/>
      <c r="B96" s="538">
        <f>B30</f>
        <v>111</v>
      </c>
      <c r="C96" s="554"/>
      <c r="D96" s="554"/>
      <c r="E96" s="554"/>
      <c r="F96" s="554"/>
      <c r="G96" s="583"/>
      <c r="H96" s="583"/>
      <c r="I96" s="583"/>
      <c r="J96" s="583"/>
      <c r="K96" s="584"/>
      <c r="L96" s="585"/>
      <c r="M96" s="586"/>
      <c r="N96" s="1152"/>
      <c r="O96" s="1152"/>
      <c r="P96" s="2630"/>
      <c r="Q96" s="504"/>
    </row>
    <row r="97" spans="1:17" ht="14.4" thickBot="1">
      <c r="A97" s="534"/>
      <c r="B97" s="543"/>
      <c r="C97" s="570"/>
      <c r="D97" s="570"/>
      <c r="E97" s="570"/>
      <c r="F97" s="570"/>
      <c r="G97" s="536"/>
      <c r="H97" s="536"/>
      <c r="I97" s="536"/>
      <c r="J97" s="536"/>
      <c r="K97" s="536"/>
      <c r="L97" s="536"/>
      <c r="M97" s="537"/>
      <c r="N97" s="1153"/>
      <c r="O97" s="1153"/>
      <c r="P97" s="2630"/>
      <c r="Q97" s="504"/>
    </row>
    <row r="98" spans="1:17" ht="14.4" thickTop="1">
      <c r="A98" s="534"/>
      <c r="B98" s="546">
        <f>B31</f>
        <v>111</v>
      </c>
      <c r="C98" s="587"/>
      <c r="D98" s="587"/>
      <c r="E98" s="587"/>
      <c r="F98" s="587"/>
      <c r="G98" s="587"/>
      <c r="H98" s="587"/>
      <c r="I98" s="587"/>
      <c r="J98" s="587"/>
      <c r="K98" s="588"/>
      <c r="L98" s="589"/>
      <c r="M98" s="590"/>
      <c r="N98" s="1152"/>
      <c r="O98" s="1152"/>
      <c r="P98" s="2630"/>
      <c r="Q98" s="504"/>
    </row>
    <row r="99" spans="1:17" ht="14.4" thickBot="1">
      <c r="A99" s="2636"/>
      <c r="B99" s="569"/>
      <c r="C99" s="591"/>
      <c r="D99" s="591"/>
      <c r="E99" s="591"/>
      <c r="F99" s="591"/>
      <c r="G99" s="591"/>
      <c r="H99" s="591"/>
      <c r="I99" s="591"/>
      <c r="J99" s="591"/>
      <c r="K99" s="591"/>
      <c r="L99" s="591"/>
      <c r="M99" s="592"/>
      <c r="N99" s="1153"/>
      <c r="O99" s="1153"/>
      <c r="P99" s="2630"/>
      <c r="Q99" s="504"/>
    </row>
    <row r="100" spans="1:17" ht="14.4">
      <c r="A100" s="527" t="s">
        <v>2561</v>
      </c>
      <c r="B100" s="528" t="s">
        <v>2610</v>
      </c>
      <c r="C100" s="530"/>
      <c r="D100" s="530"/>
      <c r="E100" s="530"/>
      <c r="F100" s="530"/>
      <c r="G100" s="530"/>
      <c r="H100" s="530"/>
      <c r="I100" s="530"/>
      <c r="J100" s="530"/>
      <c r="K100" s="531"/>
      <c r="L100" s="532"/>
      <c r="M100" s="533"/>
      <c r="N100" s="1152"/>
      <c r="O100" s="1152"/>
      <c r="P100" s="2630"/>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1"/>
      <c r="Q127" s="559"/>
    </row>
    <row r="128" spans="1:17" ht="14.4" thickTop="1">
      <c r="A128" s="599"/>
      <c r="B128" s="538">
        <f>B45</f>
        <v>111</v>
      </c>
      <c r="C128" s="554"/>
      <c r="D128" s="554"/>
      <c r="E128" s="554"/>
      <c r="F128" s="554"/>
      <c r="G128" s="583"/>
      <c r="H128" s="583"/>
      <c r="I128" s="583"/>
      <c r="J128" s="583"/>
      <c r="K128" s="584"/>
      <c r="L128" s="585"/>
      <c r="M128" s="586"/>
      <c r="N128" s="1152"/>
      <c r="O128" s="1152"/>
      <c r="P128" s="2630"/>
      <c r="Q128" s="504"/>
    </row>
    <row r="129" spans="1:17" ht="14.4" thickBot="1">
      <c r="A129" s="534"/>
      <c r="B129" s="543"/>
      <c r="C129" s="560"/>
      <c r="D129" s="560"/>
      <c r="E129" s="560"/>
      <c r="F129" s="560"/>
      <c r="G129" s="536"/>
      <c r="H129" s="536"/>
      <c r="I129" s="536"/>
      <c r="J129" s="536"/>
      <c r="K129" s="536"/>
      <c r="L129" s="536"/>
      <c r="M129" s="537"/>
      <c r="N129" s="1153"/>
      <c r="O129" s="1153"/>
      <c r="P129" s="2630"/>
      <c r="Q129" s="504"/>
    </row>
    <row r="130" spans="1:17" ht="14.4" thickTop="1">
      <c r="A130" s="599"/>
      <c r="B130" s="546">
        <f>B46</f>
        <v>111</v>
      </c>
      <c r="C130" s="554"/>
      <c r="D130" s="554"/>
      <c r="E130" s="554"/>
      <c r="F130" s="554"/>
      <c r="G130" s="587"/>
      <c r="H130" s="587"/>
      <c r="I130" s="587"/>
      <c r="J130" s="587"/>
      <c r="K130" s="523"/>
      <c r="L130" s="524"/>
      <c r="M130" s="590"/>
      <c r="N130" s="1152"/>
      <c r="O130" s="1152"/>
      <c r="P130" s="2630"/>
      <c r="Q130" s="504"/>
    </row>
    <row r="131" spans="1:17" ht="14.4"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6.2"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ht="14.4">
      <c r="B147" s="2637" t="s">
        <v>2638</v>
      </c>
    </row>
    <row r="148" spans="2:11" ht="14.4">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582" t="s">
        <v>2640</v>
      </c>
      <c r="C1" s="1634" t="s">
        <v>2528</v>
      </c>
      <c r="D1" s="1621"/>
      <c r="E1" s="2657"/>
      <c r="F1" s="2584"/>
      <c r="G1" s="1631" t="s">
        <v>2641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2328</v>
      </c>
      <c r="B2" s="1418" t="e">
        <f ca="1">IF(C2="——",ROUND(C49*D3/10000,0),ROUND(C49*D3/10000,0)-D2)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2330</v>
      </c>
      <c r="B3" s="609" t="e">
        <f ca="1">IF(C2="——",C49,ROUND(B2*10000/D3,0))</f>
        <v>#DIV/0!</v>
      </c>
      <c r="C3" s="400" t="s">
        <v>2642</v>
      </c>
      <c r="D3" s="399">
        <f>IF(D1="",'数据-汇总表'!E3,SUMIF('数据-汇总表'!$C19:$C33,D1,'数据-汇总表'!$E19:$E33))</f>
        <v>6031.39</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4.4">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3"/>
      <c r="Y4" s="3173" t="s">
        <v>2649</v>
      </c>
      <c r="Z4" s="3174"/>
      <c r="AA4" s="3168" t="s">
        <v>2645</v>
      </c>
      <c r="AB4" s="3198" t="s">
        <v>2646</v>
      </c>
      <c r="AC4" s="3168" t="s">
        <v>2647</v>
      </c>
    </row>
    <row r="5" spans="1:29">
      <c r="A5" s="404"/>
      <c r="B5" s="405"/>
      <c r="C5" s="3179" t="s">
        <v>2540</v>
      </c>
      <c r="D5" s="3180"/>
      <c r="E5" s="3177" t="s">
        <v>2541</v>
      </c>
      <c r="F5" s="3178"/>
      <c r="G5" s="3179" t="s">
        <v>2542</v>
      </c>
      <c r="H5" s="3180"/>
      <c r="I5" s="3179" t="s">
        <v>2543</v>
      </c>
      <c r="J5" s="3180"/>
      <c r="K5" s="610"/>
      <c r="L5" s="1130"/>
      <c r="M5" s="1131"/>
      <c r="N5" s="1131"/>
      <c r="O5" s="1131"/>
      <c r="P5" s="3192"/>
      <c r="Q5" s="3193"/>
      <c r="R5" s="3175"/>
      <c r="S5" s="3176"/>
      <c r="T5" s="3175"/>
      <c r="U5" s="3176"/>
      <c r="V5" s="3198"/>
      <c r="W5" s="3198"/>
      <c r="X5" s="1813"/>
      <c r="Y5" s="3175"/>
      <c r="Z5" s="3176"/>
      <c r="AA5" s="3169"/>
      <c r="AB5" s="3198"/>
      <c r="AC5" s="3169"/>
    </row>
    <row r="6" spans="1:29" ht="15" thickBot="1">
      <c r="A6" s="406"/>
      <c r="B6" s="407"/>
      <c r="C6" s="3181" t="s">
        <v>2544</v>
      </c>
      <c r="D6" s="3182"/>
      <c r="E6" s="3183" t="s">
        <v>2544</v>
      </c>
      <c r="F6" s="3184"/>
      <c r="G6" s="3181" t="s">
        <v>2544</v>
      </c>
      <c r="H6" s="3182"/>
      <c r="I6" s="3181" t="s">
        <v>2544</v>
      </c>
      <c r="J6" s="3182"/>
      <c r="K6" s="610" t="s">
        <v>2545</v>
      </c>
      <c r="L6" s="1130"/>
      <c r="M6" s="1131"/>
      <c r="N6" s="1131"/>
      <c r="O6" s="1131"/>
      <c r="P6" s="3194"/>
      <c r="Q6" s="3195"/>
      <c r="R6" s="3175"/>
      <c r="S6" s="3176"/>
      <c r="T6" s="3196"/>
      <c r="U6" s="3197"/>
      <c r="V6" s="3198"/>
      <c r="W6" s="3198"/>
      <c r="X6" s="1813"/>
      <c r="Y6" s="3196"/>
      <c r="Z6" s="3197"/>
      <c r="AA6" s="3170"/>
      <c r="AB6" s="3198"/>
      <c r="AC6" s="3170"/>
    </row>
    <row r="7" spans="1:29" s="117" customFormat="1" ht="15" thickBot="1">
      <c r="A7" s="408" t="s">
        <v>2546</v>
      </c>
      <c r="B7" s="409"/>
      <c r="C7" s="410">
        <f>'数据-取费表'!B2</f>
        <v>43819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1" t="s">
        <v>2547</v>
      </c>
      <c r="Q7" s="3199"/>
      <c r="R7" s="770" t="s">
        <v>17</v>
      </c>
      <c r="S7" s="771">
        <f t="shared" ref="S7:S15" si="0">F7</f>
        <v>0</v>
      </c>
      <c r="T7" s="770" t="s">
        <v>17</v>
      </c>
      <c r="U7" s="771">
        <f t="shared" ref="U7:U15" si="1">H7</f>
        <v>0</v>
      </c>
      <c r="V7" s="770" t="s">
        <v>17</v>
      </c>
      <c r="W7" s="771">
        <f t="shared" ref="W7:W15" si="2">J7</f>
        <v>0</v>
      </c>
      <c r="X7" s="772"/>
      <c r="Y7" s="3171" t="s">
        <v>2547</v>
      </c>
      <c r="Z7" s="3172"/>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1" t="s">
        <v>2550</v>
      </c>
      <c r="Q8" s="3172"/>
      <c r="R8" s="770" t="s">
        <v>17</v>
      </c>
      <c r="S8" s="771">
        <f t="shared" si="0"/>
        <v>0</v>
      </c>
      <c r="T8" s="770" t="s">
        <v>17</v>
      </c>
      <c r="U8" s="771">
        <f t="shared" si="1"/>
        <v>0</v>
      </c>
      <c r="V8" s="770" t="s">
        <v>17</v>
      </c>
      <c r="W8" s="771">
        <f t="shared" si="2"/>
        <v>0</v>
      </c>
      <c r="X8" s="772"/>
      <c r="Y8" s="3171" t="s">
        <v>2550</v>
      </c>
      <c r="Z8" s="3172"/>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5" t="s">
        <v>2553</v>
      </c>
      <c r="Q9" s="1795"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69">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2" t="s">
        <v>2558</v>
      </c>
      <c r="Q15" s="1810" t="str">
        <f t="shared" si="6"/>
        <v>商业繁华度</v>
      </c>
      <c r="R15" s="774" t="s">
        <v>17</v>
      </c>
      <c r="S15" s="775">
        <f t="shared" si="0"/>
        <v>100</v>
      </c>
      <c r="T15" s="774" t="s">
        <v>17</v>
      </c>
      <c r="U15" s="775">
        <f t="shared" si="1"/>
        <v>100</v>
      </c>
      <c r="V15" s="774" t="s">
        <v>17</v>
      </c>
      <c r="W15" s="775">
        <f t="shared" si="2"/>
        <v>100</v>
      </c>
      <c r="X15" s="1813"/>
      <c r="Y15" s="3205"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1811">
        <v>1</v>
      </c>
    </row>
    <row r="17" spans="1:29" ht="82.8">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13"/>
      <c r="Q18" s="1810"/>
      <c r="R18" s="774"/>
      <c r="S18" s="775"/>
      <c r="T18" s="774"/>
      <c r="U18" s="775"/>
      <c r="V18" s="774"/>
      <c r="W18" s="775"/>
      <c r="X18" s="1813"/>
      <c r="Y18" s="3206"/>
      <c r="Z18" s="1814"/>
      <c r="AA18" s="1811">
        <v>1</v>
      </c>
      <c r="AB18" s="1811">
        <v>1</v>
      </c>
      <c r="AC18" s="1811">
        <v>1</v>
      </c>
    </row>
    <row r="19" spans="1:29" ht="41.4">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13"/>
      <c r="Q20" s="1810"/>
      <c r="R20" s="774"/>
      <c r="S20" s="775"/>
      <c r="T20" s="774"/>
      <c r="U20" s="775"/>
      <c r="V20" s="774"/>
      <c r="W20" s="775"/>
      <c r="X20" s="1813"/>
      <c r="Y20" s="3206"/>
      <c r="Z20" s="1814"/>
      <c r="AA20" s="1811">
        <v>1</v>
      </c>
      <c r="AB20" s="1811">
        <v>1</v>
      </c>
      <c r="AC20" s="1811">
        <v>1</v>
      </c>
    </row>
    <row r="21" spans="1:29" ht="27.6">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13"/>
      <c r="Q22" s="1810"/>
      <c r="R22" s="774"/>
      <c r="S22" s="775"/>
      <c r="T22" s="774"/>
      <c r="U22" s="775"/>
      <c r="V22" s="774"/>
      <c r="W22" s="775"/>
      <c r="X22" s="1813"/>
      <c r="Y22" s="3206"/>
      <c r="Z22" s="1814"/>
      <c r="AA22" s="1811">
        <v>1</v>
      </c>
      <c r="AB22" s="1811">
        <v>1</v>
      </c>
      <c r="AC22" s="1811">
        <v>1</v>
      </c>
    </row>
    <row r="23" spans="1:29" ht="55.2">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3"/>
      <c r="Q23" s="1810" t="str">
        <f>B23</f>
        <v>自然及人文环境</v>
      </c>
      <c r="R23" s="774" t="s">
        <v>17</v>
      </c>
      <c r="S23" s="775">
        <f>F23</f>
        <v>100</v>
      </c>
      <c r="T23" s="774" t="s">
        <v>17</v>
      </c>
      <c r="U23" s="775">
        <f>H23</f>
        <v>100</v>
      </c>
      <c r="V23" s="774" t="s">
        <v>17</v>
      </c>
      <c r="W23" s="775">
        <f>J23</f>
        <v>100</v>
      </c>
      <c r="X23" s="1813"/>
      <c r="Y23" s="3206"/>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3"/>
      <c r="Q25" s="1810" t="str">
        <f t="shared" ref="Q25:Q46" si="11">B25</f>
        <v>临街状况</v>
      </c>
      <c r="R25" s="774" t="s">
        <v>17</v>
      </c>
      <c r="S25" s="775">
        <f>F25</f>
        <v>100</v>
      </c>
      <c r="T25" s="774" t="s">
        <v>17</v>
      </c>
      <c r="U25" s="775">
        <f>H25</f>
        <v>100</v>
      </c>
      <c r="V25" s="774" t="s">
        <v>17</v>
      </c>
      <c r="W25" s="775">
        <f>J25</f>
        <v>100</v>
      </c>
      <c r="X25" s="1813"/>
      <c r="Y25" s="3206"/>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3"/>
      <c r="Q26" s="1810" t="str">
        <f t="shared" si="11"/>
        <v>平面位置/可视性</v>
      </c>
      <c r="R26" s="774" t="s">
        <v>17</v>
      </c>
      <c r="S26" s="775">
        <f>F26</f>
        <v>100</v>
      </c>
      <c r="T26" s="774" t="s">
        <v>17</v>
      </c>
      <c r="U26" s="775">
        <f>H26</f>
        <v>100</v>
      </c>
      <c r="V26" s="774" t="s">
        <v>17</v>
      </c>
      <c r="W26" s="775">
        <f>J26</f>
        <v>100</v>
      </c>
      <c r="X26" s="1813"/>
      <c r="Y26" s="3206"/>
      <c r="Z26" s="1814" t="str">
        <f>Q26</f>
        <v>平面位置/可视性</v>
      </c>
      <c r="AA26" s="1811">
        <f t="shared" si="3"/>
        <v>1</v>
      </c>
      <c r="AB26" s="1811">
        <f t="shared" si="4"/>
        <v>1</v>
      </c>
      <c r="AC26" s="1811">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13"/>
      <c r="Q27" s="1795" t="str">
        <f t="shared" si="11"/>
        <v>人流量</v>
      </c>
      <c r="R27" s="770" t="s">
        <v>17</v>
      </c>
      <c r="S27" s="771">
        <f>F27</f>
        <v>100</v>
      </c>
      <c r="T27" s="770" t="s">
        <v>17</v>
      </c>
      <c r="U27" s="771">
        <f>H27</f>
        <v>100</v>
      </c>
      <c r="V27" s="770" t="s">
        <v>17</v>
      </c>
      <c r="W27" s="771">
        <f>J27</f>
        <v>100</v>
      </c>
      <c r="X27" s="772"/>
      <c r="Y27" s="3206"/>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3"/>
      <c r="Q29" s="1810">
        <f t="shared" si="11"/>
        <v>111</v>
      </c>
      <c r="R29" s="774" t="s">
        <v>17</v>
      </c>
      <c r="S29" s="775">
        <f t="shared" si="12"/>
        <v>100</v>
      </c>
      <c r="T29" s="774" t="s">
        <v>17</v>
      </c>
      <c r="U29" s="775">
        <f t="shared" si="13"/>
        <v>100</v>
      </c>
      <c r="V29" s="774" t="s">
        <v>17</v>
      </c>
      <c r="W29" s="775">
        <f t="shared" si="14"/>
        <v>100</v>
      </c>
      <c r="X29" s="1813"/>
      <c r="Y29" s="320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1811">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07" t="s">
        <v>2563</v>
      </c>
      <c r="Q32" s="1810" t="str">
        <f t="shared" si="11"/>
        <v>商业类型</v>
      </c>
      <c r="R32" s="774" t="s">
        <v>17</v>
      </c>
      <c r="S32" s="775">
        <f t="shared" si="12"/>
        <v>100</v>
      </c>
      <c r="T32" s="774" t="s">
        <v>17</v>
      </c>
      <c r="U32" s="775">
        <f t="shared" si="13"/>
        <v>100</v>
      </c>
      <c r="V32" s="774" t="s">
        <v>17</v>
      </c>
      <c r="W32" s="775">
        <f t="shared" si="14"/>
        <v>100</v>
      </c>
      <c r="X32" s="1813"/>
      <c r="Y32" s="3210"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8"/>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1" t="e">
        <f t="shared" si="3"/>
        <v>#N/A</v>
      </c>
      <c r="AB33" s="1811" t="e">
        <f t="shared" si="4"/>
        <v>#N/A</v>
      </c>
      <c r="AC33" s="1811"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08"/>
      <c r="Q34" s="1810" t="str">
        <f t="shared" si="11"/>
        <v>建筑结构</v>
      </c>
      <c r="R34" s="774" t="s">
        <v>17</v>
      </c>
      <c r="S34" s="775">
        <f t="shared" si="12"/>
        <v>100</v>
      </c>
      <c r="T34" s="774" t="s">
        <v>17</v>
      </c>
      <c r="U34" s="775">
        <f t="shared" si="13"/>
        <v>100</v>
      </c>
      <c r="V34" s="774" t="s">
        <v>17</v>
      </c>
      <c r="W34" s="775">
        <f t="shared" si="14"/>
        <v>100</v>
      </c>
      <c r="X34" s="1813"/>
      <c r="Y34" s="3210"/>
      <c r="Z34" s="1814" t="str">
        <f t="shared" si="15"/>
        <v>建筑结构</v>
      </c>
      <c r="AA34" s="1811">
        <f t="shared" si="3"/>
        <v>1</v>
      </c>
      <c r="AB34" s="1811">
        <f t="shared" si="4"/>
        <v>1</v>
      </c>
      <c r="AC34" s="1811">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08"/>
      <c r="Q35" s="1810" t="str">
        <f t="shared" si="11"/>
        <v>公共部分装修</v>
      </c>
      <c r="R35" s="774" t="s">
        <v>17</v>
      </c>
      <c r="S35" s="775">
        <f t="shared" si="12"/>
        <v>100</v>
      </c>
      <c r="T35" s="774" t="s">
        <v>17</v>
      </c>
      <c r="U35" s="775">
        <f t="shared" si="13"/>
        <v>100</v>
      </c>
      <c r="V35" s="774" t="s">
        <v>17</v>
      </c>
      <c r="W35" s="775">
        <f t="shared" si="14"/>
        <v>100</v>
      </c>
      <c r="X35" s="1813"/>
      <c r="Y35" s="3210"/>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8"/>
      <c r="Q36" s="1810" t="str">
        <f t="shared" si="11"/>
        <v>成新度</v>
      </c>
      <c r="R36" s="774" t="s">
        <v>17</v>
      </c>
      <c r="S36" s="775" t="e">
        <f t="shared" si="12"/>
        <v>#N/A</v>
      </c>
      <c r="T36" s="774" t="s">
        <v>17</v>
      </c>
      <c r="U36" s="775" t="e">
        <f t="shared" si="13"/>
        <v>#N/A</v>
      </c>
      <c r="V36" s="774" t="s">
        <v>17</v>
      </c>
      <c r="W36" s="775" t="e">
        <f t="shared" si="14"/>
        <v>#N/A</v>
      </c>
      <c r="X36" s="1813"/>
      <c r="Y36" s="3210"/>
      <c r="Z36" s="1814" t="str">
        <f t="shared" si="15"/>
        <v>成新度</v>
      </c>
      <c r="AA36" s="1811" t="e">
        <f t="shared" si="3"/>
        <v>#N/A</v>
      </c>
      <c r="AB36" s="1811" t="e">
        <f t="shared" si="4"/>
        <v>#N/A</v>
      </c>
      <c r="AC36" s="1811"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08"/>
      <c r="Q37" s="1795"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08" t="s">
        <v>2563</v>
      </c>
      <c r="Q38" s="1810" t="str">
        <f t="shared" si="11"/>
        <v>业态</v>
      </c>
      <c r="R38" s="774" t="s">
        <v>17</v>
      </c>
      <c r="S38" s="775">
        <f t="shared" si="12"/>
        <v>100</v>
      </c>
      <c r="T38" s="774" t="s">
        <v>17</v>
      </c>
      <c r="U38" s="775">
        <f t="shared" si="13"/>
        <v>100</v>
      </c>
      <c r="V38" s="774" t="s">
        <v>17</v>
      </c>
      <c r="W38" s="775">
        <f t="shared" si="14"/>
        <v>100</v>
      </c>
      <c r="X38" s="1813"/>
      <c r="Y38" s="3210" t="s">
        <v>2563</v>
      </c>
      <c r="Z38" s="1814" t="str">
        <f t="shared" si="15"/>
        <v>业态</v>
      </c>
      <c r="AA38" s="1811">
        <f t="shared" si="3"/>
        <v>1</v>
      </c>
      <c r="AB38" s="1811">
        <f t="shared" si="4"/>
        <v>1</v>
      </c>
      <c r="AC38" s="1811">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08"/>
      <c r="Q39" s="1810" t="str">
        <f t="shared" si="11"/>
        <v>层高</v>
      </c>
      <c r="R39" s="774" t="s">
        <v>17</v>
      </c>
      <c r="S39" s="775">
        <f t="shared" si="12"/>
        <v>100</v>
      </c>
      <c r="T39" s="774" t="s">
        <v>17</v>
      </c>
      <c r="U39" s="775">
        <f t="shared" si="13"/>
        <v>100</v>
      </c>
      <c r="V39" s="774" t="s">
        <v>17</v>
      </c>
      <c r="W39" s="775">
        <f t="shared" si="14"/>
        <v>100</v>
      </c>
      <c r="X39" s="1813"/>
      <c r="Y39" s="3210"/>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8"/>
      <c r="Q40" s="1810" t="str">
        <f t="shared" si="11"/>
        <v>单套建筑面积</v>
      </c>
      <c r="R40" s="774" t="s">
        <v>17</v>
      </c>
      <c r="S40" s="775">
        <f t="shared" si="12"/>
        <v>100</v>
      </c>
      <c r="T40" s="774" t="s">
        <v>17</v>
      </c>
      <c r="U40" s="775">
        <f t="shared" si="13"/>
        <v>100</v>
      </c>
      <c r="V40" s="774" t="s">
        <v>17</v>
      </c>
      <c r="W40" s="775">
        <f t="shared" si="14"/>
        <v>100</v>
      </c>
      <c r="X40" s="1813"/>
      <c r="Y40" s="3210"/>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1">
        <f t="shared" si="3"/>
        <v>1</v>
      </c>
      <c r="AB41" s="1811">
        <f t="shared" si="4"/>
        <v>1</v>
      </c>
      <c r="AC41" s="1811">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08"/>
      <c r="Q42" s="1810" t="str">
        <f t="shared" si="11"/>
        <v>内部装修</v>
      </c>
      <c r="R42" s="774" t="s">
        <v>17</v>
      </c>
      <c r="S42" s="775">
        <f t="shared" si="12"/>
        <v>100</v>
      </c>
      <c r="T42" s="774" t="s">
        <v>17</v>
      </c>
      <c r="U42" s="775">
        <f t="shared" si="13"/>
        <v>100</v>
      </c>
      <c r="V42" s="774" t="s">
        <v>17</v>
      </c>
      <c r="W42" s="775">
        <f t="shared" si="14"/>
        <v>100</v>
      </c>
      <c r="X42" s="1813"/>
      <c r="Y42" s="3210"/>
      <c r="Z42" s="1814" t="str">
        <f t="shared" si="15"/>
        <v>内部装修</v>
      </c>
      <c r="AA42" s="1811">
        <f t="shared" si="3"/>
        <v>1</v>
      </c>
      <c r="AB42" s="1811">
        <f t="shared" si="4"/>
        <v>1</v>
      </c>
      <c r="AC42" s="1811">
        <f t="shared" si="5"/>
        <v>1</v>
      </c>
    </row>
    <row r="43" spans="1:29" ht="28.8">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08"/>
      <c r="Q43" s="1810" t="str">
        <f t="shared" si="11"/>
        <v>内部装修维护情况</v>
      </c>
      <c r="R43" s="774" t="s">
        <v>17</v>
      </c>
      <c r="S43" s="775">
        <f t="shared" si="12"/>
        <v>100</v>
      </c>
      <c r="T43" s="774" t="s">
        <v>17</v>
      </c>
      <c r="U43" s="775">
        <f t="shared" si="13"/>
        <v>100</v>
      </c>
      <c r="V43" s="774" t="s">
        <v>17</v>
      </c>
      <c r="W43" s="775">
        <f t="shared" si="14"/>
        <v>100</v>
      </c>
      <c r="X43" s="1813"/>
      <c r="Y43" s="321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8"/>
      <c r="Q44" s="1795">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8"/>
      <c r="Q45" s="1810">
        <f t="shared" si="11"/>
        <v>111</v>
      </c>
      <c r="R45" s="774" t="s">
        <v>17</v>
      </c>
      <c r="S45" s="775">
        <f t="shared" si="12"/>
        <v>100</v>
      </c>
      <c r="T45" s="774" t="s">
        <v>17</v>
      </c>
      <c r="U45" s="775">
        <f t="shared" si="13"/>
        <v>100</v>
      </c>
      <c r="V45" s="774" t="s">
        <v>17</v>
      </c>
      <c r="W45" s="775">
        <f t="shared" si="14"/>
        <v>100</v>
      </c>
      <c r="X45" s="1813"/>
      <c r="Y45" s="3210"/>
      <c r="Z45" s="1814">
        <f t="shared" si="15"/>
        <v>111</v>
      </c>
      <c r="AA45" s="1811">
        <f t="shared" si="3"/>
        <v>1</v>
      </c>
      <c r="AB45" s="1811">
        <f t="shared" si="4"/>
        <v>1</v>
      </c>
      <c r="AC45" s="1811">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9"/>
      <c r="Q46" s="1810">
        <f t="shared" si="11"/>
        <v>111</v>
      </c>
      <c r="R46" s="774" t="s">
        <v>17</v>
      </c>
      <c r="S46" s="775">
        <f t="shared" si="12"/>
        <v>100</v>
      </c>
      <c r="T46" s="774" t="s">
        <v>17</v>
      </c>
      <c r="U46" s="775">
        <f t="shared" si="13"/>
        <v>100</v>
      </c>
      <c r="V46" s="774" t="s">
        <v>17</v>
      </c>
      <c r="W46" s="775">
        <f t="shared" si="14"/>
        <v>100</v>
      </c>
      <c r="X46" s="1813"/>
      <c r="Y46" s="3211"/>
      <c r="Z46" s="1814">
        <f t="shared" si="15"/>
        <v>111</v>
      </c>
      <c r="AA46" s="1811">
        <f t="shared" si="3"/>
        <v>1</v>
      </c>
      <c r="AB46" s="1811">
        <f t="shared" si="4"/>
        <v>1</v>
      </c>
      <c r="AC46" s="1811">
        <f t="shared" si="5"/>
        <v>1</v>
      </c>
    </row>
    <row r="47" spans="1:29" ht="14.4">
      <c r="A47" s="479" t="s">
        <v>2575</v>
      </c>
      <c r="B47" s="480"/>
      <c r="C47" s="1407" t="s">
        <v>1</v>
      </c>
      <c r="D47" s="1408"/>
      <c r="E47" s="1409"/>
      <c r="F47" s="1410"/>
      <c r="G47" s="1411"/>
      <c r="H47" s="1412"/>
      <c r="I47" s="1409"/>
      <c r="J47" s="1412"/>
      <c r="K47" s="783"/>
      <c r="L47" s="1143"/>
      <c r="M47" s="1144"/>
      <c r="N47" s="1131"/>
      <c r="O47" s="1144"/>
      <c r="P47" s="3203" t="str">
        <f>A47</f>
        <v>成交单价（元/平方米）</v>
      </c>
      <c r="Q47" s="3203"/>
      <c r="R47" s="3198">
        <f>E47</f>
        <v>0</v>
      </c>
      <c r="S47" s="3198"/>
      <c r="T47" s="3198">
        <f>G47</f>
        <v>0</v>
      </c>
      <c r="U47" s="3198"/>
      <c r="V47" s="3198">
        <f>I47</f>
        <v>0</v>
      </c>
      <c r="W47" s="3198"/>
      <c r="X47" s="759"/>
      <c r="Y47" s="781"/>
      <c r="Z47" s="759"/>
      <c r="AA47" s="759"/>
      <c r="AB47" s="759"/>
      <c r="AC47" s="759"/>
    </row>
    <row r="48" spans="1:29" ht="1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 thickBot="1">
      <c r="A49" s="492" t="s">
        <v>2668</v>
      </c>
      <c r="B49" s="493"/>
      <c r="C49" s="1417" t="e">
        <f>R49</f>
        <v>#DIV/0!</v>
      </c>
      <c r="D49" s="1417"/>
      <c r="E49" s="1417"/>
      <c r="F49" s="1417"/>
      <c r="G49" s="1417"/>
      <c r="H49" s="1417"/>
      <c r="I49" s="1417"/>
      <c r="J49" s="1417"/>
      <c r="K49" s="785"/>
      <c r="L49" s="1143"/>
      <c r="M49" s="1144"/>
      <c r="N49" s="1131"/>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4.4">
      <c r="A58" s="505" t="s">
        <v>2546</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c r="A59" s="509"/>
      <c r="B59" s="510"/>
      <c r="C59" s="1573">
        <v>100</v>
      </c>
      <c r="D59" s="512"/>
      <c r="E59" s="512"/>
      <c r="F59" s="512"/>
      <c r="G59" s="512"/>
      <c r="H59" s="512"/>
      <c r="I59" s="512"/>
      <c r="J59" s="512"/>
      <c r="K59" s="512"/>
      <c r="L59" s="512"/>
      <c r="M59" s="513"/>
      <c r="N59" s="512"/>
      <c r="O59" s="513"/>
      <c r="P59" s="2628"/>
    </row>
    <row r="60" spans="1:29" s="117" customFormat="1" ht="15" thickBot="1">
      <c r="A60" s="515" t="s">
        <v>2583</v>
      </c>
      <c r="B60" s="516"/>
      <c r="C60" s="517"/>
      <c r="D60" s="518"/>
      <c r="E60" s="518"/>
      <c r="F60" s="518"/>
      <c r="G60" s="518"/>
      <c r="H60" s="518"/>
      <c r="I60" s="518"/>
      <c r="J60" s="518"/>
      <c r="K60" s="518"/>
      <c r="L60" s="518"/>
      <c r="M60" s="519"/>
      <c r="N60" s="518"/>
      <c r="O60" s="519"/>
      <c r="P60" s="2628"/>
      <c r="Q60" s="504"/>
    </row>
    <row r="61" spans="1:29" s="117" customFormat="1" ht="14.4">
      <c r="A61" s="521" t="s">
        <v>2548</v>
      </c>
      <c r="B61" s="510"/>
      <c r="C61" s="522" t="s">
        <v>2650</v>
      </c>
      <c r="D61" s="523"/>
      <c r="E61" s="523"/>
      <c r="F61" s="523"/>
      <c r="G61" s="523"/>
      <c r="H61" s="523"/>
      <c r="I61" s="523"/>
      <c r="J61" s="523"/>
      <c r="K61" s="523"/>
      <c r="L61" s="524"/>
      <c r="M61" s="525"/>
      <c r="N61" s="1151"/>
      <c r="O61" s="1151"/>
      <c r="P61" s="2629"/>
      <c r="Q61" s="504"/>
    </row>
    <row r="62" spans="1:29" s="117" customFormat="1" ht="14.4" thickBot="1">
      <c r="A62" s="521"/>
      <c r="B62" s="510"/>
      <c r="C62" s="511">
        <v>100</v>
      </c>
      <c r="D62" s="512"/>
      <c r="E62" s="512"/>
      <c r="F62" s="512"/>
      <c r="G62" s="512"/>
      <c r="H62" s="512"/>
      <c r="I62" s="512"/>
      <c r="J62" s="512"/>
      <c r="K62" s="512"/>
      <c r="L62" s="512"/>
      <c r="M62" s="514"/>
      <c r="N62" s="1151"/>
      <c r="O62" s="1151"/>
      <c r="P62" s="2628"/>
      <c r="Q62" s="504"/>
    </row>
    <row r="63" spans="1:29" ht="14.4">
      <c r="A63" s="527" t="s">
        <v>2586</v>
      </c>
      <c r="B63" s="528" t="s">
        <v>2552</v>
      </c>
      <c r="C63" s="529">
        <f>C9</f>
        <v>0</v>
      </c>
      <c r="D63" s="530"/>
      <c r="E63" s="530"/>
      <c r="F63" s="530"/>
      <c r="G63" s="530"/>
      <c r="H63" s="530"/>
      <c r="I63" s="530"/>
      <c r="J63" s="530"/>
      <c r="K63" s="531"/>
      <c r="L63" s="532"/>
      <c r="M63" s="533"/>
      <c r="N63" s="1152"/>
      <c r="O63" s="1152"/>
      <c r="P63" s="2630"/>
      <c r="Q63" s="504"/>
    </row>
    <row r="64" spans="1:29" ht="14.4" thickBot="1">
      <c r="A64" s="534"/>
      <c r="B64" s="535"/>
      <c r="C64" s="536">
        <v>100</v>
      </c>
      <c r="D64" s="536"/>
      <c r="E64" s="536"/>
      <c r="F64" s="536"/>
      <c r="G64" s="536"/>
      <c r="H64" s="536"/>
      <c r="I64" s="536"/>
      <c r="J64" s="536"/>
      <c r="K64" s="536"/>
      <c r="L64" s="536"/>
      <c r="M64" s="537"/>
      <c r="N64" s="1153"/>
      <c r="O64" s="1153"/>
      <c r="P64" s="2630"/>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c r="A68" s="534"/>
      <c r="B68" s="548"/>
      <c r="C68" s="549"/>
      <c r="D68" s="549"/>
      <c r="E68" s="549"/>
      <c r="F68" s="549"/>
      <c r="G68" s="549"/>
      <c r="H68" s="549"/>
      <c r="I68" s="549"/>
      <c r="J68" s="549"/>
      <c r="K68" s="550"/>
      <c r="L68" s="551"/>
      <c r="M68" s="552"/>
      <c r="N68" s="1152"/>
      <c r="O68" s="1152"/>
      <c r="P68" s="263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4.4" thickTop="1">
      <c r="A70" s="553"/>
      <c r="B70" s="538">
        <f>B12</f>
        <v>111</v>
      </c>
      <c r="C70" s="554"/>
      <c r="D70" s="554"/>
      <c r="E70" s="554"/>
      <c r="F70" s="554"/>
      <c r="G70" s="554"/>
      <c r="H70" s="555"/>
      <c r="I70" s="555"/>
      <c r="J70" s="555"/>
      <c r="K70" s="555"/>
      <c r="L70" s="556"/>
      <c r="M70" s="557"/>
      <c r="N70" s="1154"/>
      <c r="O70" s="1154"/>
      <c r="P70" s="2631"/>
      <c r="Q70" s="559"/>
    </row>
    <row r="71" spans="1:17" s="471" customFormat="1" ht="14.4" thickBot="1">
      <c r="A71" s="553"/>
      <c r="B71" s="543"/>
      <c r="C71" s="560"/>
      <c r="D71" s="536"/>
      <c r="E71" s="536"/>
      <c r="F71" s="536"/>
      <c r="G71" s="536"/>
      <c r="H71" s="536"/>
      <c r="I71" s="536"/>
      <c r="J71" s="536"/>
      <c r="K71" s="536"/>
      <c r="L71" s="536"/>
      <c r="M71" s="537"/>
      <c r="N71" s="1153"/>
      <c r="O71" s="1153"/>
      <c r="P71" s="2631"/>
      <c r="Q71" s="559"/>
    </row>
    <row r="72" spans="1:17" s="471" customFormat="1" ht="14.4" thickTop="1">
      <c r="A72" s="553"/>
      <c r="B72" s="538">
        <f>B13</f>
        <v>111</v>
      </c>
      <c r="C72" s="554"/>
      <c r="D72" s="554"/>
      <c r="E72" s="554"/>
      <c r="F72" s="554"/>
      <c r="G72" s="554"/>
      <c r="H72" s="555"/>
      <c r="I72" s="555"/>
      <c r="J72" s="555"/>
      <c r="K72" s="555"/>
      <c r="L72" s="556"/>
      <c r="M72" s="557"/>
      <c r="N72" s="1154"/>
      <c r="O72" s="1154"/>
      <c r="P72" s="2632"/>
      <c r="Q72" s="561"/>
    </row>
    <row r="73" spans="1:17" s="471" customFormat="1" ht="14.4" thickBot="1">
      <c r="A73" s="553"/>
      <c r="B73" s="543"/>
      <c r="C73" s="560"/>
      <c r="D73" s="536"/>
      <c r="E73" s="536"/>
      <c r="F73" s="536"/>
      <c r="G73" s="560"/>
      <c r="H73" s="562"/>
      <c r="I73" s="562"/>
      <c r="J73" s="562"/>
      <c r="K73" s="562"/>
      <c r="L73" s="562"/>
      <c r="M73" s="563"/>
      <c r="N73" s="1154"/>
      <c r="O73" s="1154"/>
      <c r="P73" s="2631"/>
      <c r="Q73" s="559"/>
    </row>
    <row r="74" spans="1:17" s="471" customFormat="1" ht="14.4" thickTop="1">
      <c r="A74" s="553"/>
      <c r="B74" s="546">
        <f>B14</f>
        <v>111</v>
      </c>
      <c r="C74" s="554"/>
      <c r="D74" s="554"/>
      <c r="E74" s="554"/>
      <c r="F74" s="554"/>
      <c r="G74" s="523"/>
      <c r="H74" s="564"/>
      <c r="I74" s="564"/>
      <c r="J74" s="564"/>
      <c r="K74" s="564"/>
      <c r="L74" s="565"/>
      <c r="M74" s="566"/>
      <c r="N74" s="1154"/>
      <c r="O74" s="1154"/>
      <c r="P74" s="2633"/>
      <c r="Q74" s="559"/>
    </row>
    <row r="75" spans="1:17" s="471" customFormat="1" ht="14.4" thickBot="1">
      <c r="A75" s="568"/>
      <c r="B75" s="569"/>
      <c r="C75" s="570"/>
      <c r="D75" s="570"/>
      <c r="E75" s="570"/>
      <c r="F75" s="570"/>
      <c r="G75" s="570"/>
      <c r="H75" s="571"/>
      <c r="I75" s="571"/>
      <c r="J75" s="571"/>
      <c r="K75" s="571"/>
      <c r="L75" s="571"/>
      <c r="M75" s="572"/>
      <c r="N75" s="1154"/>
      <c r="O75" s="1154"/>
      <c r="P75" s="2631"/>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 thickTop="1">
      <c r="A86" s="579"/>
      <c r="B86" s="538" t="s">
        <v>2678</v>
      </c>
      <c r="C86" s="554"/>
      <c r="D86" s="554"/>
      <c r="E86" s="554"/>
      <c r="F86" s="554"/>
      <c r="G86" s="554"/>
      <c r="H86" s="554"/>
      <c r="I86" s="554"/>
      <c r="J86" s="554"/>
      <c r="K86" s="554"/>
      <c r="L86" s="580"/>
      <c r="M86" s="581"/>
      <c r="N86" s="1151"/>
      <c r="O86" s="1151"/>
      <c r="P86" s="2630"/>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4.4"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4.4" thickBot="1">
      <c r="A89" s="579"/>
      <c r="B89" s="543"/>
      <c r="C89" s="560"/>
      <c r="D89" s="536"/>
      <c r="E89" s="536"/>
      <c r="F89" s="536"/>
      <c r="G89" s="536"/>
      <c r="H89" s="536"/>
      <c r="I89" s="536"/>
      <c r="J89" s="536"/>
      <c r="K89" s="536"/>
      <c r="L89" s="536"/>
      <c r="M89" s="536"/>
      <c r="N89" s="1153"/>
      <c r="O89" s="1153"/>
      <c r="P89" s="2630"/>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4.4" thickTop="1">
      <c r="A92" s="534"/>
      <c r="B92" s="538" t="str">
        <f>B28</f>
        <v>楼层</v>
      </c>
      <c r="C92" s="554"/>
      <c r="D92" s="554"/>
      <c r="E92" s="554"/>
      <c r="F92" s="554"/>
      <c r="G92" s="554"/>
      <c r="H92" s="554"/>
      <c r="I92" s="554"/>
      <c r="J92" s="554"/>
      <c r="K92" s="554"/>
      <c r="L92" s="580"/>
      <c r="M92" s="581"/>
      <c r="N92" s="1152"/>
      <c r="O92" s="1152"/>
      <c r="P92" s="2630"/>
      <c r="Q92" s="504"/>
    </row>
    <row r="93" spans="1:17" ht="14.4" thickBot="1">
      <c r="A93" s="534"/>
      <c r="B93" s="543"/>
      <c r="C93" s="536"/>
      <c r="D93" s="536"/>
      <c r="E93" s="536"/>
      <c r="F93" s="536"/>
      <c r="G93" s="536"/>
      <c r="H93" s="536"/>
      <c r="I93" s="536"/>
      <c r="J93" s="536"/>
      <c r="K93" s="536"/>
      <c r="L93" s="536"/>
      <c r="M93" s="537"/>
      <c r="N93" s="1153"/>
      <c r="O93" s="1153"/>
      <c r="P93" s="2630"/>
      <c r="Q93" s="504"/>
    </row>
    <row r="94" spans="1:17" ht="14.4" thickTop="1">
      <c r="A94" s="534"/>
      <c r="B94" s="538">
        <f>B29</f>
        <v>111</v>
      </c>
      <c r="C94" s="554"/>
      <c r="D94" s="554"/>
      <c r="E94" s="554"/>
      <c r="F94" s="554"/>
      <c r="G94" s="583"/>
      <c r="H94" s="583"/>
      <c r="I94" s="583"/>
      <c r="J94" s="583"/>
      <c r="K94" s="584"/>
      <c r="L94" s="585"/>
      <c r="M94" s="586"/>
      <c r="N94" s="1152"/>
      <c r="O94" s="1152"/>
      <c r="P94" s="2630"/>
      <c r="Q94" s="504"/>
    </row>
    <row r="95" spans="1:17" ht="14.4" thickBot="1">
      <c r="A95" s="534"/>
      <c r="B95" s="543"/>
      <c r="C95" s="560"/>
      <c r="D95" s="536"/>
      <c r="E95" s="536"/>
      <c r="F95" s="536"/>
      <c r="G95" s="536"/>
      <c r="H95" s="536"/>
      <c r="I95" s="536"/>
      <c r="J95" s="536"/>
      <c r="K95" s="536"/>
      <c r="L95" s="536"/>
      <c r="M95" s="537"/>
      <c r="N95" s="1153"/>
      <c r="O95" s="1153"/>
      <c r="P95" s="2630"/>
      <c r="Q95" s="504"/>
    </row>
    <row r="96" spans="1:17" ht="14.4" thickTop="1">
      <c r="A96" s="534"/>
      <c r="B96" s="538">
        <f>B30</f>
        <v>111</v>
      </c>
      <c r="C96" s="554"/>
      <c r="D96" s="554"/>
      <c r="E96" s="554"/>
      <c r="F96" s="554"/>
      <c r="G96" s="583"/>
      <c r="H96" s="583"/>
      <c r="I96" s="583"/>
      <c r="J96" s="583"/>
      <c r="K96" s="584"/>
      <c r="L96" s="585"/>
      <c r="M96" s="586"/>
      <c r="N96" s="1152"/>
      <c r="O96" s="1152"/>
      <c r="P96" s="2630"/>
      <c r="Q96" s="504"/>
    </row>
    <row r="97" spans="1:17" ht="14.4" thickBot="1">
      <c r="A97" s="534"/>
      <c r="B97" s="543"/>
      <c r="C97" s="560"/>
      <c r="D97" s="536"/>
      <c r="E97" s="536"/>
      <c r="F97" s="536"/>
      <c r="G97" s="536"/>
      <c r="H97" s="536"/>
      <c r="I97" s="536"/>
      <c r="J97" s="536"/>
      <c r="K97" s="536"/>
      <c r="L97" s="536"/>
      <c r="M97" s="537"/>
      <c r="N97" s="1153"/>
      <c r="O97" s="1153"/>
      <c r="P97" s="2630"/>
      <c r="Q97" s="504"/>
    </row>
    <row r="98" spans="1:17" ht="14.4" thickTop="1">
      <c r="A98" s="534"/>
      <c r="B98" s="546">
        <f>B31</f>
        <v>111</v>
      </c>
      <c r="C98" s="554"/>
      <c r="D98" s="554"/>
      <c r="E98" s="554"/>
      <c r="F98" s="554"/>
      <c r="G98" s="587"/>
      <c r="H98" s="587"/>
      <c r="I98" s="587"/>
      <c r="J98" s="587"/>
      <c r="K98" s="588"/>
      <c r="L98" s="589"/>
      <c r="M98" s="590"/>
      <c r="N98" s="1152"/>
      <c r="O98" s="1152"/>
      <c r="P98" s="2630"/>
      <c r="Q98" s="504"/>
    </row>
    <row r="99" spans="1:17" ht="14.4" thickBot="1">
      <c r="A99" s="2636"/>
      <c r="B99" s="569"/>
      <c r="C99" s="570"/>
      <c r="D99" s="570"/>
      <c r="E99" s="570"/>
      <c r="F99" s="570"/>
      <c r="G99" s="591"/>
      <c r="H99" s="591"/>
      <c r="I99" s="591"/>
      <c r="J99" s="591"/>
      <c r="K99" s="591"/>
      <c r="L99" s="591"/>
      <c r="M99" s="592"/>
      <c r="N99" s="1153"/>
      <c r="O99" s="1153"/>
      <c r="P99" s="2630"/>
      <c r="Q99" s="504"/>
    </row>
    <row r="100" spans="1:17" ht="14.4">
      <c r="A100" s="527" t="s">
        <v>2561</v>
      </c>
      <c r="B100" s="528" t="s">
        <v>2679</v>
      </c>
      <c r="C100" s="530"/>
      <c r="D100" s="530"/>
      <c r="E100" s="530"/>
      <c r="F100" s="530"/>
      <c r="G100" s="530"/>
      <c r="H100" s="530"/>
      <c r="I100" s="530"/>
      <c r="J100" s="530"/>
      <c r="K100" s="531"/>
      <c r="L100" s="532"/>
      <c r="M100" s="533"/>
      <c r="N100" s="1152"/>
      <c r="O100" s="1152"/>
      <c r="P100" s="263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4.4"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1"/>
      <c r="Q127" s="559"/>
    </row>
    <row r="128" spans="1:17" ht="14.4" thickTop="1">
      <c r="A128" s="599"/>
      <c r="B128" s="538">
        <f>B45</f>
        <v>111</v>
      </c>
      <c r="C128" s="554"/>
      <c r="D128" s="554"/>
      <c r="E128" s="554"/>
      <c r="F128" s="554"/>
      <c r="G128" s="583"/>
      <c r="H128" s="583"/>
      <c r="I128" s="583"/>
      <c r="J128" s="583"/>
      <c r="K128" s="584"/>
      <c r="L128" s="585"/>
      <c r="M128" s="586"/>
      <c r="N128" s="1152"/>
      <c r="O128" s="1152"/>
      <c r="P128" s="2630"/>
      <c r="Q128" s="504"/>
    </row>
    <row r="129" spans="1:17" ht="14.4" thickBot="1">
      <c r="A129" s="534"/>
      <c r="B129" s="543"/>
      <c r="C129" s="560"/>
      <c r="D129" s="536"/>
      <c r="E129" s="536"/>
      <c r="F129" s="536"/>
      <c r="G129" s="536"/>
      <c r="H129" s="536"/>
      <c r="I129" s="536"/>
      <c r="J129" s="536"/>
      <c r="K129" s="536"/>
      <c r="L129" s="536"/>
      <c r="M129" s="537"/>
      <c r="N129" s="1153"/>
      <c r="O129" s="1153"/>
      <c r="P129" s="2630"/>
      <c r="Q129" s="504"/>
    </row>
    <row r="130" spans="1:17" ht="14.4" thickTop="1">
      <c r="A130" s="599"/>
      <c r="B130" s="546">
        <f>B46</f>
        <v>111</v>
      </c>
      <c r="C130" s="554"/>
      <c r="D130" s="554"/>
      <c r="E130" s="554"/>
      <c r="F130" s="554"/>
      <c r="G130" s="587"/>
      <c r="H130" s="587"/>
      <c r="I130" s="587"/>
      <c r="J130" s="587"/>
      <c r="K130" s="523"/>
      <c r="L130" s="524"/>
      <c r="M130" s="590"/>
      <c r="N130" s="1152"/>
      <c r="O130" s="1152"/>
      <c r="P130" s="2630"/>
      <c r="Q130" s="504"/>
    </row>
    <row r="131" spans="1:17" ht="14.4"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669" t="s">
        <v>2684</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6031.39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186" t="s">
        <v>2644</v>
      </c>
      <c r="D4" s="3187"/>
      <c r="E4" s="3188" t="s">
        <v>2645</v>
      </c>
      <c r="F4" s="3189"/>
      <c r="G4" s="3186" t="s">
        <v>2646</v>
      </c>
      <c r="H4" s="3187"/>
      <c r="I4" s="3186" t="s">
        <v>2647</v>
      </c>
      <c r="J4" s="3187"/>
      <c r="K4" s="610" t="s">
        <v>2648</v>
      </c>
      <c r="L4" s="1130"/>
      <c r="M4" s="1131"/>
      <c r="N4" s="1131"/>
      <c r="O4" s="1131"/>
      <c r="P4" s="3220" t="s">
        <v>2649</v>
      </c>
      <c r="Q4" s="3221"/>
      <c r="R4" s="3215" t="s">
        <v>2645</v>
      </c>
      <c r="S4" s="3216"/>
      <c r="T4" s="3215" t="s">
        <v>2646</v>
      </c>
      <c r="U4" s="3216"/>
      <c r="V4" s="3224" t="s">
        <v>2647</v>
      </c>
      <c r="W4" s="3224"/>
      <c r="X4" s="2670"/>
      <c r="Y4" s="3215" t="s">
        <v>2649</v>
      </c>
      <c r="Z4" s="3216"/>
      <c r="AA4" s="3214" t="s">
        <v>2645</v>
      </c>
      <c r="AB4" s="3214" t="s">
        <v>2646</v>
      </c>
      <c r="AC4" s="3217" t="s">
        <v>2647</v>
      </c>
    </row>
    <row r="5" spans="1:29">
      <c r="A5" s="404"/>
      <c r="B5" s="405"/>
      <c r="C5" s="3179" t="s">
        <v>2540</v>
      </c>
      <c r="D5" s="3180"/>
      <c r="E5" s="3177" t="s">
        <v>2541</v>
      </c>
      <c r="F5" s="3178"/>
      <c r="G5" s="3179" t="s">
        <v>2542</v>
      </c>
      <c r="H5" s="3180"/>
      <c r="I5" s="3179" t="s">
        <v>2543</v>
      </c>
      <c r="J5" s="3180"/>
      <c r="K5" s="610"/>
      <c r="L5" s="1130"/>
      <c r="M5" s="1131"/>
      <c r="N5" s="1131"/>
      <c r="O5" s="1131"/>
      <c r="P5" s="3222"/>
      <c r="Q5" s="3193"/>
      <c r="R5" s="3175"/>
      <c r="S5" s="3176"/>
      <c r="T5" s="3175"/>
      <c r="U5" s="3176"/>
      <c r="V5" s="3198"/>
      <c r="W5" s="3198"/>
      <c r="X5" s="1813"/>
      <c r="Y5" s="3175"/>
      <c r="Z5" s="3176"/>
      <c r="AA5" s="3169"/>
      <c r="AB5" s="3169"/>
      <c r="AC5" s="3218"/>
    </row>
    <row r="6" spans="1:29" ht="15" thickBot="1">
      <c r="A6" s="406"/>
      <c r="B6" s="407"/>
      <c r="C6" s="3181" t="s">
        <v>2544</v>
      </c>
      <c r="D6" s="3182"/>
      <c r="E6" s="3183" t="s">
        <v>2544</v>
      </c>
      <c r="F6" s="3184"/>
      <c r="G6" s="3181" t="s">
        <v>2544</v>
      </c>
      <c r="H6" s="3182"/>
      <c r="I6" s="3181" t="s">
        <v>2544</v>
      </c>
      <c r="J6" s="3182"/>
      <c r="K6" s="610" t="s">
        <v>2545</v>
      </c>
      <c r="L6" s="1130"/>
      <c r="M6" s="1131"/>
      <c r="N6" s="1131"/>
      <c r="O6" s="1131"/>
      <c r="P6" s="3223"/>
      <c r="Q6" s="3195"/>
      <c r="R6" s="3175"/>
      <c r="S6" s="3176"/>
      <c r="T6" s="3196"/>
      <c r="U6" s="3197"/>
      <c r="V6" s="3198"/>
      <c r="W6" s="3198"/>
      <c r="X6" s="1813"/>
      <c r="Y6" s="3196"/>
      <c r="Z6" s="3197"/>
      <c r="AA6" s="3170"/>
      <c r="AB6" s="3170"/>
      <c r="AC6" s="3219"/>
    </row>
    <row r="7" spans="1:29" s="117" customFormat="1" ht="15" thickBot="1">
      <c r="A7" s="408" t="s">
        <v>2546</v>
      </c>
      <c r="B7" s="409"/>
      <c r="C7" s="410">
        <f>'数据-取费表'!B2</f>
        <v>43819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5" t="s">
        <v>2547</v>
      </c>
      <c r="Q7" s="3199"/>
      <c r="R7" s="770" t="s">
        <v>17</v>
      </c>
      <c r="S7" s="771">
        <f t="shared" ref="S7:S15" si="0">F7</f>
        <v>0</v>
      </c>
      <c r="T7" s="770" t="s">
        <v>17</v>
      </c>
      <c r="U7" s="771">
        <f t="shared" ref="U7:U15" si="1">H7</f>
        <v>0</v>
      </c>
      <c r="V7" s="770" t="s">
        <v>17</v>
      </c>
      <c r="W7" s="771">
        <f t="shared" ref="W7:W15" si="2">J7</f>
        <v>0</v>
      </c>
      <c r="X7" s="772"/>
      <c r="Y7" s="3171" t="s">
        <v>2547</v>
      </c>
      <c r="Z7" s="3172"/>
      <c r="AA7" s="773" t="e">
        <f>D7/F7</f>
        <v>#DIV/0!</v>
      </c>
      <c r="AB7" s="773" t="e">
        <f>D7/H7</f>
        <v>#DIV/0!</v>
      </c>
      <c r="AC7" s="2671"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5" t="s">
        <v>2550</v>
      </c>
      <c r="Q8" s="3172"/>
      <c r="R8" s="770" t="s">
        <v>17</v>
      </c>
      <c r="S8" s="771">
        <f t="shared" si="0"/>
        <v>0</v>
      </c>
      <c r="T8" s="770" t="s">
        <v>17</v>
      </c>
      <c r="U8" s="771">
        <f t="shared" si="1"/>
        <v>0</v>
      </c>
      <c r="V8" s="770" t="s">
        <v>17</v>
      </c>
      <c r="W8" s="771">
        <f t="shared" si="2"/>
        <v>0</v>
      </c>
      <c r="X8" s="772"/>
      <c r="Y8" s="3171" t="s">
        <v>2550</v>
      </c>
      <c r="Z8" s="3172"/>
      <c r="AA8" s="773" t="e">
        <f t="shared" ref="AA8:AA47" si="3">D8/F8</f>
        <v>#DIV/0!</v>
      </c>
      <c r="AB8" s="773" t="e">
        <f t="shared" ref="AB8:AB47" si="4">D8/H8</f>
        <v>#DIV/0!</v>
      </c>
      <c r="AC8" s="2671"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5" t="s">
        <v>2553</v>
      </c>
      <c r="Q9" s="1795"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2671">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1">
        <f t="shared" si="5"/>
        <v>1</v>
      </c>
    </row>
    <row r="14" spans="1:29" ht="15.6"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1">
        <f t="shared" si="5"/>
        <v>1</v>
      </c>
    </row>
    <row r="15" spans="1:29" ht="69">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2" t="s">
        <v>2558</v>
      </c>
      <c r="Q15" s="1810" t="str">
        <f t="shared" si="6"/>
        <v>办公集聚程度</v>
      </c>
      <c r="R15" s="774" t="s">
        <v>17</v>
      </c>
      <c r="S15" s="775">
        <f t="shared" si="0"/>
        <v>100</v>
      </c>
      <c r="T15" s="774" t="s">
        <v>17</v>
      </c>
      <c r="U15" s="775">
        <f t="shared" si="1"/>
        <v>100</v>
      </c>
      <c r="V15" s="774" t="s">
        <v>17</v>
      </c>
      <c r="W15" s="775">
        <f t="shared" si="2"/>
        <v>100</v>
      </c>
      <c r="X15" s="1813"/>
      <c r="Y15" s="3205" t="s">
        <v>2558</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2674">
        <v>1</v>
      </c>
    </row>
    <row r="17" spans="1:29" ht="82.8">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13"/>
      <c r="Q18" s="1810"/>
      <c r="R18" s="774"/>
      <c r="S18" s="775"/>
      <c r="T18" s="774"/>
      <c r="U18" s="775"/>
      <c r="V18" s="774"/>
      <c r="W18" s="775"/>
      <c r="X18" s="1813"/>
      <c r="Y18" s="3206"/>
      <c r="Z18" s="1814"/>
      <c r="AA18" s="1811">
        <v>1</v>
      </c>
      <c r="AB18" s="1811">
        <v>1</v>
      </c>
      <c r="AC18" s="2674">
        <v>1</v>
      </c>
    </row>
    <row r="19" spans="1:29" ht="41.4">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13"/>
      <c r="Q20" s="1810"/>
      <c r="R20" s="774"/>
      <c r="S20" s="775"/>
      <c r="T20" s="774"/>
      <c r="U20" s="775"/>
      <c r="V20" s="774"/>
      <c r="W20" s="775"/>
      <c r="X20" s="1813"/>
      <c r="Y20" s="3206"/>
      <c r="Z20" s="1814"/>
      <c r="AA20" s="1811">
        <v>1</v>
      </c>
      <c r="AB20" s="1811">
        <v>1</v>
      </c>
      <c r="AC20" s="2674">
        <v>1</v>
      </c>
    </row>
    <row r="21" spans="1:29" ht="27.6">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13"/>
      <c r="Q22" s="1810"/>
      <c r="R22" s="774"/>
      <c r="S22" s="775"/>
      <c r="T22" s="774"/>
      <c r="U22" s="775"/>
      <c r="V22" s="774"/>
      <c r="W22" s="775"/>
      <c r="X22" s="1813"/>
      <c r="Y22" s="3206"/>
      <c r="Z22" s="1814"/>
      <c r="AA22" s="1811">
        <v>1</v>
      </c>
      <c r="AB22" s="1811">
        <v>1</v>
      </c>
      <c r="AC22" s="2674">
        <v>1</v>
      </c>
    </row>
    <row r="23" spans="1:29" ht="55.2">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3"/>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13"/>
      <c r="Q24" s="1810"/>
      <c r="R24" s="774"/>
      <c r="S24" s="775"/>
      <c r="T24" s="774"/>
      <c r="U24" s="775"/>
      <c r="V24" s="774"/>
      <c r="W24" s="775"/>
      <c r="X24" s="1813"/>
      <c r="Y24" s="3206"/>
      <c r="Z24" s="1814"/>
      <c r="AA24" s="1811">
        <v>1</v>
      </c>
      <c r="AB24" s="1811">
        <v>1</v>
      </c>
      <c r="AC24" s="2674">
        <v>1</v>
      </c>
    </row>
    <row r="25" spans="1:29" ht="28.8">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13"/>
      <c r="Q25" s="1810" t="str">
        <f>B25</f>
        <v>毗邻道路的类型与等级</v>
      </c>
      <c r="R25" s="774" t="s">
        <v>17</v>
      </c>
      <c r="S25" s="775">
        <f>F25</f>
        <v>100</v>
      </c>
      <c r="T25" s="774" t="s">
        <v>17</v>
      </c>
      <c r="U25" s="775">
        <f>H25</f>
        <v>100</v>
      </c>
      <c r="V25" s="774" t="s">
        <v>17</v>
      </c>
      <c r="W25" s="775">
        <f>J25</f>
        <v>100</v>
      </c>
      <c r="X25" s="1813"/>
      <c r="Y25" s="3206"/>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13"/>
      <c r="Q26" s="1810"/>
      <c r="R26" s="774"/>
      <c r="S26" s="775"/>
      <c r="T26" s="774"/>
      <c r="U26" s="775"/>
      <c r="V26" s="774"/>
      <c r="W26" s="775"/>
      <c r="X26" s="1813"/>
      <c r="Y26" s="3206"/>
      <c r="Z26" s="1814"/>
      <c r="AA26" s="1811">
        <v>1</v>
      </c>
      <c r="AB26" s="1811">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3"/>
      <c r="Q27" s="1810" t="str">
        <f t="shared" ref="Q27:Q47" si="11">B27</f>
        <v>楼层</v>
      </c>
      <c r="R27" s="774" t="s">
        <v>17</v>
      </c>
      <c r="S27" s="775">
        <f>F27</f>
        <v>100</v>
      </c>
      <c r="T27" s="774" t="s">
        <v>17</v>
      </c>
      <c r="U27" s="775">
        <f>H27</f>
        <v>100</v>
      </c>
      <c r="V27" s="774" t="s">
        <v>17</v>
      </c>
      <c r="W27" s="775">
        <f>J27</f>
        <v>100</v>
      </c>
      <c r="X27" s="1813"/>
      <c r="Y27" s="3206"/>
      <c r="Z27" s="1814" t="str">
        <f>Q27</f>
        <v>楼层</v>
      </c>
      <c r="AA27" s="1811">
        <f t="shared" si="3"/>
        <v>1</v>
      </c>
      <c r="AB27" s="1811">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13"/>
      <c r="Q28" s="1795" t="str">
        <f t="shared" si="11"/>
        <v>朝向</v>
      </c>
      <c r="R28" s="770" t="s">
        <v>17</v>
      </c>
      <c r="S28" s="771">
        <f>F28</f>
        <v>100</v>
      </c>
      <c r="T28" s="770" t="s">
        <v>17</v>
      </c>
      <c r="U28" s="771">
        <f>H28</f>
        <v>100</v>
      </c>
      <c r="V28" s="770" t="s">
        <v>17</v>
      </c>
      <c r="W28" s="771">
        <f>J28</f>
        <v>100</v>
      </c>
      <c r="X28" s="772"/>
      <c r="Y28" s="3206"/>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13"/>
      <c r="Q29" s="1810">
        <f t="shared" si="11"/>
        <v>111</v>
      </c>
      <c r="R29" s="774" t="s">
        <v>17</v>
      </c>
      <c r="S29" s="775">
        <f t="shared" ref="S29:S47" si="12">F29</f>
        <v>100</v>
      </c>
      <c r="T29" s="774" t="s">
        <v>17</v>
      </c>
      <c r="U29" s="775">
        <f t="shared" ref="U29:U47" si="13">H29</f>
        <v>100</v>
      </c>
      <c r="V29" s="774" t="s">
        <v>17</v>
      </c>
      <c r="W29" s="775">
        <f t="shared" ref="W29:W47" si="14">J29</f>
        <v>100</v>
      </c>
      <c r="X29" s="1813"/>
      <c r="Y29" s="3206"/>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2674">
        <f t="shared" si="5"/>
        <v>1</v>
      </c>
    </row>
    <row r="32" spans="1:29" ht="15.6"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13"/>
      <c r="Q32" s="1810">
        <f t="shared" si="11"/>
        <v>111</v>
      </c>
      <c r="R32" s="774" t="s">
        <v>17</v>
      </c>
      <c r="S32" s="775">
        <f t="shared" si="12"/>
        <v>100</v>
      </c>
      <c r="T32" s="774" t="s">
        <v>17</v>
      </c>
      <c r="U32" s="775">
        <f t="shared" si="13"/>
        <v>100</v>
      </c>
      <c r="V32" s="774" t="s">
        <v>17</v>
      </c>
      <c r="W32" s="775">
        <f t="shared" si="14"/>
        <v>100</v>
      </c>
      <c r="X32" s="1813"/>
      <c r="Y32" s="3206"/>
      <c r="Z32" s="1814">
        <f t="shared" si="15"/>
        <v>111</v>
      </c>
      <c r="AA32" s="1811">
        <f t="shared" si="3"/>
        <v>1</v>
      </c>
      <c r="AB32" s="1811">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07" t="s">
        <v>2563</v>
      </c>
      <c r="Q33" s="1810" t="str">
        <f t="shared" si="11"/>
        <v>建筑类型</v>
      </c>
      <c r="R33" s="774" t="s">
        <v>17</v>
      </c>
      <c r="S33" s="775">
        <f t="shared" si="12"/>
        <v>100</v>
      </c>
      <c r="T33" s="774" t="s">
        <v>17</v>
      </c>
      <c r="U33" s="775">
        <f t="shared" si="13"/>
        <v>100</v>
      </c>
      <c r="V33" s="774" t="s">
        <v>17</v>
      </c>
      <c r="W33" s="775">
        <f t="shared" si="14"/>
        <v>100</v>
      </c>
      <c r="X33" s="1813"/>
      <c r="Y33" s="3210" t="s">
        <v>2563</v>
      </c>
      <c r="Z33" s="1814" t="str">
        <f t="shared" si="15"/>
        <v>建筑类型</v>
      </c>
      <c r="AA33" s="1811">
        <f t="shared" si="3"/>
        <v>1</v>
      </c>
      <c r="AB33" s="1811">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8"/>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11" t="e">
        <f t="shared" si="3"/>
        <v>#N/A</v>
      </c>
      <c r="AB34" s="1811"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8"/>
      <c r="Q35" s="1810" t="str">
        <f t="shared" si="11"/>
        <v>建筑结构</v>
      </c>
      <c r="R35" s="774" t="s">
        <v>17</v>
      </c>
      <c r="S35" s="775">
        <f t="shared" si="12"/>
        <v>100</v>
      </c>
      <c r="T35" s="774" t="s">
        <v>17</v>
      </c>
      <c r="U35" s="775">
        <f t="shared" si="13"/>
        <v>100</v>
      </c>
      <c r="V35" s="774" t="s">
        <v>17</v>
      </c>
      <c r="W35" s="775">
        <f t="shared" si="14"/>
        <v>100</v>
      </c>
      <c r="X35" s="1813"/>
      <c r="Y35" s="3210"/>
      <c r="Z35" s="1814" t="str">
        <f t="shared" si="15"/>
        <v>建筑结构</v>
      </c>
      <c r="AA35" s="1811">
        <f t="shared" si="3"/>
        <v>1</v>
      </c>
      <c r="AB35" s="1811">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8"/>
      <c r="Q36" s="1810" t="str">
        <f t="shared" si="11"/>
        <v>公共部分装修</v>
      </c>
      <c r="R36" s="774" t="s">
        <v>17</v>
      </c>
      <c r="S36" s="775">
        <f t="shared" si="12"/>
        <v>100</v>
      </c>
      <c r="T36" s="774" t="s">
        <v>17</v>
      </c>
      <c r="U36" s="775">
        <f t="shared" si="13"/>
        <v>100</v>
      </c>
      <c r="V36" s="774" t="s">
        <v>17</v>
      </c>
      <c r="W36" s="775">
        <f t="shared" si="14"/>
        <v>100</v>
      </c>
      <c r="X36" s="1813"/>
      <c r="Y36" s="3210"/>
      <c r="Z36" s="1814" t="str">
        <f t="shared" si="15"/>
        <v>公共部分装修</v>
      </c>
      <c r="AA36" s="1811">
        <f t="shared" si="3"/>
        <v>1</v>
      </c>
      <c r="AB36" s="1811">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8"/>
      <c r="Q37" s="1810" t="str">
        <f t="shared" si="11"/>
        <v>成新度</v>
      </c>
      <c r="R37" s="774" t="s">
        <v>17</v>
      </c>
      <c r="S37" s="775" t="e">
        <f t="shared" si="12"/>
        <v>#N/A</v>
      </c>
      <c r="T37" s="774" t="s">
        <v>17</v>
      </c>
      <c r="U37" s="775" t="e">
        <f t="shared" si="13"/>
        <v>#N/A</v>
      </c>
      <c r="V37" s="774" t="s">
        <v>17</v>
      </c>
      <c r="W37" s="775" t="e">
        <f t="shared" si="14"/>
        <v>#N/A</v>
      </c>
      <c r="X37" s="1813"/>
      <c r="Y37" s="3210"/>
      <c r="Z37" s="1814" t="str">
        <f t="shared" si="15"/>
        <v>成新度</v>
      </c>
      <c r="AA37" s="1811" t="e">
        <f t="shared" si="3"/>
        <v>#N/A</v>
      </c>
      <c r="AB37" s="1811"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8"/>
      <c r="Q38" s="1795"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8" t="s">
        <v>2563</v>
      </c>
      <c r="Q39" s="1810" t="str">
        <f t="shared" si="11"/>
        <v>物业管理</v>
      </c>
      <c r="R39" s="774" t="s">
        <v>17</v>
      </c>
      <c r="S39" s="775">
        <f t="shared" si="12"/>
        <v>100</v>
      </c>
      <c r="T39" s="774" t="s">
        <v>17</v>
      </c>
      <c r="U39" s="775">
        <f t="shared" si="13"/>
        <v>100</v>
      </c>
      <c r="V39" s="774" t="s">
        <v>17</v>
      </c>
      <c r="W39" s="775">
        <f t="shared" si="14"/>
        <v>100</v>
      </c>
      <c r="X39" s="1813"/>
      <c r="Y39" s="3210" t="s">
        <v>2563</v>
      </c>
      <c r="Z39" s="1814" t="str">
        <f t="shared" si="15"/>
        <v>物业管理</v>
      </c>
      <c r="AA39" s="1811">
        <f t="shared" si="3"/>
        <v>1</v>
      </c>
      <c r="AB39" s="1811">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8"/>
      <c r="Q40" s="1810" t="str">
        <f t="shared" si="11"/>
        <v>市政基础设施</v>
      </c>
      <c r="R40" s="774" t="s">
        <v>17</v>
      </c>
      <c r="S40" s="775">
        <f t="shared" si="12"/>
        <v>100</v>
      </c>
      <c r="T40" s="774" t="s">
        <v>17</v>
      </c>
      <c r="U40" s="775">
        <f t="shared" si="13"/>
        <v>100</v>
      </c>
      <c r="V40" s="774" t="s">
        <v>17</v>
      </c>
      <c r="W40" s="775">
        <f t="shared" si="14"/>
        <v>100</v>
      </c>
      <c r="X40" s="1813"/>
      <c r="Y40" s="3210"/>
      <c r="Z40" s="1814" t="str">
        <f t="shared" si="15"/>
        <v>市政基础设施</v>
      </c>
      <c r="AA40" s="1811">
        <f t="shared" si="3"/>
        <v>1</v>
      </c>
      <c r="AB40" s="1811">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8"/>
      <c r="Q41" s="1810" t="str">
        <f t="shared" si="11"/>
        <v>层高</v>
      </c>
      <c r="R41" s="774" t="s">
        <v>17</v>
      </c>
      <c r="S41" s="775">
        <f t="shared" si="12"/>
        <v>100</v>
      </c>
      <c r="T41" s="774" t="s">
        <v>17</v>
      </c>
      <c r="U41" s="775">
        <f t="shared" si="13"/>
        <v>100</v>
      </c>
      <c r="V41" s="774" t="s">
        <v>17</v>
      </c>
      <c r="W41" s="775">
        <f t="shared" si="14"/>
        <v>100</v>
      </c>
      <c r="X41" s="1813"/>
      <c r="Y41" s="3210"/>
      <c r="Z41" s="1814" t="str">
        <f t="shared" si="15"/>
        <v>层高</v>
      </c>
      <c r="AA41" s="1811">
        <f t="shared" si="3"/>
        <v>1</v>
      </c>
      <c r="AB41" s="1811">
        <f t="shared" si="4"/>
        <v>1</v>
      </c>
      <c r="AC41" s="2674">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1">
        <f t="shared" si="3"/>
        <v>1</v>
      </c>
      <c r="AB42" s="1811">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8"/>
      <c r="Q43" s="1810" t="str">
        <f t="shared" si="11"/>
        <v>内部装修</v>
      </c>
      <c r="R43" s="774" t="s">
        <v>17</v>
      </c>
      <c r="S43" s="775">
        <f t="shared" si="12"/>
        <v>100</v>
      </c>
      <c r="T43" s="774" t="s">
        <v>17</v>
      </c>
      <c r="U43" s="775">
        <f t="shared" si="13"/>
        <v>100</v>
      </c>
      <c r="V43" s="774" t="s">
        <v>17</v>
      </c>
      <c r="W43" s="775">
        <f t="shared" si="14"/>
        <v>100</v>
      </c>
      <c r="X43" s="1813"/>
      <c r="Y43" s="3210"/>
      <c r="Z43" s="1814" t="str">
        <f t="shared" si="15"/>
        <v>内部装修</v>
      </c>
      <c r="AA43" s="1811">
        <f t="shared" si="3"/>
        <v>1</v>
      </c>
      <c r="AB43" s="1811">
        <f t="shared" si="4"/>
        <v>1</v>
      </c>
      <c r="AC43" s="2674">
        <f t="shared" si="5"/>
        <v>1</v>
      </c>
    </row>
    <row r="44" spans="1:29" ht="28.8">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08"/>
      <c r="Q44" s="1810" t="str">
        <f t="shared" si="11"/>
        <v>内部装修维护情况</v>
      </c>
      <c r="R44" s="774" t="s">
        <v>17</v>
      </c>
      <c r="S44" s="775">
        <f t="shared" si="12"/>
        <v>100</v>
      </c>
      <c r="T44" s="774" t="s">
        <v>17</v>
      </c>
      <c r="U44" s="775">
        <f t="shared" si="13"/>
        <v>100</v>
      </c>
      <c r="V44" s="774" t="s">
        <v>17</v>
      </c>
      <c r="W44" s="775">
        <f t="shared" si="14"/>
        <v>100</v>
      </c>
      <c r="X44" s="1813"/>
      <c r="Y44" s="3210"/>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8"/>
      <c r="Q45" s="1795">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8"/>
      <c r="Q46" s="1810">
        <f t="shared" si="11"/>
        <v>111</v>
      </c>
      <c r="R46" s="774" t="s">
        <v>17</v>
      </c>
      <c r="S46" s="775">
        <f t="shared" si="12"/>
        <v>100</v>
      </c>
      <c r="T46" s="774" t="s">
        <v>17</v>
      </c>
      <c r="U46" s="775">
        <f t="shared" si="13"/>
        <v>100</v>
      </c>
      <c r="V46" s="774" t="s">
        <v>17</v>
      </c>
      <c r="W46" s="775">
        <f t="shared" si="14"/>
        <v>100</v>
      </c>
      <c r="X46" s="1813"/>
      <c r="Y46" s="3210"/>
      <c r="Z46" s="1814">
        <f t="shared" si="15"/>
        <v>111</v>
      </c>
      <c r="AA46" s="1811">
        <f t="shared" si="3"/>
        <v>1</v>
      </c>
      <c r="AB46" s="1811">
        <f t="shared" si="4"/>
        <v>1</v>
      </c>
      <c r="AC46" s="2674">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9"/>
      <c r="Q47" s="1810">
        <f t="shared" si="11"/>
        <v>111</v>
      </c>
      <c r="R47" s="774" t="s">
        <v>17</v>
      </c>
      <c r="S47" s="775">
        <f t="shared" si="12"/>
        <v>100</v>
      </c>
      <c r="T47" s="774" t="s">
        <v>17</v>
      </c>
      <c r="U47" s="775">
        <f t="shared" si="13"/>
        <v>100</v>
      </c>
      <c r="V47" s="774" t="s">
        <v>17</v>
      </c>
      <c r="W47" s="775">
        <f t="shared" si="14"/>
        <v>100</v>
      </c>
      <c r="X47" s="1813"/>
      <c r="Y47" s="3211"/>
      <c r="Z47" s="1814">
        <f t="shared" si="15"/>
        <v>111</v>
      </c>
      <c r="AA47" s="1811">
        <f t="shared" si="3"/>
        <v>1</v>
      </c>
      <c r="AB47" s="1811">
        <f t="shared" si="4"/>
        <v>1</v>
      </c>
      <c r="AC47" s="2674">
        <f t="shared" si="5"/>
        <v>1</v>
      </c>
    </row>
    <row r="48" spans="1:29" ht="14.4">
      <c r="A48" s="479" t="s">
        <v>2575</v>
      </c>
      <c r="B48" s="480"/>
      <c r="C48" s="1407" t="s">
        <v>1</v>
      </c>
      <c r="D48" s="1408"/>
      <c r="E48" s="1409"/>
      <c r="F48" s="1410"/>
      <c r="G48" s="1411"/>
      <c r="H48" s="1412"/>
      <c r="I48" s="1409"/>
      <c r="J48" s="485"/>
      <c r="K48" s="783"/>
      <c r="L48" s="1143"/>
      <c r="M48" s="1131"/>
      <c r="N48" s="1131"/>
      <c r="O48" s="1131"/>
      <c r="P48" s="3185" t="str">
        <f>A48</f>
        <v>成交单价（元/平方米）</v>
      </c>
      <c r="Q48" s="3203"/>
      <c r="R48" s="3204">
        <f>E48</f>
        <v>0</v>
      </c>
      <c r="S48" s="3204"/>
      <c r="T48" s="3204">
        <f>G48</f>
        <v>0</v>
      </c>
      <c r="U48" s="3204"/>
      <c r="V48" s="3204">
        <f>I48</f>
        <v>0</v>
      </c>
      <c r="W48" s="3204"/>
      <c r="X48" s="446"/>
      <c r="Y48" s="781"/>
      <c r="Z48" s="446"/>
      <c r="AA48" s="446"/>
      <c r="AB48" s="446"/>
      <c r="AC48" s="630"/>
    </row>
    <row r="49" spans="1:29" ht="1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5"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 thickBot="1">
      <c r="A50" s="492" t="s">
        <v>2668</v>
      </c>
      <c r="B50" s="493"/>
      <c r="C50" s="1417" t="e">
        <f>R50</f>
        <v>#DIV/0!</v>
      </c>
      <c r="D50" s="1417"/>
      <c r="E50" s="1417"/>
      <c r="F50" s="1417"/>
      <c r="G50" s="1417"/>
      <c r="H50" s="1417"/>
      <c r="I50" s="1417"/>
      <c r="J50" s="494"/>
      <c r="K50" s="785"/>
      <c r="L50" s="1143"/>
      <c r="M50" s="1131"/>
      <c r="N50" s="1131"/>
      <c r="O50" s="1131"/>
      <c r="P50" s="3226" t="str">
        <f>A50</f>
        <v>估价对象XX用房的比较价值（楼面单价，元/平方米）</v>
      </c>
      <c r="Q50" s="3227"/>
      <c r="R50" s="3228" t="e">
        <f>IF(F1="售价",ROUND(AVERAGE(R49:V49),0),ROUND(AVERAGE(R49:V49),1))</f>
        <v>#DIV/0!</v>
      </c>
      <c r="S50" s="3228"/>
      <c r="T50" s="3228"/>
      <c r="U50" s="3228"/>
      <c r="V50" s="3228"/>
      <c r="W50" s="322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81"/>
      <c r="Q58" s="504"/>
    </row>
    <row r="59" spans="1:29" s="508" customFormat="1" ht="14.4">
      <c r="A59" s="505" t="s">
        <v>2546</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c r="A60" s="509"/>
      <c r="B60" s="510"/>
      <c r="C60" s="1573">
        <v>100</v>
      </c>
      <c r="D60" s="512"/>
      <c r="E60" s="512"/>
      <c r="F60" s="512"/>
      <c r="G60" s="512"/>
      <c r="H60" s="512"/>
      <c r="I60" s="512"/>
      <c r="J60" s="512"/>
      <c r="K60" s="512"/>
      <c r="L60" s="512"/>
      <c r="M60" s="513"/>
      <c r="N60" s="512"/>
      <c r="O60" s="513"/>
      <c r="P60" s="2682"/>
    </row>
    <row r="61" spans="1:29" s="117" customFormat="1" ht="15" thickBot="1">
      <c r="A61" s="515" t="s">
        <v>2583</v>
      </c>
      <c r="B61" s="516"/>
      <c r="C61" s="517"/>
      <c r="D61" s="518"/>
      <c r="E61" s="518"/>
      <c r="F61" s="518"/>
      <c r="G61" s="518"/>
      <c r="H61" s="518"/>
      <c r="I61" s="518"/>
      <c r="J61" s="518"/>
      <c r="K61" s="518"/>
      <c r="L61" s="518"/>
      <c r="M61" s="519"/>
      <c r="N61" s="518"/>
      <c r="O61" s="519"/>
      <c r="P61" s="2682"/>
      <c r="Q61" s="504"/>
    </row>
    <row r="62" spans="1:29" s="117" customFormat="1" ht="14.4">
      <c r="A62" s="521" t="s">
        <v>2548</v>
      </c>
      <c r="B62" s="510"/>
      <c r="C62" s="522" t="s">
        <v>2650</v>
      </c>
      <c r="D62" s="523"/>
      <c r="E62" s="523"/>
      <c r="F62" s="523"/>
      <c r="G62" s="523"/>
      <c r="H62" s="523"/>
      <c r="I62" s="523"/>
      <c r="J62" s="523"/>
      <c r="K62" s="523"/>
      <c r="L62" s="524"/>
      <c r="M62" s="525"/>
      <c r="N62" s="1151"/>
      <c r="O62" s="1151"/>
      <c r="P62" s="2683"/>
      <c r="Q62" s="504"/>
    </row>
    <row r="63" spans="1:29" s="117" customFormat="1" ht="14.4" thickBot="1">
      <c r="A63" s="521"/>
      <c r="B63" s="510"/>
      <c r="C63" s="511">
        <v>100</v>
      </c>
      <c r="D63" s="512"/>
      <c r="E63" s="512"/>
      <c r="F63" s="512"/>
      <c r="G63" s="512"/>
      <c r="H63" s="512"/>
      <c r="I63" s="512"/>
      <c r="J63" s="512"/>
      <c r="K63" s="512"/>
      <c r="L63" s="512"/>
      <c r="M63" s="514"/>
      <c r="N63" s="1151"/>
      <c r="O63" s="1151"/>
      <c r="P63" s="2682"/>
      <c r="Q63" s="504"/>
    </row>
    <row r="64" spans="1:29" ht="14.4">
      <c r="A64" s="527" t="s">
        <v>2586</v>
      </c>
      <c r="B64" s="528" t="s">
        <v>2552</v>
      </c>
      <c r="C64" s="529">
        <f>C9</f>
        <v>0</v>
      </c>
      <c r="D64" s="530"/>
      <c r="E64" s="530"/>
      <c r="F64" s="530"/>
      <c r="G64" s="530"/>
      <c r="H64" s="530"/>
      <c r="I64" s="530"/>
      <c r="J64" s="530"/>
      <c r="K64" s="531"/>
      <c r="L64" s="532"/>
      <c r="M64" s="533"/>
      <c r="N64" s="1152"/>
      <c r="O64" s="1152"/>
      <c r="P64" s="2684"/>
      <c r="Q64" s="504"/>
    </row>
    <row r="65" spans="1:17" ht="14.4" thickBot="1">
      <c r="A65" s="534"/>
      <c r="B65" s="535"/>
      <c r="C65" s="536">
        <v>100</v>
      </c>
      <c r="D65" s="536"/>
      <c r="E65" s="536"/>
      <c r="F65" s="536"/>
      <c r="G65" s="536"/>
      <c r="H65" s="536"/>
      <c r="I65" s="536"/>
      <c r="J65" s="536"/>
      <c r="K65" s="536"/>
      <c r="L65" s="536"/>
      <c r="M65" s="537"/>
      <c r="N65" s="1153"/>
      <c r="O65" s="1153"/>
      <c r="P65" s="2684"/>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c r="A69" s="534"/>
      <c r="B69" s="548"/>
      <c r="C69" s="549"/>
      <c r="D69" s="549"/>
      <c r="E69" s="549"/>
      <c r="F69" s="549"/>
      <c r="G69" s="549"/>
      <c r="H69" s="549"/>
      <c r="I69" s="549"/>
      <c r="J69" s="549"/>
      <c r="K69" s="550"/>
      <c r="L69" s="551"/>
      <c r="M69" s="552"/>
      <c r="N69" s="1152"/>
      <c r="O69" s="1152"/>
      <c r="P69" s="268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4.4" thickTop="1">
      <c r="A71" s="553"/>
      <c r="B71" s="538">
        <f>B12</f>
        <v>111</v>
      </c>
      <c r="C71" s="554"/>
      <c r="D71" s="554"/>
      <c r="E71" s="554"/>
      <c r="F71" s="554"/>
      <c r="G71" s="554"/>
      <c r="H71" s="555"/>
      <c r="I71" s="555"/>
      <c r="J71" s="555"/>
      <c r="K71" s="555"/>
      <c r="L71" s="556"/>
      <c r="M71" s="557"/>
      <c r="N71" s="1154"/>
      <c r="O71" s="1154"/>
      <c r="P71" s="2685"/>
      <c r="Q71" s="559"/>
    </row>
    <row r="72" spans="1:17" s="471" customFormat="1" ht="14.4" thickBot="1">
      <c r="A72" s="553"/>
      <c r="B72" s="543"/>
      <c r="C72" s="560"/>
      <c r="D72" s="536"/>
      <c r="E72" s="536"/>
      <c r="F72" s="536"/>
      <c r="G72" s="536"/>
      <c r="H72" s="536"/>
      <c r="I72" s="536"/>
      <c r="J72" s="536"/>
      <c r="K72" s="536"/>
      <c r="L72" s="536"/>
      <c r="M72" s="537"/>
      <c r="N72" s="1153"/>
      <c r="O72" s="1153"/>
      <c r="P72" s="2685"/>
      <c r="Q72" s="559"/>
    </row>
    <row r="73" spans="1:17" s="471" customFormat="1" ht="14.4" thickTop="1">
      <c r="A73" s="553"/>
      <c r="B73" s="538">
        <f>B13</f>
        <v>111</v>
      </c>
      <c r="C73" s="554"/>
      <c r="D73" s="554"/>
      <c r="E73" s="554"/>
      <c r="F73" s="554"/>
      <c r="G73" s="554"/>
      <c r="H73" s="555"/>
      <c r="I73" s="555"/>
      <c r="J73" s="555"/>
      <c r="K73" s="555"/>
      <c r="L73" s="556"/>
      <c r="M73" s="557"/>
      <c r="N73" s="1154"/>
      <c r="O73" s="1154"/>
      <c r="P73" s="2686"/>
      <c r="Q73" s="561"/>
    </row>
    <row r="74" spans="1:17" s="471" customFormat="1" ht="14.4" thickBot="1">
      <c r="A74" s="553"/>
      <c r="B74" s="543"/>
      <c r="C74" s="560"/>
      <c r="D74" s="560"/>
      <c r="E74" s="560"/>
      <c r="F74" s="560"/>
      <c r="G74" s="560"/>
      <c r="H74" s="562"/>
      <c r="I74" s="562"/>
      <c r="J74" s="562"/>
      <c r="K74" s="562"/>
      <c r="L74" s="562"/>
      <c r="M74" s="563"/>
      <c r="N74" s="1154"/>
      <c r="O74" s="1154"/>
      <c r="P74" s="2685"/>
      <c r="Q74" s="559"/>
    </row>
    <row r="75" spans="1:17" s="471" customFormat="1" ht="14.4" thickTop="1">
      <c r="A75" s="553"/>
      <c r="B75" s="546">
        <f>B14</f>
        <v>111</v>
      </c>
      <c r="C75" s="523"/>
      <c r="D75" s="523"/>
      <c r="E75" s="523"/>
      <c r="F75" s="523"/>
      <c r="G75" s="523"/>
      <c r="H75" s="564"/>
      <c r="I75" s="564"/>
      <c r="J75" s="564"/>
      <c r="K75" s="564"/>
      <c r="L75" s="565"/>
      <c r="M75" s="566"/>
      <c r="N75" s="1154"/>
      <c r="O75" s="1154"/>
      <c r="P75" s="2687"/>
      <c r="Q75" s="559"/>
    </row>
    <row r="76" spans="1:17" s="471" customFormat="1" ht="14.4" thickBot="1">
      <c r="A76" s="568"/>
      <c r="B76" s="569"/>
      <c r="C76" s="570"/>
      <c r="D76" s="570"/>
      <c r="E76" s="570"/>
      <c r="F76" s="570"/>
      <c r="G76" s="570"/>
      <c r="H76" s="571"/>
      <c r="I76" s="571"/>
      <c r="J76" s="571"/>
      <c r="K76" s="571"/>
      <c r="L76" s="571"/>
      <c r="M76" s="572"/>
      <c r="N76" s="1154"/>
      <c r="O76" s="1154"/>
      <c r="P76" s="2685"/>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9.4" thickTop="1">
      <c r="A87" s="579"/>
      <c r="B87" s="538" t="s">
        <v>2697</v>
      </c>
      <c r="C87" s="554"/>
      <c r="D87" s="554"/>
      <c r="E87" s="554"/>
      <c r="F87" s="554"/>
      <c r="G87" s="554"/>
      <c r="H87" s="554"/>
      <c r="I87" s="554"/>
      <c r="J87" s="554"/>
      <c r="K87" s="554"/>
      <c r="L87" s="580"/>
      <c r="M87" s="581"/>
      <c r="N87" s="1151"/>
      <c r="O87" s="1151"/>
      <c r="P87" s="268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4.4"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4.4" thickTop="1">
      <c r="A93" s="534"/>
      <c r="B93" s="538">
        <f>B29</f>
        <v>111</v>
      </c>
      <c r="C93" s="554"/>
      <c r="D93" s="554"/>
      <c r="E93" s="554"/>
      <c r="F93" s="554"/>
      <c r="G93" s="554"/>
      <c r="H93" s="554"/>
      <c r="I93" s="554"/>
      <c r="J93" s="554"/>
      <c r="K93" s="554"/>
      <c r="L93" s="580"/>
      <c r="M93" s="581"/>
      <c r="N93" s="1152"/>
      <c r="O93" s="1152"/>
      <c r="P93" s="2684"/>
      <c r="Q93" s="504"/>
    </row>
    <row r="94" spans="1:17" ht="14.4" thickBot="1">
      <c r="A94" s="534"/>
      <c r="B94" s="543"/>
      <c r="C94" s="560"/>
      <c r="D94" s="536"/>
      <c r="E94" s="536"/>
      <c r="F94" s="536"/>
      <c r="G94" s="536"/>
      <c r="H94" s="536"/>
      <c r="I94" s="536"/>
      <c r="J94" s="536"/>
      <c r="K94" s="536"/>
      <c r="L94" s="536"/>
      <c r="M94" s="537"/>
      <c r="N94" s="1153"/>
      <c r="O94" s="1153"/>
      <c r="P94" s="2684"/>
      <c r="Q94" s="504"/>
    </row>
    <row r="95" spans="1:17" ht="14.4" thickTop="1">
      <c r="A95" s="534"/>
      <c r="B95" s="538">
        <f>B30</f>
        <v>111</v>
      </c>
      <c r="C95" s="554"/>
      <c r="D95" s="554"/>
      <c r="E95" s="554"/>
      <c r="F95" s="554"/>
      <c r="G95" s="583"/>
      <c r="H95" s="583"/>
      <c r="I95" s="583"/>
      <c r="J95" s="583"/>
      <c r="K95" s="584"/>
      <c r="L95" s="585"/>
      <c r="M95" s="586"/>
      <c r="N95" s="1152"/>
      <c r="O95" s="1152"/>
      <c r="P95" s="2684"/>
      <c r="Q95" s="504"/>
    </row>
    <row r="96" spans="1:17" ht="14.4" thickBot="1">
      <c r="A96" s="534"/>
      <c r="B96" s="543"/>
      <c r="C96" s="560"/>
      <c r="D96" s="560"/>
      <c r="E96" s="560"/>
      <c r="F96" s="560"/>
      <c r="G96" s="536"/>
      <c r="H96" s="536"/>
      <c r="I96" s="536"/>
      <c r="J96" s="536"/>
      <c r="K96" s="536"/>
      <c r="L96" s="536"/>
      <c r="M96" s="537"/>
      <c r="N96" s="1153"/>
      <c r="O96" s="1153"/>
      <c r="P96" s="2684"/>
      <c r="Q96" s="504"/>
    </row>
    <row r="97" spans="1:17" ht="14.4" thickTop="1">
      <c r="A97" s="534"/>
      <c r="B97" s="538">
        <f>B31</f>
        <v>111</v>
      </c>
      <c r="C97" s="554"/>
      <c r="D97" s="554"/>
      <c r="E97" s="554"/>
      <c r="F97" s="554"/>
      <c r="G97" s="583"/>
      <c r="H97" s="583"/>
      <c r="I97" s="583"/>
      <c r="J97" s="583"/>
      <c r="K97" s="584"/>
      <c r="L97" s="585"/>
      <c r="M97" s="586"/>
      <c r="N97" s="1152"/>
      <c r="O97" s="1152"/>
      <c r="P97" s="2684"/>
      <c r="Q97" s="504"/>
    </row>
    <row r="98" spans="1:17" ht="14.4" thickBot="1">
      <c r="A98" s="534"/>
      <c r="B98" s="543"/>
      <c r="C98" s="560"/>
      <c r="D98" s="536"/>
      <c r="E98" s="536"/>
      <c r="F98" s="536"/>
      <c r="G98" s="536"/>
      <c r="H98" s="536"/>
      <c r="I98" s="536"/>
      <c r="J98" s="536"/>
      <c r="K98" s="536"/>
      <c r="L98" s="536"/>
      <c r="M98" s="537"/>
      <c r="N98" s="1153"/>
      <c r="O98" s="1153"/>
      <c r="P98" s="2684"/>
      <c r="Q98" s="504"/>
    </row>
    <row r="99" spans="1:17" ht="14.4" thickTop="1">
      <c r="A99" s="534"/>
      <c r="B99" s="546">
        <f>B32</f>
        <v>111</v>
      </c>
      <c r="C99" s="523"/>
      <c r="D99" s="523"/>
      <c r="E99" s="523"/>
      <c r="F99" s="523"/>
      <c r="G99" s="587"/>
      <c r="H99" s="587"/>
      <c r="I99" s="587"/>
      <c r="J99" s="587"/>
      <c r="K99" s="588"/>
      <c r="L99" s="589"/>
      <c r="M99" s="590"/>
      <c r="N99" s="1152"/>
      <c r="O99" s="1152"/>
      <c r="P99" s="2684"/>
      <c r="Q99" s="504"/>
    </row>
    <row r="100" spans="1:17" ht="14.4" thickBot="1">
      <c r="A100" s="2636"/>
      <c r="B100" s="569"/>
      <c r="C100" s="570"/>
      <c r="D100" s="570"/>
      <c r="E100" s="570"/>
      <c r="F100" s="570"/>
      <c r="G100" s="591"/>
      <c r="H100" s="591"/>
      <c r="I100" s="591"/>
      <c r="J100" s="591"/>
      <c r="K100" s="591"/>
      <c r="L100" s="591"/>
      <c r="M100" s="592"/>
      <c r="N100" s="1153"/>
      <c r="O100" s="1153"/>
      <c r="P100" s="2684"/>
      <c r="Q100" s="504"/>
    </row>
    <row r="101" spans="1:17" ht="14.4">
      <c r="A101" s="527" t="s">
        <v>2561</v>
      </c>
      <c r="B101" s="528" t="s">
        <v>2610</v>
      </c>
      <c r="C101" s="530"/>
      <c r="D101" s="530"/>
      <c r="E101" s="530"/>
      <c r="F101" s="530"/>
      <c r="G101" s="530"/>
      <c r="H101" s="530"/>
      <c r="I101" s="530"/>
      <c r="J101" s="530"/>
      <c r="K101" s="531"/>
      <c r="L101" s="532"/>
      <c r="M101" s="533"/>
      <c r="N101" s="1152"/>
      <c r="O101" s="1152"/>
      <c r="P101" s="2684"/>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5"/>
      <c r="Q128" s="559"/>
    </row>
    <row r="129" spans="1:17" ht="14.4" thickTop="1">
      <c r="A129" s="599"/>
      <c r="B129" s="538">
        <f>B46</f>
        <v>111</v>
      </c>
      <c r="C129" s="554"/>
      <c r="D129" s="554"/>
      <c r="E129" s="554"/>
      <c r="F129" s="554"/>
      <c r="G129" s="583"/>
      <c r="H129" s="583"/>
      <c r="I129" s="583"/>
      <c r="J129" s="583"/>
      <c r="K129" s="584"/>
      <c r="L129" s="585"/>
      <c r="M129" s="586"/>
      <c r="N129" s="1152"/>
      <c r="O129" s="1152"/>
      <c r="P129" s="2684"/>
      <c r="Q129" s="504"/>
    </row>
    <row r="130" spans="1:17" ht="14.4" thickBot="1">
      <c r="A130" s="534"/>
      <c r="B130" s="543"/>
      <c r="C130" s="560"/>
      <c r="D130" s="560"/>
      <c r="E130" s="560"/>
      <c r="F130" s="560"/>
      <c r="G130" s="536"/>
      <c r="H130" s="536"/>
      <c r="I130" s="536"/>
      <c r="J130" s="536"/>
      <c r="K130" s="536"/>
      <c r="L130" s="536"/>
      <c r="M130" s="537"/>
      <c r="N130" s="1153"/>
      <c r="O130" s="1153"/>
      <c r="P130" s="2684"/>
      <c r="Q130" s="504"/>
    </row>
    <row r="131" spans="1:17" ht="14.4" thickTop="1">
      <c r="A131" s="599"/>
      <c r="B131" s="546">
        <f>B47</f>
        <v>111</v>
      </c>
      <c r="C131" s="523"/>
      <c r="D131" s="523"/>
      <c r="E131" s="523"/>
      <c r="F131" s="523"/>
      <c r="G131" s="587"/>
      <c r="H131" s="587"/>
      <c r="I131" s="587"/>
      <c r="J131" s="587"/>
      <c r="K131" s="523"/>
      <c r="L131" s="524"/>
      <c r="M131" s="590"/>
      <c r="N131" s="1152"/>
      <c r="O131" s="1152"/>
      <c r="P131" s="2684"/>
      <c r="Q131" s="504"/>
    </row>
    <row r="132" spans="1:17" ht="14.4"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669" t="s">
        <v>2700</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6"/>
      <c r="D2" s="1124"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6031.39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3"/>
      <c r="Y4" s="3173" t="s">
        <v>2649</v>
      </c>
      <c r="Z4" s="3174"/>
      <c r="AA4" s="3168" t="s">
        <v>2645</v>
      </c>
      <c r="AB4" s="3169" t="s">
        <v>2646</v>
      </c>
      <c r="AC4" s="3168" t="s">
        <v>2647</v>
      </c>
    </row>
    <row r="5" spans="1:29">
      <c r="A5" s="404"/>
      <c r="B5" s="405"/>
      <c r="C5" s="3179" t="s">
        <v>2540</v>
      </c>
      <c r="D5" s="3180"/>
      <c r="E5" s="3177" t="s">
        <v>2541</v>
      </c>
      <c r="F5" s="3178"/>
      <c r="G5" s="3179" t="s">
        <v>2542</v>
      </c>
      <c r="H5" s="3180"/>
      <c r="I5" s="3179" t="s">
        <v>2543</v>
      </c>
      <c r="J5" s="3180"/>
      <c r="K5" s="610"/>
      <c r="L5" s="1130"/>
      <c r="M5" s="1131"/>
      <c r="N5" s="1131"/>
      <c r="O5" s="1131"/>
      <c r="P5" s="3192"/>
      <c r="Q5" s="3193"/>
      <c r="R5" s="3175"/>
      <c r="S5" s="3176"/>
      <c r="T5" s="3175"/>
      <c r="U5" s="3176"/>
      <c r="V5" s="3198"/>
      <c r="W5" s="3198"/>
      <c r="X5" s="1813"/>
      <c r="Y5" s="3175"/>
      <c r="Z5" s="3176"/>
      <c r="AA5" s="3169"/>
      <c r="AB5" s="3169"/>
      <c r="AC5" s="3169"/>
    </row>
    <row r="6" spans="1:29" ht="15" thickBot="1">
      <c r="A6" s="406"/>
      <c r="B6" s="407"/>
      <c r="C6" s="3181" t="s">
        <v>2544</v>
      </c>
      <c r="D6" s="3182"/>
      <c r="E6" s="3183" t="s">
        <v>2544</v>
      </c>
      <c r="F6" s="3184"/>
      <c r="G6" s="3181" t="s">
        <v>2544</v>
      </c>
      <c r="H6" s="3182"/>
      <c r="I6" s="3181" t="s">
        <v>2544</v>
      </c>
      <c r="J6" s="3182"/>
      <c r="K6" s="610" t="s">
        <v>2545</v>
      </c>
      <c r="L6" s="1130"/>
      <c r="M6" s="1131"/>
      <c r="N6" s="1131"/>
      <c r="O6" s="1131"/>
      <c r="P6" s="3194"/>
      <c r="Q6" s="3195"/>
      <c r="R6" s="3175"/>
      <c r="S6" s="3176"/>
      <c r="T6" s="3196"/>
      <c r="U6" s="3197"/>
      <c r="V6" s="3198"/>
      <c r="W6" s="3198"/>
      <c r="X6" s="1813"/>
      <c r="Y6" s="3196"/>
      <c r="Z6" s="3197"/>
      <c r="AA6" s="3170"/>
      <c r="AB6" s="3170"/>
      <c r="AC6" s="3170"/>
    </row>
    <row r="7" spans="1:29" s="117" customFormat="1" ht="15" thickBot="1">
      <c r="A7" s="408" t="s">
        <v>2546</v>
      </c>
      <c r="B7" s="409"/>
      <c r="C7" s="410">
        <f>'数据-取费表'!B2</f>
        <v>43819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1" t="s">
        <v>2547</v>
      </c>
      <c r="Q7" s="3199"/>
      <c r="R7" s="770" t="s">
        <v>17</v>
      </c>
      <c r="S7" s="771">
        <f t="shared" ref="S7:S15" si="0">F7</f>
        <v>0</v>
      </c>
      <c r="T7" s="770" t="s">
        <v>17</v>
      </c>
      <c r="U7" s="771">
        <f t="shared" ref="U7:U15" si="1">H7</f>
        <v>0</v>
      </c>
      <c r="V7" s="770" t="s">
        <v>17</v>
      </c>
      <c r="W7" s="771">
        <f t="shared" ref="W7:W15" si="2">J7</f>
        <v>0</v>
      </c>
      <c r="X7" s="772"/>
      <c r="Y7" s="3171" t="s">
        <v>2547</v>
      </c>
      <c r="Z7" s="3172"/>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1" t="s">
        <v>2550</v>
      </c>
      <c r="Q8" s="3172"/>
      <c r="R8" s="770" t="s">
        <v>17</v>
      </c>
      <c r="S8" s="771">
        <f t="shared" si="0"/>
        <v>0</v>
      </c>
      <c r="T8" s="770" t="s">
        <v>17</v>
      </c>
      <c r="U8" s="771">
        <f t="shared" si="1"/>
        <v>0</v>
      </c>
      <c r="V8" s="770" t="s">
        <v>17</v>
      </c>
      <c r="W8" s="771">
        <f t="shared" si="2"/>
        <v>0</v>
      </c>
      <c r="X8" s="772"/>
      <c r="Y8" s="3171" t="s">
        <v>2550</v>
      </c>
      <c r="Z8" s="3172"/>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3" t="s">
        <v>2553</v>
      </c>
      <c r="Q9" s="1795"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69">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2558</v>
      </c>
      <c r="Q15" s="1810" t="str">
        <f t="shared" si="6"/>
        <v>产业集聚程度</v>
      </c>
      <c r="R15" s="774" t="s">
        <v>17</v>
      </c>
      <c r="S15" s="775">
        <f t="shared" si="0"/>
        <v>100</v>
      </c>
      <c r="T15" s="774" t="s">
        <v>17</v>
      </c>
      <c r="U15" s="775">
        <f t="shared" si="1"/>
        <v>100</v>
      </c>
      <c r="V15" s="774" t="s">
        <v>17</v>
      </c>
      <c r="W15" s="775">
        <f t="shared" si="2"/>
        <v>100</v>
      </c>
      <c r="X15" s="1813"/>
      <c r="Y15" s="3205"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6"/>
      <c r="Q16" s="1810"/>
      <c r="R16" s="774"/>
      <c r="S16" s="775"/>
      <c r="T16" s="774"/>
      <c r="U16" s="775"/>
      <c r="V16" s="774"/>
      <c r="W16" s="775"/>
      <c r="X16" s="1813"/>
      <c r="Y16" s="3206"/>
      <c r="Z16" s="1814"/>
      <c r="AA16" s="1811">
        <v>1</v>
      </c>
      <c r="AB16" s="1811">
        <v>1</v>
      </c>
      <c r="AC16" s="1811">
        <v>1</v>
      </c>
    </row>
    <row r="17" spans="1:29" ht="96.6">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06"/>
      <c r="Q18" s="1810"/>
      <c r="R18" s="774"/>
      <c r="S18" s="775"/>
      <c r="T18" s="774"/>
      <c r="U18" s="775"/>
      <c r="V18" s="774"/>
      <c r="W18" s="775"/>
      <c r="X18" s="1813"/>
      <c r="Y18" s="3206"/>
      <c r="Z18" s="1814"/>
      <c r="AA18" s="1811">
        <v>1</v>
      </c>
      <c r="AB18" s="1811">
        <v>1</v>
      </c>
      <c r="AC18" s="1811">
        <v>1</v>
      </c>
    </row>
    <row r="19" spans="1:29" ht="41.4">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06"/>
      <c r="Q20" s="1810"/>
      <c r="R20" s="774"/>
      <c r="S20" s="775"/>
      <c r="T20" s="774"/>
      <c r="U20" s="775"/>
      <c r="V20" s="774"/>
      <c r="W20" s="775"/>
      <c r="X20" s="1813"/>
      <c r="Y20" s="3206"/>
      <c r="Z20" s="1814"/>
      <c r="AA20" s="1811">
        <v>1</v>
      </c>
      <c r="AB20" s="1811">
        <v>1</v>
      </c>
      <c r="AC20" s="1811">
        <v>1</v>
      </c>
    </row>
    <row r="21" spans="1:29" ht="41.4">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06"/>
      <c r="Q22" s="1810"/>
      <c r="R22" s="774"/>
      <c r="S22" s="775"/>
      <c r="T22" s="774"/>
      <c r="U22" s="775"/>
      <c r="V22" s="774"/>
      <c r="W22" s="775"/>
      <c r="X22" s="1813"/>
      <c r="Y22" s="3206"/>
      <c r="Z22" s="1814"/>
      <c r="AA22" s="1811">
        <v>1</v>
      </c>
      <c r="AB22" s="1811">
        <v>1</v>
      </c>
      <c r="AC22" s="1811">
        <v>1</v>
      </c>
    </row>
    <row r="23" spans="1:29" ht="82.8">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06"/>
      <c r="Q24" s="1810"/>
      <c r="R24" s="774"/>
      <c r="S24" s="775"/>
      <c r="T24" s="774"/>
      <c r="U24" s="775"/>
      <c r="V24" s="774"/>
      <c r="W24" s="775"/>
      <c r="X24" s="1813"/>
      <c r="Y24" s="320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10">
        <f>B25</f>
        <v>111</v>
      </c>
      <c r="R25" s="774" t="s">
        <v>17</v>
      </c>
      <c r="S25" s="775">
        <f>F25</f>
        <v>100</v>
      </c>
      <c r="T25" s="774" t="s">
        <v>17</v>
      </c>
      <c r="U25" s="775">
        <f>H25</f>
        <v>100</v>
      </c>
      <c r="V25" s="774" t="s">
        <v>17</v>
      </c>
      <c r="W25" s="775">
        <f>J25</f>
        <v>100</v>
      </c>
      <c r="X25" s="1813"/>
      <c r="Y25" s="320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10">
        <f t="shared" ref="Q26:Q40" si="11">B26</f>
        <v>111</v>
      </c>
      <c r="R26" s="774" t="s">
        <v>17</v>
      </c>
      <c r="S26" s="775">
        <f>F26</f>
        <v>100</v>
      </c>
      <c r="T26" s="774" t="s">
        <v>17</v>
      </c>
      <c r="U26" s="775">
        <f>H26</f>
        <v>100</v>
      </c>
      <c r="V26" s="774" t="s">
        <v>17</v>
      </c>
      <c r="W26" s="775">
        <f>J26</f>
        <v>100</v>
      </c>
      <c r="X26" s="1813"/>
      <c r="Y26" s="320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5">
        <f t="shared" si="11"/>
        <v>111</v>
      </c>
      <c r="R27" s="770" t="s">
        <v>17</v>
      </c>
      <c r="S27" s="771">
        <f>F27</f>
        <v>100</v>
      </c>
      <c r="T27" s="770" t="s">
        <v>17</v>
      </c>
      <c r="U27" s="771">
        <f>H27</f>
        <v>100</v>
      </c>
      <c r="V27" s="770" t="s">
        <v>17</v>
      </c>
      <c r="W27" s="771">
        <f>J27</f>
        <v>100</v>
      </c>
      <c r="X27" s="772"/>
      <c r="Y27" s="3206"/>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10">
        <f t="shared" si="11"/>
        <v>111</v>
      </c>
      <c r="R28" s="774" t="s">
        <v>17</v>
      </c>
      <c r="S28" s="775">
        <f t="shared" ref="S28:S40" si="12">F28</f>
        <v>100</v>
      </c>
      <c r="T28" s="774" t="s">
        <v>17</v>
      </c>
      <c r="U28" s="775">
        <f t="shared" ref="U28:U40" si="13">H28</f>
        <v>100</v>
      </c>
      <c r="V28" s="774" t="s">
        <v>17</v>
      </c>
      <c r="W28" s="775">
        <f t="shared" ref="W28:W40" si="14">J28</f>
        <v>100</v>
      </c>
      <c r="X28" s="1813"/>
      <c r="Y28" s="3206"/>
      <c r="Z28" s="1814">
        <f t="shared" ref="Z28:Z40" si="15">Q28</f>
        <v>111</v>
      </c>
      <c r="AA28" s="1811">
        <f t="shared" si="3"/>
        <v>1</v>
      </c>
      <c r="AB28" s="1811">
        <f t="shared" si="4"/>
        <v>1</v>
      </c>
      <c r="AC28" s="1811">
        <f t="shared" si="5"/>
        <v>1</v>
      </c>
    </row>
    <row r="29" spans="1:29" ht="30">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29" t="s">
        <v>2563</v>
      </c>
      <c r="Q29" s="1810" t="str">
        <f t="shared" si="11"/>
        <v>建筑类型</v>
      </c>
      <c r="R29" s="774" t="s">
        <v>17</v>
      </c>
      <c r="S29" s="775">
        <f t="shared" si="12"/>
        <v>100</v>
      </c>
      <c r="T29" s="774" t="s">
        <v>17</v>
      </c>
      <c r="U29" s="775">
        <f t="shared" si="13"/>
        <v>100</v>
      </c>
      <c r="V29" s="774" t="s">
        <v>17</v>
      </c>
      <c r="W29" s="775">
        <f t="shared" si="14"/>
        <v>100</v>
      </c>
      <c r="X29" s="1813"/>
      <c r="Y29" s="3210"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0"/>
      <c r="Q31" s="1810" t="str">
        <f t="shared" si="11"/>
        <v>建筑结构</v>
      </c>
      <c r="R31" s="774" t="s">
        <v>17</v>
      </c>
      <c r="S31" s="775">
        <f t="shared" si="12"/>
        <v>100</v>
      </c>
      <c r="T31" s="774" t="s">
        <v>17</v>
      </c>
      <c r="U31" s="775">
        <f t="shared" si="13"/>
        <v>100</v>
      </c>
      <c r="V31" s="774" t="s">
        <v>17</v>
      </c>
      <c r="W31" s="775">
        <f t="shared" si="14"/>
        <v>100</v>
      </c>
      <c r="X31" s="1813"/>
      <c r="Y31" s="3210"/>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0"/>
      <c r="Q32" s="1810" t="str">
        <f t="shared" si="11"/>
        <v>公共部分装修</v>
      </c>
      <c r="R32" s="774" t="s">
        <v>17</v>
      </c>
      <c r="S32" s="775">
        <f t="shared" si="12"/>
        <v>100</v>
      </c>
      <c r="T32" s="774" t="s">
        <v>17</v>
      </c>
      <c r="U32" s="775">
        <f t="shared" si="13"/>
        <v>100</v>
      </c>
      <c r="V32" s="774" t="s">
        <v>17</v>
      </c>
      <c r="W32" s="775">
        <f t="shared" si="14"/>
        <v>100</v>
      </c>
      <c r="X32" s="1813"/>
      <c r="Y32" s="3210"/>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0"/>
      <c r="Q33" s="1810" t="str">
        <f t="shared" si="11"/>
        <v>成新度</v>
      </c>
      <c r="R33" s="774" t="s">
        <v>17</v>
      </c>
      <c r="S33" s="775" t="e">
        <f t="shared" si="12"/>
        <v>#N/A</v>
      </c>
      <c r="T33" s="774" t="s">
        <v>17</v>
      </c>
      <c r="U33" s="775" t="e">
        <f t="shared" si="13"/>
        <v>#N/A</v>
      </c>
      <c r="V33" s="774" t="s">
        <v>17</v>
      </c>
      <c r="W33" s="775" t="e">
        <f t="shared" si="14"/>
        <v>#N/A</v>
      </c>
      <c r="X33" s="1813"/>
      <c r="Y33" s="3210"/>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0"/>
      <c r="Q34" s="1795"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0" t="s">
        <v>2563</v>
      </c>
      <c r="Q35" s="1810" t="str">
        <f t="shared" si="11"/>
        <v>市政基础设施</v>
      </c>
      <c r="R35" s="774" t="s">
        <v>17</v>
      </c>
      <c r="S35" s="775">
        <f t="shared" si="12"/>
        <v>100</v>
      </c>
      <c r="T35" s="774" t="s">
        <v>17</v>
      </c>
      <c r="U35" s="775">
        <f t="shared" si="13"/>
        <v>100</v>
      </c>
      <c r="V35" s="774" t="s">
        <v>17</v>
      </c>
      <c r="W35" s="775">
        <f t="shared" si="14"/>
        <v>100</v>
      </c>
      <c r="X35" s="1813"/>
      <c r="Y35" s="3210"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0"/>
      <c r="Q36" s="1810" t="str">
        <f t="shared" si="11"/>
        <v>内部装修</v>
      </c>
      <c r="R36" s="774" t="s">
        <v>17</v>
      </c>
      <c r="S36" s="775">
        <f t="shared" si="12"/>
        <v>100</v>
      </c>
      <c r="T36" s="774" t="s">
        <v>17</v>
      </c>
      <c r="U36" s="775">
        <f t="shared" si="13"/>
        <v>100</v>
      </c>
      <c r="V36" s="774" t="s">
        <v>17</v>
      </c>
      <c r="W36" s="775">
        <f t="shared" si="14"/>
        <v>100</v>
      </c>
      <c r="X36" s="1813"/>
      <c r="Y36" s="3210"/>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0"/>
      <c r="Q37" s="1810" t="str">
        <f t="shared" si="11"/>
        <v>内部装修状况</v>
      </c>
      <c r="R37" s="774" t="s">
        <v>17</v>
      </c>
      <c r="S37" s="775">
        <f t="shared" si="12"/>
        <v>100</v>
      </c>
      <c r="T37" s="774" t="s">
        <v>17</v>
      </c>
      <c r="U37" s="775">
        <f t="shared" si="13"/>
        <v>100</v>
      </c>
      <c r="V37" s="774" t="s">
        <v>17</v>
      </c>
      <c r="W37" s="775">
        <f t="shared" si="14"/>
        <v>100</v>
      </c>
      <c r="X37" s="1813"/>
      <c r="Y37" s="321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0"/>
      <c r="Q39" s="1810">
        <f t="shared" si="11"/>
        <v>111</v>
      </c>
      <c r="R39" s="774" t="s">
        <v>17</v>
      </c>
      <c r="S39" s="775">
        <f t="shared" si="12"/>
        <v>100</v>
      </c>
      <c r="T39" s="774" t="s">
        <v>17</v>
      </c>
      <c r="U39" s="775">
        <f t="shared" si="13"/>
        <v>100</v>
      </c>
      <c r="V39" s="774" t="s">
        <v>17</v>
      </c>
      <c r="W39" s="775">
        <f t="shared" si="14"/>
        <v>100</v>
      </c>
      <c r="X39" s="1813"/>
      <c r="Y39" s="3210"/>
      <c r="Z39" s="1814">
        <f t="shared" si="15"/>
        <v>111</v>
      </c>
      <c r="AA39" s="1811">
        <f t="shared" si="3"/>
        <v>1</v>
      </c>
      <c r="AB39" s="1811">
        <f t="shared" si="4"/>
        <v>1</v>
      </c>
      <c r="AC39" s="1811">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1"/>
      <c r="Q40" s="1810">
        <f t="shared" si="11"/>
        <v>111</v>
      </c>
      <c r="R40" s="774" t="s">
        <v>17</v>
      </c>
      <c r="S40" s="775">
        <f t="shared" si="12"/>
        <v>100</v>
      </c>
      <c r="T40" s="774" t="s">
        <v>17</v>
      </c>
      <c r="U40" s="775">
        <f t="shared" si="13"/>
        <v>100</v>
      </c>
      <c r="V40" s="774" t="s">
        <v>17</v>
      </c>
      <c r="W40" s="775">
        <f t="shared" si="14"/>
        <v>100</v>
      </c>
      <c r="X40" s="1813"/>
      <c r="Y40" s="3211"/>
      <c r="Z40" s="1814">
        <f t="shared" si="15"/>
        <v>111</v>
      </c>
      <c r="AA40" s="1811">
        <f t="shared" si="3"/>
        <v>1</v>
      </c>
      <c r="AB40" s="1811">
        <f t="shared" si="4"/>
        <v>1</v>
      </c>
      <c r="AC40" s="1811">
        <f t="shared" si="5"/>
        <v>1</v>
      </c>
    </row>
    <row r="41" spans="1:29" ht="14.4">
      <c r="A41" s="479" t="s">
        <v>2575</v>
      </c>
      <c r="B41" s="480"/>
      <c r="C41" s="1407" t="s">
        <v>1</v>
      </c>
      <c r="D41" s="1408"/>
      <c r="E41" s="1409"/>
      <c r="F41" s="1410"/>
      <c r="G41" s="1411"/>
      <c r="H41" s="1412"/>
      <c r="I41" s="1409"/>
      <c r="J41" s="1412"/>
      <c r="K41" s="783"/>
      <c r="L41" s="1143"/>
      <c r="M41" s="1144"/>
      <c r="N41" s="1131"/>
      <c r="O41" s="1144"/>
      <c r="P41" s="3203" t="str">
        <f>A41</f>
        <v>成交单价（元/平方米）</v>
      </c>
      <c r="Q41" s="3203"/>
      <c r="R41" s="3204">
        <f>E41</f>
        <v>0</v>
      </c>
      <c r="S41" s="3204"/>
      <c r="T41" s="3204">
        <f>G41</f>
        <v>0</v>
      </c>
      <c r="U41" s="3204"/>
      <c r="V41" s="3204">
        <f>I41</f>
        <v>0</v>
      </c>
      <c r="W41" s="3204"/>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200" t="str">
        <f>A43</f>
        <v>估价对象XX用房的比较价值（楼面单价，元/平方米）</v>
      </c>
      <c r="Q43" s="3201"/>
      <c r="R43" s="3202" t="e">
        <f>IF(F1="售价",ROUND(AVERAGE(R42:V42),0),ROUND(AVERAGE(R42:V42),1))</f>
        <v>#DIV/0!</v>
      </c>
      <c r="S43" s="3202"/>
      <c r="T43" s="3202"/>
      <c r="U43" s="3202"/>
      <c r="V43" s="3202"/>
      <c r="W43" s="320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6"/>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1605</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受贵公司委托，我公司对河北省沧州临港经济技术开发区西区出让国有建设用地使用权及在建建筑物房地产抵押价值进行了预评估。</v>
      </c>
    </row>
    <row r="5" spans="1:1" ht="17.399999999999999">
      <c r="A5" s="1948" t="s">
        <v>1606</v>
      </c>
    </row>
    <row r="6" spans="1:1" ht="17.399999999999999">
      <c r="A6" s="1949" t="s">
        <v>1607</v>
      </c>
    </row>
    <row r="7" spans="1:1" ht="17.399999999999999">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沧州临港经济技术开发区西区出让国有建设用地使用权及在建建筑物房地产，为所有。根据《国有土地使用证》[]，估价对象（分摊）出让国有建设用地使用权面积为27999.91平方米，建筑面积为6031.39平方米。</v>
      </c>
    </row>
    <row r="8" spans="1:1" ht="54.6">
      <c r="A8" s="1950" t="s">
        <v>1608</v>
      </c>
    </row>
    <row r="9" spans="1:1" ht="17.399999999999999">
      <c r="A9" s="1949" t="s">
        <v>1609</v>
      </c>
    </row>
    <row r="10" spans="1:1" ht="17.399999999999999">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沧州临港经济技术开发区西区出让国有建设用地使用权及在建建筑物房地产,属开发建设的，该项目尚在开发建设中。根据《国有土地使用证》[]，估价对象（分摊）出让国有建设用地使用权面积为27999.91平方米，规划建筑面积为6031.39平方米。</v>
      </c>
    </row>
    <row r="11" spans="1:1" ht="72">
      <c r="A11" s="1950" t="s">
        <v>1610</v>
      </c>
    </row>
    <row r="12" spans="1:1" ht="17.399999999999999">
      <c r="A12" s="1948" t="s">
        <v>1611</v>
      </c>
    </row>
    <row r="13" spans="1:1" ht="38.25" customHeight="1">
      <c r="A13" s="1951" t="str">
        <f>IF(项目基本情况!B8="抵押",IF(项目基本情况!B5=项目基本情况!B6,定义!C51,定义!B51),定义!D51)</f>
        <v>拟使用河北省沧州临港经济技术开发区西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1612</v>
      </c>
    </row>
    <row r="15" spans="1:1" ht="17.399999999999999">
      <c r="A15" s="1953" t="str">
        <f>TEXT(项目基本情况!D3,"yyyy年m月d日;;")&amp;IF(项目基本情况!D3=项目基本情况!B3,"（评估专业人员实地查勘之日）","")</f>
        <v>2019年12月20日（评估专业人员实地查勘之日）</v>
      </c>
    </row>
    <row r="16" spans="1:1" ht="17.399999999999999">
      <c r="A16" s="1952" t="s">
        <v>1613</v>
      </c>
    </row>
    <row r="17" spans="1:1" ht="69.599999999999994">
      <c r="A17" s="1947" t="s">
        <v>1614</v>
      </c>
    </row>
    <row r="18" spans="1:1" ht="52.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
      </c>
    </row>
    <row r="23" spans="1:1" ht="17.399999999999999">
      <c r="A23" s="1952" t="s">
        <v>1603</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2705</v>
      </c>
      <c r="B1" s="1619"/>
      <c r="C1" s="1620" t="s">
        <v>2528</v>
      </c>
      <c r="D1" s="1621"/>
      <c r="E1" s="1622"/>
      <c r="F1" s="2584"/>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3"/>
      <c r="Y4" s="3173" t="s">
        <v>2649</v>
      </c>
      <c r="Z4" s="3174"/>
      <c r="AA4" s="3168" t="s">
        <v>2645</v>
      </c>
      <c r="AB4" s="3169" t="s">
        <v>2646</v>
      </c>
      <c r="AC4" s="3168" t="s">
        <v>2647</v>
      </c>
    </row>
    <row r="5" spans="1:29">
      <c r="A5" s="404"/>
      <c r="B5" s="405"/>
      <c r="C5" s="3179" t="s">
        <v>2540</v>
      </c>
      <c r="D5" s="3180"/>
      <c r="E5" s="3177" t="s">
        <v>2541</v>
      </c>
      <c r="F5" s="3178"/>
      <c r="G5" s="3179" t="s">
        <v>2542</v>
      </c>
      <c r="H5" s="3180"/>
      <c r="I5" s="3179" t="s">
        <v>2543</v>
      </c>
      <c r="J5" s="3180"/>
      <c r="K5" s="610"/>
      <c r="L5" s="1130"/>
      <c r="M5" s="1131"/>
      <c r="N5" s="1131"/>
      <c r="O5" s="1131"/>
      <c r="P5" s="3192"/>
      <c r="Q5" s="3193"/>
      <c r="R5" s="3175"/>
      <c r="S5" s="3176"/>
      <c r="T5" s="3175"/>
      <c r="U5" s="3176"/>
      <c r="V5" s="3198"/>
      <c r="W5" s="3198"/>
      <c r="X5" s="1813"/>
      <c r="Y5" s="3175"/>
      <c r="Z5" s="3176"/>
      <c r="AA5" s="3169"/>
      <c r="AB5" s="3169"/>
      <c r="AC5" s="3169"/>
    </row>
    <row r="6" spans="1:29" ht="15" thickBot="1">
      <c r="A6" s="406"/>
      <c r="B6" s="407"/>
      <c r="C6" s="3181" t="s">
        <v>2544</v>
      </c>
      <c r="D6" s="3182"/>
      <c r="E6" s="3183" t="s">
        <v>2544</v>
      </c>
      <c r="F6" s="3184"/>
      <c r="G6" s="3181" t="s">
        <v>2544</v>
      </c>
      <c r="H6" s="3182"/>
      <c r="I6" s="3181" t="s">
        <v>2544</v>
      </c>
      <c r="J6" s="3182"/>
      <c r="K6" s="610" t="s">
        <v>2545</v>
      </c>
      <c r="L6" s="1130"/>
      <c r="M6" s="1131"/>
      <c r="N6" s="1131"/>
      <c r="O6" s="1131"/>
      <c r="P6" s="3194"/>
      <c r="Q6" s="3195"/>
      <c r="R6" s="3175"/>
      <c r="S6" s="3176"/>
      <c r="T6" s="3196"/>
      <c r="U6" s="3197"/>
      <c r="V6" s="3198"/>
      <c r="W6" s="3198"/>
      <c r="X6" s="1813"/>
      <c r="Y6" s="3196"/>
      <c r="Z6" s="3197"/>
      <c r="AA6" s="3170"/>
      <c r="AB6" s="3170"/>
      <c r="AC6" s="3170"/>
    </row>
    <row r="7" spans="1:29" s="117" customFormat="1" ht="15" thickBot="1">
      <c r="A7" s="408" t="s">
        <v>2546</v>
      </c>
      <c r="B7" s="409"/>
      <c r="C7" s="410">
        <f>'数据-取费表'!B2</f>
        <v>43819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1" t="s">
        <v>2547</v>
      </c>
      <c r="Q7" s="3199"/>
      <c r="R7" s="770" t="s">
        <v>17</v>
      </c>
      <c r="S7" s="771">
        <f t="shared" ref="S7:S14" si="0">F7</f>
        <v>0</v>
      </c>
      <c r="T7" s="770" t="s">
        <v>17</v>
      </c>
      <c r="U7" s="771">
        <f t="shared" ref="U7:U14" si="1">H7</f>
        <v>0</v>
      </c>
      <c r="V7" s="770" t="s">
        <v>17</v>
      </c>
      <c r="W7" s="771">
        <f t="shared" ref="W7:W14" si="2">J7</f>
        <v>0</v>
      </c>
      <c r="X7" s="772"/>
      <c r="Y7" s="3171" t="s">
        <v>2547</v>
      </c>
      <c r="Z7" s="3172"/>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1" t="s">
        <v>2550</v>
      </c>
      <c r="Q8" s="3172"/>
      <c r="R8" s="770" t="s">
        <v>17</v>
      </c>
      <c r="S8" s="771">
        <f t="shared" si="0"/>
        <v>0</v>
      </c>
      <c r="T8" s="770" t="s">
        <v>17</v>
      </c>
      <c r="U8" s="771">
        <f t="shared" si="1"/>
        <v>0</v>
      </c>
      <c r="V8" s="770" t="s">
        <v>17</v>
      </c>
      <c r="W8" s="771">
        <f t="shared" si="2"/>
        <v>0</v>
      </c>
      <c r="X8" s="772"/>
      <c r="Y8" s="3171" t="s">
        <v>2550</v>
      </c>
      <c r="Z8" s="3172"/>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3" t="s">
        <v>2553</v>
      </c>
      <c r="Q9" s="1795" t="str">
        <f t="shared" ref="Q9:Q14" si="6">B9</f>
        <v>用途</v>
      </c>
      <c r="R9" s="770" t="s">
        <v>17</v>
      </c>
      <c r="S9" s="771">
        <f t="shared" si="0"/>
        <v>100</v>
      </c>
      <c r="T9" s="770" t="s">
        <v>17</v>
      </c>
      <c r="U9" s="771">
        <f t="shared" si="1"/>
        <v>100</v>
      </c>
      <c r="V9" s="770" t="s">
        <v>17</v>
      </c>
      <c r="W9" s="771">
        <f t="shared" si="2"/>
        <v>100</v>
      </c>
      <c r="X9" s="772"/>
      <c r="Y9" s="3018"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3"/>
      <c r="Q11" s="1795">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96.6">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2558</v>
      </c>
      <c r="Q14" s="1810" t="str">
        <f t="shared" si="6"/>
        <v>交通便捷度</v>
      </c>
      <c r="R14" s="774" t="s">
        <v>17</v>
      </c>
      <c r="S14" s="775">
        <f t="shared" si="0"/>
        <v>100</v>
      </c>
      <c r="T14" s="774" t="s">
        <v>17</v>
      </c>
      <c r="U14" s="775">
        <f t="shared" si="1"/>
        <v>100</v>
      </c>
      <c r="V14" s="774" t="s">
        <v>17</v>
      </c>
      <c r="W14" s="775">
        <f t="shared" si="2"/>
        <v>100</v>
      </c>
      <c r="X14" s="1813"/>
      <c r="Y14" s="3205"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6"/>
      <c r="Q15" s="1810"/>
      <c r="R15" s="774"/>
      <c r="S15" s="775"/>
      <c r="T15" s="774"/>
      <c r="U15" s="775"/>
      <c r="V15" s="774"/>
      <c r="W15" s="775"/>
      <c r="X15" s="1813"/>
      <c r="Y15" s="3206"/>
      <c r="Z15" s="1814"/>
      <c r="AA15" s="1811">
        <v>1</v>
      </c>
      <c r="AB15" s="1811">
        <v>1</v>
      </c>
      <c r="AC15" s="1811">
        <v>1</v>
      </c>
    </row>
    <row r="16" spans="1:29" ht="41.4">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06"/>
      <c r="Q17" s="1810"/>
      <c r="R17" s="774"/>
      <c r="S17" s="775"/>
      <c r="T17" s="774"/>
      <c r="U17" s="775"/>
      <c r="V17" s="774"/>
      <c r="W17" s="775"/>
      <c r="X17" s="1813"/>
      <c r="Y17" s="3206"/>
      <c r="Z17" s="1814"/>
      <c r="AA17" s="1811">
        <v>1</v>
      </c>
      <c r="AB17" s="1811">
        <v>1</v>
      </c>
      <c r="AC17" s="1811">
        <v>1</v>
      </c>
    </row>
    <row r="18" spans="1:29" ht="41.4">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06"/>
      <c r="Q19" s="1810"/>
      <c r="R19" s="774"/>
      <c r="S19" s="775"/>
      <c r="T19" s="774"/>
      <c r="U19" s="775"/>
      <c r="V19" s="774"/>
      <c r="W19" s="775"/>
      <c r="X19" s="1813"/>
      <c r="Y19" s="3206"/>
      <c r="Z19" s="1814"/>
      <c r="AA19" s="1811">
        <v>1</v>
      </c>
      <c r="AB19" s="1811">
        <v>1</v>
      </c>
      <c r="AC19" s="1811">
        <v>1</v>
      </c>
    </row>
    <row r="20" spans="1:29" ht="55.2">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6"/>
      <c r="Q21" s="1810"/>
      <c r="R21" s="774"/>
      <c r="S21" s="775"/>
      <c r="T21" s="774"/>
      <c r="U21" s="775"/>
      <c r="V21" s="774"/>
      <c r="W21" s="775"/>
      <c r="X21" s="1813"/>
      <c r="Y21" s="3206"/>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10">
        <f t="shared" ref="Q24:Q36"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30">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9"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0"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0"/>
      <c r="Q28" s="1810" t="str">
        <f t="shared" si="11"/>
        <v>公共部分装修</v>
      </c>
      <c r="R28" s="774" t="s">
        <v>17</v>
      </c>
      <c r="S28" s="775">
        <f t="shared" si="12"/>
        <v>100</v>
      </c>
      <c r="T28" s="774" t="s">
        <v>17</v>
      </c>
      <c r="U28" s="775">
        <f t="shared" si="13"/>
        <v>100</v>
      </c>
      <c r="V28" s="774" t="s">
        <v>17</v>
      </c>
      <c r="W28" s="775">
        <f t="shared" si="14"/>
        <v>100</v>
      </c>
      <c r="X28" s="1813"/>
      <c r="Y28" s="3210"/>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0"/>
      <c r="Q29" s="1810" t="str">
        <f t="shared" si="11"/>
        <v>成新率</v>
      </c>
      <c r="R29" s="774" t="s">
        <v>17</v>
      </c>
      <c r="S29" s="775" t="e">
        <f t="shared" si="12"/>
        <v>#N/A</v>
      </c>
      <c r="T29" s="774" t="s">
        <v>17</v>
      </c>
      <c r="U29" s="775" t="e">
        <f t="shared" si="13"/>
        <v>#N/A</v>
      </c>
      <c r="V29" s="774" t="s">
        <v>17</v>
      </c>
      <c r="W29" s="775" t="e">
        <f t="shared" si="14"/>
        <v>#N/A</v>
      </c>
      <c r="X29" s="1813"/>
      <c r="Y29" s="3210"/>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0"/>
      <c r="Q30" s="1810" t="str">
        <f t="shared" si="11"/>
        <v>物业等级</v>
      </c>
      <c r="R30" s="774" t="s">
        <v>17</v>
      </c>
      <c r="S30" s="775">
        <f t="shared" si="12"/>
        <v>100</v>
      </c>
      <c r="T30" s="774" t="s">
        <v>17</v>
      </c>
      <c r="U30" s="775">
        <f t="shared" si="13"/>
        <v>100</v>
      </c>
      <c r="V30" s="774" t="s">
        <v>17</v>
      </c>
      <c r="W30" s="775">
        <f t="shared" si="14"/>
        <v>100</v>
      </c>
      <c r="X30" s="1813"/>
      <c r="Y30" s="3210"/>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0"/>
      <c r="Q31" s="1795"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0" t="s">
        <v>2563</v>
      </c>
      <c r="Q32" s="1810" t="str">
        <f t="shared" si="11"/>
        <v>车位类型</v>
      </c>
      <c r="R32" s="774" t="s">
        <v>17</v>
      </c>
      <c r="S32" s="775">
        <f t="shared" si="12"/>
        <v>100</v>
      </c>
      <c r="T32" s="774" t="s">
        <v>17</v>
      </c>
      <c r="U32" s="775">
        <f t="shared" si="13"/>
        <v>100</v>
      </c>
      <c r="V32" s="774" t="s">
        <v>17</v>
      </c>
      <c r="W32" s="775">
        <f t="shared" si="14"/>
        <v>100</v>
      </c>
      <c r="X32" s="1813"/>
      <c r="Y32" s="3210"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0"/>
      <c r="Q33" s="1810" t="str">
        <f t="shared" si="11"/>
        <v>是否直接入户</v>
      </c>
      <c r="R33" s="774" t="s">
        <v>17</v>
      </c>
      <c r="S33" s="775">
        <f t="shared" si="12"/>
        <v>100</v>
      </c>
      <c r="T33" s="774" t="s">
        <v>17</v>
      </c>
      <c r="U33" s="775">
        <f t="shared" si="13"/>
        <v>100</v>
      </c>
      <c r="V33" s="774" t="s">
        <v>17</v>
      </c>
      <c r="W33" s="775">
        <f t="shared" si="14"/>
        <v>100</v>
      </c>
      <c r="X33" s="1813"/>
      <c r="Y33" s="321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0"/>
      <c r="Q36" s="1810">
        <f t="shared" si="11"/>
        <v>111</v>
      </c>
      <c r="R36" s="774" t="s">
        <v>17</v>
      </c>
      <c r="S36" s="775">
        <f t="shared" si="12"/>
        <v>100</v>
      </c>
      <c r="T36" s="774" t="s">
        <v>17</v>
      </c>
      <c r="U36" s="775">
        <f t="shared" si="13"/>
        <v>100</v>
      </c>
      <c r="V36" s="774" t="s">
        <v>17</v>
      </c>
      <c r="W36" s="775">
        <f t="shared" si="14"/>
        <v>100</v>
      </c>
      <c r="X36" s="1813"/>
      <c r="Y36" s="3210"/>
      <c r="Z36" s="1814">
        <f t="shared" si="15"/>
        <v>111</v>
      </c>
      <c r="AA36" s="1811">
        <f t="shared" si="3"/>
        <v>1</v>
      </c>
      <c r="AB36" s="1811">
        <f t="shared" si="4"/>
        <v>1</v>
      </c>
      <c r="AC36" s="1811">
        <f t="shared" si="5"/>
        <v>1</v>
      </c>
    </row>
    <row r="37" spans="1:29" ht="14.4">
      <c r="A37" s="479" t="s">
        <v>2718</v>
      </c>
      <c r="B37" s="2695" t="s">
        <v>2719</v>
      </c>
      <c r="C37" s="1407" t="s">
        <v>1</v>
      </c>
      <c r="D37" s="1408"/>
      <c r="E37" s="1409"/>
      <c r="F37" s="1410"/>
      <c r="G37" s="1411"/>
      <c r="H37" s="1412"/>
      <c r="I37" s="1409"/>
      <c r="J37" s="1412"/>
      <c r="K37" s="619"/>
      <c r="L37" s="1143"/>
      <c r="M37" s="1144"/>
      <c r="N37" s="1131"/>
      <c r="O37" s="1144"/>
      <c r="P37" s="3203" t="str">
        <f>A37</f>
        <v>成交单价</v>
      </c>
      <c r="Q37" s="3203"/>
      <c r="R37" s="3204">
        <f>E37</f>
        <v>0</v>
      </c>
      <c r="S37" s="3204"/>
      <c r="T37" s="3204">
        <f>G37</f>
        <v>0</v>
      </c>
      <c r="U37" s="3204"/>
      <c r="V37" s="3204">
        <f>I37</f>
        <v>0</v>
      </c>
      <c r="W37" s="3204"/>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200" t="str">
        <f>A39</f>
        <v>估价对象XX用房的比较价值（楼面单价，元/平方米）</v>
      </c>
      <c r="Q39" s="3201"/>
      <c r="R39" s="3202" t="e">
        <f>IF(F1="售价",ROUND(AVERAGE(R38:V38),0),ROUND(AVERAGE(R38:V38),1))</f>
        <v>#DIV/0!</v>
      </c>
      <c r="S39" s="3202"/>
      <c r="T39" s="3202"/>
      <c r="U39" s="3202"/>
      <c r="V39" s="3202"/>
      <c r="W39" s="320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2726</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2705</v>
      </c>
      <c r="B1" s="1619"/>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3"/>
      <c r="Y4" s="3173" t="s">
        <v>2649</v>
      </c>
      <c r="Z4" s="3174"/>
      <c r="AA4" s="3168" t="s">
        <v>2645</v>
      </c>
      <c r="AB4" s="3169" t="s">
        <v>2646</v>
      </c>
      <c r="AC4" s="3168" t="s">
        <v>2647</v>
      </c>
    </row>
    <row r="5" spans="1:29">
      <c r="A5" s="404"/>
      <c r="B5" s="405"/>
      <c r="C5" s="3179" t="s">
        <v>2540</v>
      </c>
      <c r="D5" s="3180"/>
      <c r="E5" s="3177" t="s">
        <v>2541</v>
      </c>
      <c r="F5" s="3178"/>
      <c r="G5" s="3179" t="s">
        <v>2542</v>
      </c>
      <c r="H5" s="3180"/>
      <c r="I5" s="3179" t="s">
        <v>2543</v>
      </c>
      <c r="J5" s="3180"/>
      <c r="K5" s="610"/>
      <c r="L5" s="1130"/>
      <c r="M5" s="1131"/>
      <c r="N5" s="1131"/>
      <c r="O5" s="1131"/>
      <c r="P5" s="3192"/>
      <c r="Q5" s="3193"/>
      <c r="R5" s="3175"/>
      <c r="S5" s="3176"/>
      <c r="T5" s="3175"/>
      <c r="U5" s="3176"/>
      <c r="V5" s="3198"/>
      <c r="W5" s="3198"/>
      <c r="X5" s="1813"/>
      <c r="Y5" s="3175"/>
      <c r="Z5" s="3176"/>
      <c r="AA5" s="3169"/>
      <c r="AB5" s="3169"/>
      <c r="AC5" s="3169"/>
    </row>
    <row r="6" spans="1:29" ht="15" thickBot="1">
      <c r="A6" s="406"/>
      <c r="B6" s="407"/>
      <c r="C6" s="3181" t="s">
        <v>2544</v>
      </c>
      <c r="D6" s="3182"/>
      <c r="E6" s="3183" t="s">
        <v>2544</v>
      </c>
      <c r="F6" s="3184"/>
      <c r="G6" s="3181" t="s">
        <v>2544</v>
      </c>
      <c r="H6" s="3182"/>
      <c r="I6" s="3181" t="s">
        <v>2544</v>
      </c>
      <c r="J6" s="3182"/>
      <c r="K6" s="610" t="s">
        <v>2545</v>
      </c>
      <c r="L6" s="1130"/>
      <c r="M6" s="1131"/>
      <c r="N6" s="1131"/>
      <c r="O6" s="1131"/>
      <c r="P6" s="3194"/>
      <c r="Q6" s="3195"/>
      <c r="R6" s="3175"/>
      <c r="S6" s="3176"/>
      <c r="T6" s="3196"/>
      <c r="U6" s="3197"/>
      <c r="V6" s="3198"/>
      <c r="W6" s="3198"/>
      <c r="X6" s="1813"/>
      <c r="Y6" s="3196"/>
      <c r="Z6" s="3197"/>
      <c r="AA6" s="3170"/>
      <c r="AB6" s="3170"/>
      <c r="AC6" s="3170"/>
    </row>
    <row r="7" spans="1:29" s="117" customFormat="1" ht="15" thickBot="1">
      <c r="A7" s="408" t="s">
        <v>2546</v>
      </c>
      <c r="B7" s="409"/>
      <c r="C7" s="410">
        <f>'数据-取费表'!B2</f>
        <v>43819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1" t="s">
        <v>2547</v>
      </c>
      <c r="Q7" s="3199"/>
      <c r="R7" s="770" t="s">
        <v>17</v>
      </c>
      <c r="S7" s="771">
        <f t="shared" ref="S7:S14" si="0">F7</f>
        <v>0</v>
      </c>
      <c r="T7" s="770" t="s">
        <v>17</v>
      </c>
      <c r="U7" s="771">
        <f t="shared" ref="U7:U14" si="1">H7</f>
        <v>0</v>
      </c>
      <c r="V7" s="770" t="s">
        <v>17</v>
      </c>
      <c r="W7" s="771">
        <f t="shared" ref="W7:W14" si="2">J7</f>
        <v>0</v>
      </c>
      <c r="X7" s="772"/>
      <c r="Y7" s="3171" t="s">
        <v>2547</v>
      </c>
      <c r="Z7" s="3172"/>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1" t="s">
        <v>2550</v>
      </c>
      <c r="Q8" s="3172"/>
      <c r="R8" s="770" t="s">
        <v>17</v>
      </c>
      <c r="S8" s="771">
        <f t="shared" si="0"/>
        <v>0</v>
      </c>
      <c r="T8" s="770" t="s">
        <v>17</v>
      </c>
      <c r="U8" s="771">
        <f t="shared" si="1"/>
        <v>0</v>
      </c>
      <c r="V8" s="770" t="s">
        <v>17</v>
      </c>
      <c r="W8" s="771">
        <f t="shared" si="2"/>
        <v>0</v>
      </c>
      <c r="X8" s="772"/>
      <c r="Y8" s="3171" t="s">
        <v>2550</v>
      </c>
      <c r="Z8" s="3172"/>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3" t="s">
        <v>2553</v>
      </c>
      <c r="Q9" s="1795" t="str">
        <f t="shared" ref="Q9:Q14" si="6">B9</f>
        <v>用途</v>
      </c>
      <c r="R9" s="770" t="s">
        <v>17</v>
      </c>
      <c r="S9" s="771">
        <f t="shared" si="0"/>
        <v>100</v>
      </c>
      <c r="T9" s="770" t="s">
        <v>17</v>
      </c>
      <c r="U9" s="771">
        <f t="shared" si="1"/>
        <v>100</v>
      </c>
      <c r="V9" s="770" t="s">
        <v>17</v>
      </c>
      <c r="W9" s="771">
        <f t="shared" si="2"/>
        <v>100</v>
      </c>
      <c r="X9" s="772"/>
      <c r="Y9" s="3018"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3"/>
      <c r="Q11" s="1795">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96.6">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2558</v>
      </c>
      <c r="Q14" s="1810" t="str">
        <f t="shared" si="6"/>
        <v>交通便捷度</v>
      </c>
      <c r="R14" s="774" t="s">
        <v>17</v>
      </c>
      <c r="S14" s="775">
        <f t="shared" si="0"/>
        <v>100</v>
      </c>
      <c r="T14" s="774" t="s">
        <v>17</v>
      </c>
      <c r="U14" s="775">
        <f t="shared" si="1"/>
        <v>100</v>
      </c>
      <c r="V14" s="774" t="s">
        <v>17</v>
      </c>
      <c r="W14" s="775">
        <f t="shared" si="2"/>
        <v>100</v>
      </c>
      <c r="X14" s="1813"/>
      <c r="Y14" s="3205"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6"/>
      <c r="Q15" s="1810"/>
      <c r="R15" s="774"/>
      <c r="S15" s="775"/>
      <c r="T15" s="774"/>
      <c r="U15" s="775"/>
      <c r="V15" s="774"/>
      <c r="W15" s="775"/>
      <c r="X15" s="1813"/>
      <c r="Y15" s="3206"/>
      <c r="Z15" s="1814"/>
      <c r="AA15" s="1811">
        <v>1</v>
      </c>
      <c r="AB15" s="1811">
        <v>1</v>
      </c>
      <c r="AC15" s="1811">
        <v>1</v>
      </c>
    </row>
    <row r="16" spans="1:29" ht="41.4">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06"/>
      <c r="Q17" s="1810"/>
      <c r="R17" s="774"/>
      <c r="S17" s="775"/>
      <c r="T17" s="774"/>
      <c r="U17" s="775"/>
      <c r="V17" s="774"/>
      <c r="W17" s="775"/>
      <c r="X17" s="1813"/>
      <c r="Y17" s="3206"/>
      <c r="Z17" s="1814"/>
      <c r="AA17" s="1811">
        <v>1</v>
      </c>
      <c r="AB17" s="1811">
        <v>1</v>
      </c>
      <c r="AC17" s="1811">
        <v>1</v>
      </c>
    </row>
    <row r="18" spans="1:29" ht="41.4">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06"/>
      <c r="Q19" s="1810"/>
      <c r="R19" s="774"/>
      <c r="S19" s="775"/>
      <c r="T19" s="774"/>
      <c r="U19" s="775"/>
      <c r="V19" s="774"/>
      <c r="W19" s="775"/>
      <c r="X19" s="1813"/>
      <c r="Y19" s="3206"/>
      <c r="Z19" s="1814"/>
      <c r="AA19" s="1811">
        <v>1</v>
      </c>
      <c r="AB19" s="1811">
        <v>1</v>
      </c>
      <c r="AC19" s="1811">
        <v>1</v>
      </c>
    </row>
    <row r="20" spans="1:29" ht="55.2">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6"/>
      <c r="Q21" s="1810"/>
      <c r="R21" s="774"/>
      <c r="S21" s="775"/>
      <c r="T21" s="774"/>
      <c r="U21" s="775"/>
      <c r="V21" s="774"/>
      <c r="W21" s="775"/>
      <c r="X21" s="1813"/>
      <c r="Y21" s="3206"/>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10">
        <f t="shared" ref="Q24:Q34"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30">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29"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0"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0"/>
      <c r="Q28" s="1810" t="str">
        <f t="shared" si="11"/>
        <v>物业等级</v>
      </c>
      <c r="R28" s="774" t="s">
        <v>17</v>
      </c>
      <c r="S28" s="775">
        <f t="shared" si="12"/>
        <v>100</v>
      </c>
      <c r="T28" s="774" t="s">
        <v>17</v>
      </c>
      <c r="U28" s="775">
        <f t="shared" si="13"/>
        <v>100</v>
      </c>
      <c r="V28" s="774" t="s">
        <v>17</v>
      </c>
      <c r="W28" s="775">
        <f t="shared" si="14"/>
        <v>100</v>
      </c>
      <c r="X28" s="1813"/>
      <c r="Y28" s="3210"/>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0"/>
      <c r="Q29" s="1810" t="str">
        <f t="shared" si="11"/>
        <v>有无电梯</v>
      </c>
      <c r="R29" s="774" t="s">
        <v>17</v>
      </c>
      <c r="S29" s="775">
        <f t="shared" si="12"/>
        <v>100</v>
      </c>
      <c r="T29" s="774" t="s">
        <v>17</v>
      </c>
      <c r="U29" s="775">
        <f t="shared" si="13"/>
        <v>100</v>
      </c>
      <c r="V29" s="774" t="s">
        <v>17</v>
      </c>
      <c r="W29" s="775">
        <f t="shared" si="14"/>
        <v>100</v>
      </c>
      <c r="X29" s="1813"/>
      <c r="Y29" s="3210"/>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0"/>
      <c r="Q30" s="1810" t="str">
        <f t="shared" si="11"/>
        <v>建筑面积</v>
      </c>
      <c r="R30" s="774" t="s">
        <v>17</v>
      </c>
      <c r="S30" s="775" t="e">
        <f t="shared" si="12"/>
        <v>#N/A</v>
      </c>
      <c r="T30" s="774" t="s">
        <v>17</v>
      </c>
      <c r="U30" s="775" t="e">
        <f t="shared" si="13"/>
        <v>#N/A</v>
      </c>
      <c r="V30" s="774" t="s">
        <v>17</v>
      </c>
      <c r="W30" s="775" t="e">
        <f t="shared" si="14"/>
        <v>#N/A</v>
      </c>
      <c r="X30" s="1813"/>
      <c r="Y30" s="3210"/>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0"/>
      <c r="Q31" s="1795"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0" t="s">
        <v>2563</v>
      </c>
      <c r="Q32" s="1810">
        <f t="shared" si="11"/>
        <v>111</v>
      </c>
      <c r="R32" s="774" t="s">
        <v>17</v>
      </c>
      <c r="S32" s="775">
        <f t="shared" si="12"/>
        <v>100</v>
      </c>
      <c r="T32" s="774" t="s">
        <v>17</v>
      </c>
      <c r="U32" s="775">
        <f t="shared" si="13"/>
        <v>100</v>
      </c>
      <c r="V32" s="774" t="s">
        <v>17</v>
      </c>
      <c r="W32" s="775">
        <f t="shared" si="14"/>
        <v>100</v>
      </c>
      <c r="X32" s="1813"/>
      <c r="Y32" s="3210"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0"/>
      <c r="Q33" s="1810">
        <f t="shared" si="11"/>
        <v>111</v>
      </c>
      <c r="R33" s="774" t="s">
        <v>17</v>
      </c>
      <c r="S33" s="775">
        <f t="shared" si="12"/>
        <v>100</v>
      </c>
      <c r="T33" s="774" t="s">
        <v>17</v>
      </c>
      <c r="U33" s="775">
        <f t="shared" si="13"/>
        <v>100</v>
      </c>
      <c r="V33" s="774" t="s">
        <v>17</v>
      </c>
      <c r="W33" s="775">
        <f t="shared" si="14"/>
        <v>100</v>
      </c>
      <c r="X33" s="1813"/>
      <c r="Y33" s="3210"/>
      <c r="Z33" s="1814">
        <f t="shared" si="15"/>
        <v>111</v>
      </c>
      <c r="AA33" s="1811">
        <f t="shared" si="3"/>
        <v>1</v>
      </c>
      <c r="AB33" s="1811">
        <f t="shared" si="4"/>
        <v>1</v>
      </c>
      <c r="AC33" s="1811">
        <f t="shared" si="5"/>
        <v>1</v>
      </c>
    </row>
    <row r="34" spans="1:29" ht="15.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ht="14.4">
      <c r="A35" s="479" t="s">
        <v>2575</v>
      </c>
      <c r="B35" s="480"/>
      <c r="C35" s="1407" t="s">
        <v>1</v>
      </c>
      <c r="D35" s="1408"/>
      <c r="E35" s="1409"/>
      <c r="F35" s="1410"/>
      <c r="G35" s="1411"/>
      <c r="H35" s="1412"/>
      <c r="I35" s="1409"/>
      <c r="J35" s="1412"/>
      <c r="K35" s="783"/>
      <c r="L35" s="1143"/>
      <c r="M35" s="1144"/>
      <c r="N35" s="1131"/>
      <c r="O35" s="1144"/>
      <c r="P35" s="3203" t="str">
        <f>A35</f>
        <v>成交单价（元/平方米）</v>
      </c>
      <c r="Q35" s="3203"/>
      <c r="R35" s="3204">
        <f>E35</f>
        <v>0</v>
      </c>
      <c r="S35" s="3204"/>
      <c r="T35" s="3204">
        <f>G35</f>
        <v>0</v>
      </c>
      <c r="U35" s="3204"/>
      <c r="V35" s="3204">
        <f>I35</f>
        <v>0</v>
      </c>
      <c r="W35" s="3204"/>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200" t="str">
        <f>A37</f>
        <v>估价对象XX用房的比较价值（楼面单价，元/平方米）</v>
      </c>
      <c r="Q37" s="3201"/>
      <c r="R37" s="3202" t="e">
        <f>IF(F1="售价",ROUND(AVERAGE(R36:V36),0),ROUND(AVERAGE(R36:V36),1))</f>
        <v>#DIV/0!</v>
      </c>
      <c r="S37" s="3202"/>
      <c r="T37" s="3202"/>
      <c r="U37" s="3202"/>
      <c r="V37" s="3202"/>
      <c r="W37" s="320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3"/>
      <c r="Y4" s="3173" t="s">
        <v>2649</v>
      </c>
      <c r="Z4" s="3174"/>
      <c r="AA4" s="3168" t="s">
        <v>2645</v>
      </c>
      <c r="AB4" s="3169" t="s">
        <v>2646</v>
      </c>
      <c r="AC4" s="3168" t="s">
        <v>2647</v>
      </c>
    </row>
    <row r="5" spans="1:30">
      <c r="A5" s="404"/>
      <c r="B5" s="405"/>
      <c r="C5" s="3179" t="s">
        <v>2540</v>
      </c>
      <c r="D5" s="3180"/>
      <c r="E5" s="3177" t="s">
        <v>2541</v>
      </c>
      <c r="F5" s="3178"/>
      <c r="G5" s="3179" t="s">
        <v>2542</v>
      </c>
      <c r="H5" s="3180"/>
      <c r="I5" s="3179" t="s">
        <v>2543</v>
      </c>
      <c r="J5" s="3180"/>
      <c r="K5" s="610"/>
      <c r="L5" s="1130"/>
      <c r="M5" s="1131"/>
      <c r="N5" s="1131"/>
      <c r="O5" s="1131"/>
      <c r="P5" s="3192"/>
      <c r="Q5" s="3193"/>
      <c r="R5" s="3175"/>
      <c r="S5" s="3176"/>
      <c r="T5" s="3175"/>
      <c r="U5" s="3176"/>
      <c r="V5" s="3198"/>
      <c r="W5" s="3198"/>
      <c r="X5" s="1813"/>
      <c r="Y5" s="3175"/>
      <c r="Z5" s="3176"/>
      <c r="AA5" s="3169"/>
      <c r="AB5" s="3169"/>
      <c r="AC5" s="3169"/>
    </row>
    <row r="6" spans="1:30" ht="15" thickBot="1">
      <c r="A6" s="406"/>
      <c r="B6" s="407"/>
      <c r="C6" s="3181" t="s">
        <v>2544</v>
      </c>
      <c r="D6" s="3182"/>
      <c r="E6" s="3183" t="s">
        <v>2544</v>
      </c>
      <c r="F6" s="3184"/>
      <c r="G6" s="3181" t="s">
        <v>2544</v>
      </c>
      <c r="H6" s="3182"/>
      <c r="I6" s="3181" t="s">
        <v>2544</v>
      </c>
      <c r="J6" s="3182"/>
      <c r="K6" s="610" t="s">
        <v>2545</v>
      </c>
      <c r="L6" s="1130"/>
      <c r="M6" s="1131"/>
      <c r="N6" s="1131"/>
      <c r="O6" s="1131"/>
      <c r="P6" s="3194"/>
      <c r="Q6" s="3195"/>
      <c r="R6" s="3175"/>
      <c r="S6" s="3176"/>
      <c r="T6" s="3196"/>
      <c r="U6" s="3197"/>
      <c r="V6" s="3198"/>
      <c r="W6" s="3198"/>
      <c r="X6" s="1813"/>
      <c r="Y6" s="3196"/>
      <c r="Z6" s="3197"/>
      <c r="AA6" s="3170"/>
      <c r="AB6" s="3170"/>
      <c r="AC6" s="3170"/>
    </row>
    <row r="7" spans="1:30" s="117" customFormat="1" ht="15" thickBot="1">
      <c r="A7" s="408" t="s">
        <v>2546</v>
      </c>
      <c r="B7" s="409"/>
      <c r="C7" s="410">
        <f>'数据-取费表'!B2</f>
        <v>43819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71" t="s">
        <v>2547</v>
      </c>
      <c r="Q7" s="3199"/>
      <c r="R7" s="770" t="s">
        <v>17</v>
      </c>
      <c r="S7" s="771">
        <f t="shared" ref="S7:S15" si="0">F7</f>
        <v>0</v>
      </c>
      <c r="T7" s="770" t="s">
        <v>17</v>
      </c>
      <c r="U7" s="771">
        <f t="shared" ref="U7:U15" si="1">H7</f>
        <v>0</v>
      </c>
      <c r="V7" s="770" t="s">
        <v>17</v>
      </c>
      <c r="W7" s="771">
        <f t="shared" ref="W7:W15" si="2">J7</f>
        <v>0</v>
      </c>
      <c r="X7" s="772"/>
      <c r="Y7" s="3171" t="s">
        <v>2547</v>
      </c>
      <c r="Z7" s="3172"/>
      <c r="AA7" s="773" t="e">
        <f>D7/F7</f>
        <v>#DIV/0!</v>
      </c>
      <c r="AB7" s="773" t="e">
        <f>D7/H7</f>
        <v>#DIV/0!</v>
      </c>
      <c r="AC7" s="773" t="e">
        <f>D7/J7</f>
        <v>#DIV/0!</v>
      </c>
    </row>
    <row r="8" spans="1:30" s="117" customFormat="1" ht="1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1" t="s">
        <v>2550</v>
      </c>
      <c r="Q8" s="3172"/>
      <c r="R8" s="770" t="s">
        <v>17</v>
      </c>
      <c r="S8" s="771">
        <f t="shared" si="0"/>
        <v>0</v>
      </c>
      <c r="T8" s="770" t="s">
        <v>17</v>
      </c>
      <c r="U8" s="771">
        <f t="shared" si="1"/>
        <v>0</v>
      </c>
      <c r="V8" s="770" t="s">
        <v>17</v>
      </c>
      <c r="W8" s="771">
        <f t="shared" si="2"/>
        <v>0</v>
      </c>
      <c r="X8" s="772"/>
      <c r="Y8" s="3171" t="s">
        <v>2550</v>
      </c>
      <c r="Z8" s="3172"/>
      <c r="AA8" s="773" t="e">
        <f t="shared" ref="AA8:AA45" si="3">D8/F8</f>
        <v>#DIV/0!</v>
      </c>
      <c r="AB8" s="773" t="e">
        <f t="shared" ref="AB8:AB45" si="4">D8/H8</f>
        <v>#DIV/0!</v>
      </c>
      <c r="AC8" s="773" t="e">
        <f t="shared" ref="AC8:AC45" si="5">D8/J8</f>
        <v>#DIV/0!</v>
      </c>
    </row>
    <row r="9" spans="1:30" s="117" customFormat="1" ht="14.4">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03" t="s">
        <v>2553</v>
      </c>
      <c r="Q9" s="1795"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03"/>
      <c r="Q10" s="1795" t="str">
        <f t="shared" si="6"/>
        <v>土地使用年限（年）</v>
      </c>
      <c r="R10" s="770" t="s">
        <v>17</v>
      </c>
      <c r="S10" s="771">
        <f t="shared" si="0"/>
        <v>102</v>
      </c>
      <c r="T10" s="770" t="s">
        <v>17</v>
      </c>
      <c r="U10" s="771">
        <f t="shared" si="1"/>
        <v>102</v>
      </c>
      <c r="V10" s="770" t="s">
        <v>17</v>
      </c>
      <c r="W10" s="771">
        <f t="shared" si="2"/>
        <v>102</v>
      </c>
      <c r="X10" s="772"/>
      <c r="Y10" s="3018"/>
      <c r="Z10" s="55" t="str">
        <f t="shared" si="7"/>
        <v>土地使用年限（年）</v>
      </c>
      <c r="AA10" s="773">
        <f t="shared" si="3"/>
        <v>0.98039215686274506</v>
      </c>
      <c r="AB10" s="773">
        <f t="shared" si="4"/>
        <v>0.98039215686274506</v>
      </c>
      <c r="AC10" s="773">
        <f t="shared" si="5"/>
        <v>0.98039215686274506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3"/>
      <c r="Q12" s="1795"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6.6">
      <c r="A15" s="440" t="s">
        <v>2557</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2558</v>
      </c>
      <c r="Q15" s="1810" t="str">
        <f t="shared" si="6"/>
        <v>居住社区成熟度</v>
      </c>
      <c r="R15" s="774" t="s">
        <v>17</v>
      </c>
      <c r="S15" s="775">
        <f t="shared" si="0"/>
        <v>100</v>
      </c>
      <c r="T15" s="774" t="s">
        <v>17</v>
      </c>
      <c r="U15" s="775">
        <f t="shared" si="1"/>
        <v>100</v>
      </c>
      <c r="V15" s="774" t="s">
        <v>17</v>
      </c>
      <c r="W15" s="775">
        <f t="shared" si="2"/>
        <v>100</v>
      </c>
      <c r="X15" s="1813"/>
      <c r="Y15" s="3205" t="s">
        <v>2558</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82.8">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6"/>
      <c r="Q17" s="1810" t="str">
        <f>B17</f>
        <v>商业繁华度</v>
      </c>
      <c r="R17" s="774" t="s">
        <v>17</v>
      </c>
      <c r="S17" s="775">
        <f>F17</f>
        <v>100</v>
      </c>
      <c r="T17" s="774" t="s">
        <v>17</v>
      </c>
      <c r="U17" s="775">
        <f>H17</f>
        <v>100</v>
      </c>
      <c r="V17" s="774" t="s">
        <v>17</v>
      </c>
      <c r="W17" s="775">
        <f>J17</f>
        <v>100</v>
      </c>
      <c r="X17" s="1813"/>
      <c r="Y17" s="3206"/>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82.8">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6"/>
      <c r="Q19" s="1810" t="str">
        <f>B19</f>
        <v>办公集聚程度</v>
      </c>
      <c r="R19" s="774" t="s">
        <v>17</v>
      </c>
      <c r="S19" s="775">
        <f>F19</f>
        <v>100</v>
      </c>
      <c r="T19" s="774" t="s">
        <v>17</v>
      </c>
      <c r="U19" s="775">
        <f>H19</f>
        <v>100</v>
      </c>
      <c r="V19" s="774" t="s">
        <v>17</v>
      </c>
      <c r="W19" s="775">
        <f>J19</f>
        <v>100</v>
      </c>
      <c r="X19" s="1813"/>
      <c r="Y19" s="3206"/>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06"/>
      <c r="Q20" s="1810"/>
      <c r="R20" s="774"/>
      <c r="S20" s="775"/>
      <c r="T20" s="774"/>
      <c r="U20" s="775"/>
      <c r="V20" s="774"/>
      <c r="W20" s="775"/>
      <c r="X20" s="1813"/>
      <c r="Y20" s="3206"/>
      <c r="Z20" s="1814"/>
      <c r="AA20" s="1811">
        <v>1</v>
      </c>
      <c r="AB20" s="1811">
        <v>1</v>
      </c>
      <c r="AC20" s="1811">
        <v>1</v>
      </c>
    </row>
    <row r="21" spans="1:29" ht="96.6">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6"/>
      <c r="Q21" s="1810" t="str">
        <f>B21</f>
        <v>交通便捷度</v>
      </c>
      <c r="R21" s="774" t="s">
        <v>17</v>
      </c>
      <c r="S21" s="775">
        <f>F21</f>
        <v>100</v>
      </c>
      <c r="T21" s="774" t="s">
        <v>17</v>
      </c>
      <c r="U21" s="775">
        <f>H21</f>
        <v>100</v>
      </c>
      <c r="V21" s="774" t="s">
        <v>17</v>
      </c>
      <c r="W21" s="775">
        <f>J21</f>
        <v>100</v>
      </c>
      <c r="X21" s="1813"/>
      <c r="Y21" s="3206"/>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ht="28.8">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6"/>
      <c r="Q23" s="1810" t="str">
        <f t="shared" ref="Q23:Q37" si="8">B23</f>
        <v>区域土地利用方向</v>
      </c>
      <c r="R23" s="774" t="s">
        <v>17</v>
      </c>
      <c r="S23" s="775">
        <f>F23</f>
        <v>100</v>
      </c>
      <c r="T23" s="774" t="s">
        <v>17</v>
      </c>
      <c r="U23" s="775">
        <f>H23</f>
        <v>100</v>
      </c>
      <c r="V23" s="774" t="s">
        <v>17</v>
      </c>
      <c r="W23" s="775">
        <f>J23</f>
        <v>100</v>
      </c>
      <c r="X23" s="1813"/>
      <c r="Y23" s="3206"/>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06"/>
      <c r="Q24" s="1810"/>
      <c r="R24" s="774"/>
      <c r="S24" s="775"/>
      <c r="T24" s="774"/>
      <c r="U24" s="775"/>
      <c r="V24" s="774"/>
      <c r="W24" s="775"/>
      <c r="X24" s="1813"/>
      <c r="Y24" s="3206"/>
      <c r="Z24" s="1814"/>
      <c r="AA24" s="1811"/>
      <c r="AB24" s="1811"/>
      <c r="AC24" s="1811"/>
    </row>
    <row r="25" spans="1:29" ht="55.2">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6"/>
      <c r="Q25" s="1810" t="str">
        <f t="shared" si="8"/>
        <v>自然及人文环境状况</v>
      </c>
      <c r="R25" s="774" t="s">
        <v>17</v>
      </c>
      <c r="S25" s="775">
        <f>F25</f>
        <v>100</v>
      </c>
      <c r="T25" s="774" t="s">
        <v>17</v>
      </c>
      <c r="U25" s="775">
        <f>H25</f>
        <v>100</v>
      </c>
      <c r="V25" s="774" t="s">
        <v>17</v>
      </c>
      <c r="W25" s="775">
        <f>J25</f>
        <v>100</v>
      </c>
      <c r="X25" s="1813"/>
      <c r="Y25" s="3206"/>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06"/>
      <c r="Q26" s="1810"/>
      <c r="R26" s="774"/>
      <c r="S26" s="775"/>
      <c r="T26" s="774"/>
      <c r="U26" s="775"/>
      <c r="V26" s="774"/>
      <c r="W26" s="775"/>
      <c r="X26" s="1813"/>
      <c r="Y26" s="3206"/>
      <c r="Z26" s="1814"/>
      <c r="AA26" s="1811">
        <v>1</v>
      </c>
      <c r="AB26" s="1811">
        <v>1</v>
      </c>
      <c r="AC26" s="1811">
        <v>1</v>
      </c>
    </row>
    <row r="27" spans="1:29" s="117" customFormat="1" ht="41.4">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6"/>
      <c r="Q27" s="1795" t="str">
        <f t="shared" si="8"/>
        <v>公共配套设施</v>
      </c>
      <c r="R27" s="770" t="s">
        <v>17</v>
      </c>
      <c r="S27" s="771">
        <f>F27</f>
        <v>100</v>
      </c>
      <c r="T27" s="770" t="s">
        <v>17</v>
      </c>
      <c r="U27" s="771">
        <f>H27</f>
        <v>100</v>
      </c>
      <c r="V27" s="770" t="s">
        <v>17</v>
      </c>
      <c r="W27" s="771">
        <f>J27</f>
        <v>100</v>
      </c>
      <c r="X27" s="772"/>
      <c r="Y27" s="3206"/>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06"/>
      <c r="Q28" s="1795"/>
      <c r="R28" s="770"/>
      <c r="S28" s="771"/>
      <c r="T28" s="770"/>
      <c r="U28" s="771"/>
      <c r="V28" s="770"/>
      <c r="W28" s="771"/>
      <c r="X28" s="772"/>
      <c r="Y28" s="3206"/>
      <c r="Z28" s="55"/>
      <c r="AA28" s="1811">
        <v>1</v>
      </c>
      <c r="AB28" s="1811">
        <v>1</v>
      </c>
      <c r="AC28" s="1811">
        <v>1</v>
      </c>
    </row>
    <row r="29" spans="1:29" s="117" customFormat="1" ht="41.4">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6"/>
      <c r="Q29" s="1795"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06"/>
      <c r="Q30" s="1795"/>
      <c r="R30" s="770"/>
      <c r="S30" s="771"/>
      <c r="T30" s="770"/>
      <c r="U30" s="771"/>
      <c r="V30" s="770"/>
      <c r="W30" s="771"/>
      <c r="X30" s="772"/>
      <c r="Y30" s="3206"/>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6"/>
      <c r="Z31" s="1814" t="str">
        <f t="shared" ref="Z31:Z45" si="13">Q31</f>
        <v>临街状况</v>
      </c>
      <c r="AA31" s="1811">
        <f t="shared" si="3"/>
        <v>1</v>
      </c>
      <c r="AB31" s="1811">
        <f t="shared" si="4"/>
        <v>1</v>
      </c>
      <c r="AC31" s="1811">
        <f t="shared" si="5"/>
        <v>1</v>
      </c>
    </row>
    <row r="32" spans="1:29" ht="28.8">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6"/>
      <c r="Q32" s="1810" t="str">
        <f t="shared" si="8"/>
        <v>毗邻道路的类型与等级</v>
      </c>
      <c r="R32" s="774" t="s">
        <v>17</v>
      </c>
      <c r="S32" s="775">
        <f t="shared" si="10"/>
        <v>100</v>
      </c>
      <c r="T32" s="774" t="s">
        <v>17</v>
      </c>
      <c r="U32" s="775">
        <f t="shared" si="11"/>
        <v>100</v>
      </c>
      <c r="V32" s="774" t="s">
        <v>17</v>
      </c>
      <c r="W32" s="775">
        <f t="shared" si="12"/>
        <v>100</v>
      </c>
      <c r="X32" s="1813"/>
      <c r="Y32" s="3206"/>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06"/>
      <c r="Q33" s="1810"/>
      <c r="R33" s="774"/>
      <c r="S33" s="775"/>
      <c r="T33" s="774"/>
      <c r="U33" s="775"/>
      <c r="V33" s="774"/>
      <c r="W33" s="775"/>
      <c r="X33" s="1813"/>
      <c r="Y33" s="3206"/>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10" t="str">
        <f t="shared" si="8"/>
        <v>土地级别</v>
      </c>
      <c r="R34" s="774" t="s">
        <v>17</v>
      </c>
      <c r="S34" s="775">
        <f t="shared" si="10"/>
        <v>100</v>
      </c>
      <c r="T34" s="774" t="s">
        <v>17</v>
      </c>
      <c r="U34" s="775">
        <f t="shared" si="11"/>
        <v>100</v>
      </c>
      <c r="V34" s="774" t="s">
        <v>17</v>
      </c>
      <c r="W34" s="775">
        <f t="shared" si="12"/>
        <v>100</v>
      </c>
      <c r="X34" s="1813"/>
      <c r="Y34" s="320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10">
        <f t="shared" si="8"/>
        <v>111</v>
      </c>
      <c r="R35" s="774" t="s">
        <v>17</v>
      </c>
      <c r="S35" s="775">
        <f t="shared" si="10"/>
        <v>100</v>
      </c>
      <c r="T35" s="774" t="s">
        <v>17</v>
      </c>
      <c r="U35" s="775">
        <f t="shared" si="11"/>
        <v>100</v>
      </c>
      <c r="V35" s="774" t="s">
        <v>17</v>
      </c>
      <c r="W35" s="775">
        <f t="shared" si="12"/>
        <v>100</v>
      </c>
      <c r="X35" s="1813"/>
      <c r="Y35" s="320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9" t="s">
        <v>2563</v>
      </c>
      <c r="Q36" s="1810">
        <f t="shared" si="8"/>
        <v>111</v>
      </c>
      <c r="R36" s="774" t="s">
        <v>17</v>
      </c>
      <c r="S36" s="775">
        <f t="shared" si="10"/>
        <v>100</v>
      </c>
      <c r="T36" s="774" t="s">
        <v>17</v>
      </c>
      <c r="U36" s="775">
        <f t="shared" si="11"/>
        <v>100</v>
      </c>
      <c r="V36" s="774" t="s">
        <v>17</v>
      </c>
      <c r="W36" s="775">
        <f t="shared" si="12"/>
        <v>100</v>
      </c>
      <c r="X36" s="1813"/>
      <c r="Y36" s="3210" t="s">
        <v>2563</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0"/>
      <c r="Q37" s="1810">
        <f t="shared" si="8"/>
        <v>111</v>
      </c>
      <c r="R37" s="777" t="s">
        <v>17</v>
      </c>
      <c r="S37" s="778">
        <f t="shared" si="10"/>
        <v>100</v>
      </c>
      <c r="T37" s="777" t="s">
        <v>17</v>
      </c>
      <c r="U37" s="778">
        <f t="shared" si="11"/>
        <v>100</v>
      </c>
      <c r="V37" s="777" t="s">
        <v>17</v>
      </c>
      <c r="W37" s="778">
        <f t="shared" si="12"/>
        <v>100</v>
      </c>
      <c r="X37" s="779"/>
      <c r="Y37" s="3210"/>
      <c r="Z37" s="780">
        <f t="shared" si="13"/>
        <v>111</v>
      </c>
      <c r="AA37" s="1811">
        <f t="shared" si="3"/>
        <v>1</v>
      </c>
      <c r="AB37" s="1811">
        <f t="shared" si="4"/>
        <v>1</v>
      </c>
      <c r="AC37" s="1811">
        <f t="shared" si="5"/>
        <v>1</v>
      </c>
    </row>
    <row r="38" spans="1:29" ht="15.6">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0"/>
      <c r="Q38" s="1810" t="str">
        <f>B38</f>
        <v>宗地面积</v>
      </c>
      <c r="R38" s="774" t="s">
        <v>17</v>
      </c>
      <c r="S38" s="775" t="e">
        <f t="shared" si="10"/>
        <v>#N/A</v>
      </c>
      <c r="T38" s="774" t="s">
        <v>17</v>
      </c>
      <c r="U38" s="775" t="e">
        <f t="shared" si="11"/>
        <v>#N/A</v>
      </c>
      <c r="V38" s="774" t="s">
        <v>17</v>
      </c>
      <c r="W38" s="775" t="e">
        <f t="shared" si="12"/>
        <v>#N/A</v>
      </c>
      <c r="X38" s="1813"/>
      <c r="Y38" s="3210"/>
      <c r="Z38" s="1814" t="str">
        <f t="shared" si="13"/>
        <v>宗地面积</v>
      </c>
      <c r="AA38" s="1811" t="e">
        <f t="shared" si="3"/>
        <v>#N/A</v>
      </c>
      <c r="AB38" s="1811" t="e">
        <f t="shared" si="4"/>
        <v>#N/A</v>
      </c>
      <c r="AC38" s="1811"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10"/>
      <c r="Q39" s="1810" t="str">
        <f t="shared" ref="Q39:Q45" si="14">B39</f>
        <v>宗地形状</v>
      </c>
      <c r="R39" s="774" t="s">
        <v>17</v>
      </c>
      <c r="S39" s="775">
        <f t="shared" si="10"/>
        <v>100</v>
      </c>
      <c r="T39" s="774" t="s">
        <v>17</v>
      </c>
      <c r="U39" s="775">
        <f t="shared" si="11"/>
        <v>100</v>
      </c>
      <c r="V39" s="774" t="s">
        <v>17</v>
      </c>
      <c r="W39" s="775">
        <f t="shared" si="12"/>
        <v>100</v>
      </c>
      <c r="X39" s="1813"/>
      <c r="Y39" s="3210"/>
      <c r="Z39" s="1814" t="str">
        <f t="shared" si="13"/>
        <v>宗地形状</v>
      </c>
      <c r="AA39" s="1811">
        <f t="shared" si="3"/>
        <v>1</v>
      </c>
      <c r="AB39" s="1811">
        <f t="shared" si="4"/>
        <v>1</v>
      </c>
      <c r="AC39" s="1811">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10"/>
      <c r="Q40" s="1810" t="str">
        <f t="shared" si="14"/>
        <v>临街宽度及深度</v>
      </c>
      <c r="R40" s="774" t="s">
        <v>17</v>
      </c>
      <c r="S40" s="775">
        <f t="shared" si="10"/>
        <v>100</v>
      </c>
      <c r="T40" s="774" t="s">
        <v>17</v>
      </c>
      <c r="U40" s="775">
        <f t="shared" si="11"/>
        <v>100</v>
      </c>
      <c r="V40" s="774" t="s">
        <v>17</v>
      </c>
      <c r="W40" s="775">
        <f t="shared" si="12"/>
        <v>100</v>
      </c>
      <c r="X40" s="1813"/>
      <c r="Y40" s="3210"/>
      <c r="Z40" s="1814" t="str">
        <f t="shared" si="13"/>
        <v>临街宽度及深度</v>
      </c>
      <c r="AA40" s="1811">
        <f t="shared" si="3"/>
        <v>1</v>
      </c>
      <c r="AB40" s="1811">
        <f t="shared" si="4"/>
        <v>1</v>
      </c>
      <c r="AC40" s="1811">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10"/>
      <c r="Q41" s="1810"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10" t="s">
        <v>2563</v>
      </c>
      <c r="Q42" s="1810" t="str">
        <f t="shared" si="14"/>
        <v>工程地质条件</v>
      </c>
      <c r="R42" s="774" t="s">
        <v>17</v>
      </c>
      <c r="S42" s="775">
        <f t="shared" si="10"/>
        <v>100</v>
      </c>
      <c r="T42" s="774" t="s">
        <v>17</v>
      </c>
      <c r="U42" s="775">
        <f t="shared" si="11"/>
        <v>100</v>
      </c>
      <c r="V42" s="774" t="s">
        <v>17</v>
      </c>
      <c r="W42" s="775">
        <f t="shared" si="12"/>
        <v>100</v>
      </c>
      <c r="X42" s="1813"/>
      <c r="Y42" s="3210"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0"/>
      <c r="Q43" s="1810">
        <f t="shared" si="14"/>
        <v>111</v>
      </c>
      <c r="R43" s="774" t="s">
        <v>17</v>
      </c>
      <c r="S43" s="775">
        <f t="shared" si="10"/>
        <v>100</v>
      </c>
      <c r="T43" s="774" t="s">
        <v>17</v>
      </c>
      <c r="U43" s="775">
        <f t="shared" si="11"/>
        <v>100</v>
      </c>
      <c r="V43" s="774" t="s">
        <v>17</v>
      </c>
      <c r="W43" s="775">
        <f t="shared" si="12"/>
        <v>100</v>
      </c>
      <c r="X43" s="1813"/>
      <c r="Y43" s="321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0"/>
      <c r="Q44" s="1810">
        <f t="shared" si="14"/>
        <v>111</v>
      </c>
      <c r="R44" s="774" t="s">
        <v>17</v>
      </c>
      <c r="S44" s="775">
        <f t="shared" si="10"/>
        <v>100</v>
      </c>
      <c r="T44" s="774" t="s">
        <v>17</v>
      </c>
      <c r="U44" s="775">
        <f t="shared" si="11"/>
        <v>100</v>
      </c>
      <c r="V44" s="774" t="s">
        <v>17</v>
      </c>
      <c r="W44" s="775">
        <f t="shared" si="12"/>
        <v>100</v>
      </c>
      <c r="X44" s="1813"/>
      <c r="Y44" s="3210"/>
      <c r="Z44" s="1814">
        <f t="shared" si="13"/>
        <v>111</v>
      </c>
      <c r="AA44" s="1811">
        <f t="shared" si="3"/>
        <v>1</v>
      </c>
      <c r="AB44" s="1811">
        <f t="shared" si="4"/>
        <v>1</v>
      </c>
      <c r="AC44" s="1811">
        <f t="shared" si="5"/>
        <v>1</v>
      </c>
    </row>
    <row r="45" spans="1:29" s="471" customFormat="1" ht="15.6"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0"/>
      <c r="Q45" s="1810">
        <f t="shared" si="14"/>
        <v>111</v>
      </c>
      <c r="R45" s="777" t="s">
        <v>17</v>
      </c>
      <c r="S45" s="778">
        <f t="shared" si="10"/>
        <v>100</v>
      </c>
      <c r="T45" s="777" t="s">
        <v>17</v>
      </c>
      <c r="U45" s="778">
        <f t="shared" si="11"/>
        <v>100</v>
      </c>
      <c r="V45" s="777" t="s">
        <v>17</v>
      </c>
      <c r="W45" s="778">
        <f t="shared" si="12"/>
        <v>100</v>
      </c>
      <c r="X45" s="779"/>
      <c r="Y45" s="3210"/>
      <c r="Z45" s="780">
        <f t="shared" si="13"/>
        <v>111</v>
      </c>
      <c r="AA45" s="1811">
        <f t="shared" si="3"/>
        <v>1</v>
      </c>
      <c r="AB45" s="1811">
        <f t="shared" si="4"/>
        <v>1</v>
      </c>
      <c r="AC45" s="1811">
        <f t="shared" si="5"/>
        <v>1</v>
      </c>
    </row>
    <row r="46" spans="1:29" ht="14.4">
      <c r="A46" s="479" t="s">
        <v>2718</v>
      </c>
      <c r="B46" s="2704" t="s">
        <v>2754</v>
      </c>
      <c r="C46" s="682" t="s">
        <v>1</v>
      </c>
      <c r="D46" s="481"/>
      <c r="E46" s="482"/>
      <c r="F46" s="483"/>
      <c r="G46" s="484"/>
      <c r="H46" s="485"/>
      <c r="I46" s="482"/>
      <c r="J46" s="485"/>
      <c r="K46" s="783"/>
      <c r="L46" s="1143"/>
      <c r="M46" s="1144"/>
      <c r="N46" s="1131"/>
      <c r="O46" s="1144"/>
      <c r="P46" s="3203" t="str">
        <f>A46</f>
        <v>成交单价</v>
      </c>
      <c r="Q46" s="3203"/>
      <c r="R46" s="3198">
        <f>E46</f>
        <v>0</v>
      </c>
      <c r="S46" s="3198"/>
      <c r="T46" s="3198">
        <f>G46</f>
        <v>0</v>
      </c>
      <c r="U46" s="3198"/>
      <c r="V46" s="3198">
        <f>I46</f>
        <v>0</v>
      </c>
      <c r="W46" s="3198"/>
      <c r="X46" s="759"/>
      <c r="Y46" s="781"/>
      <c r="Z46" s="759"/>
      <c r="AA46" s="759"/>
      <c r="AB46" s="759"/>
      <c r="AC46" s="759"/>
    </row>
    <row r="47" spans="1:29" ht="1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03" t="str">
        <f>A47</f>
        <v>比较价值（元/平方米）</v>
      </c>
      <c r="Q47" s="3203"/>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 thickBot="1">
      <c r="A48" s="492" t="s">
        <v>2755</v>
      </c>
      <c r="B48" s="493"/>
      <c r="C48" s="494" t="e">
        <f>R48</f>
        <v>#DIV/0!</v>
      </c>
      <c r="D48" s="494"/>
      <c r="E48" s="494"/>
      <c r="F48" s="494"/>
      <c r="G48" s="494"/>
      <c r="H48" s="494"/>
      <c r="I48" s="494"/>
      <c r="J48" s="494"/>
      <c r="K48" s="785"/>
      <c r="L48" s="1143"/>
      <c r="M48" s="1144"/>
      <c r="N48" s="1144"/>
      <c r="O48" s="1144"/>
      <c r="P48" s="3200" t="str">
        <f>A48</f>
        <v>估价对象XX用房的比较价值（楼面单价，元/平方米）</v>
      </c>
      <c r="Q48" s="3201"/>
      <c r="R48" s="3231" t="e">
        <f>ROUND(AVERAGE(R47:V47),0)</f>
        <v>#DIV/0!</v>
      </c>
      <c r="S48" s="3231"/>
      <c r="T48" s="3231"/>
      <c r="U48" s="3231"/>
      <c r="V48" s="3231"/>
      <c r="W48" s="323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186" t="s">
        <v>2762</v>
      </c>
      <c r="H55" s="3232"/>
      <c r="I55" s="144" t="s">
        <v>2763</v>
      </c>
      <c r="J55" s="2707" t="str">
        <f>项目基本情况!F35</f>
        <v>河北省</v>
      </c>
      <c r="K55" s="2708" t="s">
        <v>2764</v>
      </c>
      <c r="L55" s="1106"/>
      <c r="M55" s="1144"/>
      <c r="N55" s="1144"/>
      <c r="O55" s="1144"/>
    </row>
    <row r="56" spans="1:15" s="692" customFormat="1">
      <c r="A56" s="688" t="s">
        <v>2765</v>
      </c>
      <c r="B56" s="689" t="e">
        <f>C48</f>
        <v>#DIV/0!</v>
      </c>
      <c r="C56" s="690">
        <v>1</v>
      </c>
      <c r="D56" s="1163">
        <v>1</v>
      </c>
      <c r="E56" s="690">
        <f>'数据-汇总表'!E8+'数据-汇总表'!E9</f>
        <v>6031.39</v>
      </c>
      <c r="F56" s="1103" t="e">
        <f t="shared" ref="F56:F65" si="15">ROUND(B56*E56/10000,0)</f>
        <v>#DIV/0!</v>
      </c>
      <c r="G56" s="3185"/>
      <c r="H56" s="3203"/>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33"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33"/>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33"/>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33"/>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9"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9" t="s">
        <v>2767</v>
      </c>
      <c r="H64" s="1104">
        <f>项目基本情况!B37</f>
        <v>0</v>
      </c>
      <c r="I64" s="1108">
        <f>SUMIF(修正!A45:A56,H64,修正!H45:H56)</f>
        <v>0</v>
      </c>
      <c r="J64" s="1112"/>
      <c r="K64" s="1145"/>
      <c r="L64" s="941"/>
      <c r="M64" s="941"/>
      <c r="N64" s="941"/>
      <c r="O64" s="941"/>
    </row>
    <row r="65" spans="1:17" s="692" customFormat="1" ht="14.4" thickBot="1">
      <c r="A65" s="693" t="s">
        <v>2778</v>
      </c>
      <c r="B65" s="262" t="e">
        <f t="shared" si="17"/>
        <v>#DIV/0!</v>
      </c>
      <c r="C65" s="200">
        <f t="shared" si="16"/>
        <v>0</v>
      </c>
      <c r="D65" s="1164">
        <v>0.25</v>
      </c>
      <c r="E65" s="261">
        <f>'数据-汇总表'!E15</f>
        <v>0</v>
      </c>
      <c r="F65" s="1103" t="e">
        <f t="shared" si="15"/>
        <v>#DIV/0!</v>
      </c>
      <c r="G65" s="2710" t="s">
        <v>2772</v>
      </c>
      <c r="H65" s="1114">
        <f>项目基本情况!C37</f>
        <v>0</v>
      </c>
      <c r="I65" s="1110">
        <f>SUMIF(修正!A45:A56,H65,修正!H45:H56)</f>
        <v>0</v>
      </c>
      <c r="J65" s="1113"/>
      <c r="K65" s="1144"/>
      <c r="L65" s="941"/>
      <c r="M65" s="941"/>
      <c r="N65" s="941"/>
      <c r="O65" s="941"/>
    </row>
    <row r="66" spans="1:17" s="692" customFormat="1" thickBot="1">
      <c r="A66" s="695" t="s">
        <v>2779</v>
      </c>
      <c r="B66" s="696" t="s">
        <v>28</v>
      </c>
      <c r="C66" s="696" t="s">
        <v>29</v>
      </c>
      <c r="D66" s="696" t="s">
        <v>1025</v>
      </c>
      <c r="E66" s="696">
        <f>IF(B46="楼面地价",SUM(E56:E65),'数据-汇总表'!D3)</f>
        <v>6031.39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2.2" thickBot="1">
      <c r="A69" s="763" t="s">
        <v>2672</v>
      </c>
      <c r="B69" s="759"/>
      <c r="C69" s="764"/>
      <c r="D69" s="764"/>
      <c r="E69" s="764"/>
      <c r="F69" s="765"/>
      <c r="G69" s="765"/>
      <c r="H69" s="764"/>
      <c r="I69" s="764"/>
      <c r="J69" s="1159"/>
      <c r="K69" s="1160"/>
      <c r="L69" s="1161"/>
      <c r="M69" s="1159"/>
      <c r="N69" s="1159"/>
      <c r="O69" s="1159"/>
      <c r="P69" s="503"/>
      <c r="Q69" s="504"/>
    </row>
    <row r="70" spans="1:17" s="508" customFormat="1" ht="14.4">
      <c r="A70" s="2711" t="s">
        <v>2780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2"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 thickBot="1">
      <c r="A72" s="515" t="s">
        <v>2583</v>
      </c>
      <c r="B72" s="516"/>
      <c r="C72" s="517"/>
      <c r="D72" s="518"/>
      <c r="E72" s="518"/>
      <c r="F72" s="518"/>
      <c r="G72" s="518"/>
      <c r="H72" s="518"/>
      <c r="I72" s="518"/>
      <c r="J72" s="518"/>
      <c r="K72" s="518"/>
      <c r="L72" s="518"/>
      <c r="M72" s="519"/>
      <c r="N72" s="518"/>
      <c r="O72" s="1162"/>
      <c r="P72" s="504"/>
      <c r="Q72" s="504"/>
    </row>
    <row r="73" spans="1:17" s="117" customFormat="1" ht="14.4">
      <c r="A73" s="521" t="s">
        <v>2548</v>
      </c>
      <c r="B73" s="510"/>
      <c r="C73" s="522" t="s">
        <v>2650</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2586</v>
      </c>
      <c r="B75" s="528" t="s">
        <v>2552</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2555</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2689</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2748</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109" sqref="D109:G109"/>
    </sheetView>
  </sheetViews>
  <sheetFormatPr defaultColWidth="9" defaultRowHeight="13.8"/>
  <cols>
    <col min="1" max="1" width="14.33203125" style="403" customWidth="1"/>
    <col min="2" max="2" width="15.77734375" style="403" customWidth="1"/>
    <col min="3" max="3" width="15.886718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535</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887</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6" t="s">
        <v>2644</v>
      </c>
      <c r="D4" s="3187"/>
      <c r="E4" s="3188" t="s">
        <v>2645</v>
      </c>
      <c r="F4" s="3189"/>
      <c r="G4" s="3186" t="s">
        <v>2646</v>
      </c>
      <c r="H4" s="3187"/>
      <c r="I4" s="3186" t="s">
        <v>2647</v>
      </c>
      <c r="J4" s="3187"/>
      <c r="K4" s="610" t="s">
        <v>2648</v>
      </c>
      <c r="L4" s="1130"/>
      <c r="M4" s="1131"/>
      <c r="N4" s="1131"/>
      <c r="O4" s="1131"/>
      <c r="P4" s="3190" t="s">
        <v>2649</v>
      </c>
      <c r="Q4" s="3191"/>
      <c r="R4" s="3173" t="s">
        <v>2645</v>
      </c>
      <c r="S4" s="3174"/>
      <c r="T4" s="3173" t="s">
        <v>2646</v>
      </c>
      <c r="U4" s="3174"/>
      <c r="V4" s="3198" t="s">
        <v>2647</v>
      </c>
      <c r="W4" s="3198"/>
      <c r="X4" s="1813"/>
      <c r="Y4" s="3173" t="s">
        <v>2649</v>
      </c>
      <c r="Z4" s="3174"/>
      <c r="AA4" s="3168" t="s">
        <v>2645</v>
      </c>
      <c r="AB4" s="3169" t="s">
        <v>2646</v>
      </c>
      <c r="AC4" s="3168" t="s">
        <v>2647</v>
      </c>
    </row>
    <row r="5" spans="1:29">
      <c r="A5" s="404"/>
      <c r="B5" s="405"/>
      <c r="C5" s="3179" t="s">
        <v>2540</v>
      </c>
      <c r="D5" s="3180"/>
      <c r="E5" s="3177" t="str">
        <f>案例!A4</f>
        <v>沧州临港经济技术开发区西区,东至经七路,西至河北美信制药有限公司用地,北至国有空地,南至支二路</v>
      </c>
      <c r="F5" s="3178"/>
      <c r="G5" s="3179" t="str">
        <f>案例!A6</f>
        <v>沧州临港经济技术开发区西区,东至国有空地,南至沧州临港上元商砼有限公司用地,西至经三路,北至国有空地</v>
      </c>
      <c r="H5" s="3180"/>
      <c r="I5" s="3179" t="str">
        <f>案例!A9</f>
        <v>沧州临港经济技术开发区西区,北至河北临港化工有限公司,南至河北临港化工有限公司、河北捷虹颜料化工有限公司,西至经一路,东至河北临港化工有限公司用地。</v>
      </c>
      <c r="J5" s="3180"/>
      <c r="K5" s="610"/>
      <c r="L5" s="1130"/>
      <c r="M5" s="1131"/>
      <c r="N5" s="1131"/>
      <c r="O5" s="1131"/>
      <c r="P5" s="3192"/>
      <c r="Q5" s="3193"/>
      <c r="R5" s="3175"/>
      <c r="S5" s="3176"/>
      <c r="T5" s="3175"/>
      <c r="U5" s="3176"/>
      <c r="V5" s="3198"/>
      <c r="W5" s="3198"/>
      <c r="X5" s="1813"/>
      <c r="Y5" s="3175"/>
      <c r="Z5" s="3176"/>
      <c r="AA5" s="3169"/>
      <c r="AB5" s="3169"/>
      <c r="AC5" s="3169"/>
    </row>
    <row r="6" spans="1:29" ht="15" thickBot="1">
      <c r="A6" s="406"/>
      <c r="B6" s="407"/>
      <c r="C6" s="3234" t="s">
        <v>2795</v>
      </c>
      <c r="D6" s="3235"/>
      <c r="E6" s="3236" t="s">
        <v>2795</v>
      </c>
      <c r="F6" s="3237"/>
      <c r="G6" s="3234" t="s">
        <v>2795</v>
      </c>
      <c r="H6" s="3235"/>
      <c r="I6" s="3234" t="s">
        <v>2795</v>
      </c>
      <c r="J6" s="3235"/>
      <c r="K6" s="610" t="s">
        <v>2545</v>
      </c>
      <c r="L6" s="1130"/>
      <c r="M6" s="1131"/>
      <c r="N6" s="1131"/>
      <c r="O6" s="1131"/>
      <c r="P6" s="3194"/>
      <c r="Q6" s="3195"/>
      <c r="R6" s="3175"/>
      <c r="S6" s="3176"/>
      <c r="T6" s="3196"/>
      <c r="U6" s="3197"/>
      <c r="V6" s="3198"/>
      <c r="W6" s="3198"/>
      <c r="X6" s="1813"/>
      <c r="Y6" s="3196"/>
      <c r="Z6" s="3197"/>
      <c r="AA6" s="3170"/>
      <c r="AB6" s="3170"/>
      <c r="AC6" s="3170"/>
    </row>
    <row r="7" spans="1:29" s="117" customFormat="1" ht="15" thickBot="1">
      <c r="A7" s="408" t="s">
        <v>2546</v>
      </c>
      <c r="B7" s="409"/>
      <c r="C7" s="410">
        <f>'数据-取费表'!B2</f>
        <v>43819</v>
      </c>
      <c r="D7" s="411">
        <v>100</v>
      </c>
      <c r="E7" s="412" t="str">
        <f>案例!AA4</f>
        <v>2019-09-25</v>
      </c>
      <c r="F7" s="413">
        <f>SUMIF(65:65,YEAR(E7)&amp;"-"&amp;INT((MONTH(E7)+2)/3),66:66)</f>
        <v>99.5</v>
      </c>
      <c r="G7" s="2696" t="str">
        <f>案例!AA6</f>
        <v>2019-07-24</v>
      </c>
      <c r="H7" s="411">
        <f>SUMIF(65:65,YEAR(G7)&amp;"-"&amp;INT((MONTH(G7)+2)/3),66:66)</f>
        <v>99.5</v>
      </c>
      <c r="I7" s="2696" t="str">
        <f>案例!AA9</f>
        <v>2019-02-22</v>
      </c>
      <c r="J7" s="411">
        <f>SUMIF(65:65,YEAR(I7)&amp;"-"&amp;INT((MONTH(I7)+2)/3),66:66)</f>
        <v>98.5</v>
      </c>
      <c r="K7" s="611"/>
      <c r="L7" s="1132"/>
      <c r="M7" s="1133"/>
      <c r="N7" s="1133"/>
      <c r="O7" s="1133"/>
      <c r="P7" s="3171" t="s">
        <v>2547</v>
      </c>
      <c r="Q7" s="3199"/>
      <c r="R7" s="770" t="s">
        <v>17</v>
      </c>
      <c r="S7" s="771">
        <f t="shared" ref="S7:S15" si="0">F7</f>
        <v>99.5</v>
      </c>
      <c r="T7" s="770" t="s">
        <v>17</v>
      </c>
      <c r="U7" s="771">
        <f t="shared" ref="U7:U15" si="1">H7</f>
        <v>99.5</v>
      </c>
      <c r="V7" s="770" t="s">
        <v>17</v>
      </c>
      <c r="W7" s="771">
        <f t="shared" ref="W7:W15" si="2">J7</f>
        <v>98.5</v>
      </c>
      <c r="X7" s="772"/>
      <c r="Y7" s="3171" t="s">
        <v>2547</v>
      </c>
      <c r="Z7" s="3172"/>
      <c r="AA7" s="773">
        <f>D7/F7</f>
        <v>1.0050251256281406</v>
      </c>
      <c r="AB7" s="773">
        <f>D7/H7</f>
        <v>1.0050251256281406</v>
      </c>
      <c r="AC7" s="773">
        <f>D7/J7</f>
        <v>1.015228426395939</v>
      </c>
    </row>
    <row r="8" spans="1:29" s="117" customFormat="1" ht="15" thickBot="1">
      <c r="A8" s="408" t="s">
        <v>2548</v>
      </c>
      <c r="B8" s="409"/>
      <c r="C8" s="414" t="s">
        <v>2549</v>
      </c>
      <c r="D8" s="411">
        <v>100</v>
      </c>
      <c r="E8" s="414" t="s">
        <v>2549</v>
      </c>
      <c r="F8" s="413">
        <f>SUMIF(68:68,E8,69:69)-SUMIF(68:68,C8,69:69)+100</f>
        <v>100</v>
      </c>
      <c r="G8" s="414" t="s">
        <v>2549</v>
      </c>
      <c r="H8" s="411">
        <f>SUMIF(68:68,G8,69:69)-SUMIF(68:68,C8,69:69)+100</f>
        <v>100</v>
      </c>
      <c r="I8" s="414" t="s">
        <v>2549</v>
      </c>
      <c r="J8" s="411">
        <f>SUMIF(68:68,I8,69:69)-SUMIF(68:68,C8,69:69)+100</f>
        <v>100</v>
      </c>
      <c r="K8" s="611"/>
      <c r="L8" s="1132"/>
      <c r="M8" s="1133"/>
      <c r="N8" s="1133"/>
      <c r="O8" s="1133"/>
      <c r="P8" s="3171" t="s">
        <v>2550</v>
      </c>
      <c r="Q8" s="3172"/>
      <c r="R8" s="770" t="s">
        <v>17</v>
      </c>
      <c r="S8" s="771">
        <f t="shared" si="0"/>
        <v>100</v>
      </c>
      <c r="T8" s="770" t="s">
        <v>17</v>
      </c>
      <c r="U8" s="771">
        <f t="shared" si="1"/>
        <v>100</v>
      </c>
      <c r="V8" s="770" t="s">
        <v>17</v>
      </c>
      <c r="W8" s="771">
        <f t="shared" si="2"/>
        <v>100</v>
      </c>
      <c r="X8" s="772"/>
      <c r="Y8" s="3171" t="s">
        <v>2550</v>
      </c>
      <c r="Z8" s="3172"/>
      <c r="AA8" s="773">
        <f t="shared" ref="AA8:AA40" si="3">D8/F8</f>
        <v>1</v>
      </c>
      <c r="AB8" s="773">
        <f t="shared" ref="AB8:AB40" si="4">D8/H8</f>
        <v>1</v>
      </c>
      <c r="AC8" s="773">
        <f t="shared" ref="AC8:AC40" si="5">D8/J8</f>
        <v>1</v>
      </c>
    </row>
    <row r="9" spans="1:29" s="117" customFormat="1" ht="14.4">
      <c r="A9" s="415" t="s">
        <v>2551</v>
      </c>
      <c r="B9" s="71" t="s">
        <v>2552</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2"/>
      <c r="M9" s="1133"/>
      <c r="N9" s="1133"/>
      <c r="O9" s="1134"/>
      <c r="P9" s="3203" t="s">
        <v>2553</v>
      </c>
      <c r="Q9" s="1795"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03"/>
      <c r="Q10" s="1795" t="str">
        <f t="shared" si="6"/>
        <v>土地使用年限（年）</v>
      </c>
      <c r="R10" s="770" t="s">
        <v>17</v>
      </c>
      <c r="S10" s="771">
        <f t="shared" si="0"/>
        <v>102</v>
      </c>
      <c r="T10" s="770" t="s">
        <v>17</v>
      </c>
      <c r="U10" s="771">
        <f t="shared" si="1"/>
        <v>102</v>
      </c>
      <c r="V10" s="770" t="s">
        <v>17</v>
      </c>
      <c r="W10" s="771">
        <f t="shared" si="2"/>
        <v>102</v>
      </c>
      <c r="X10" s="772"/>
      <c r="Y10" s="3018"/>
      <c r="Z10" s="55" t="str">
        <f t="shared" si="7"/>
        <v>土地使用年限（年）</v>
      </c>
      <c r="AA10" s="773">
        <f t="shared" si="3"/>
        <v>0.98039215686274506</v>
      </c>
      <c r="AB10" s="773">
        <f t="shared" si="4"/>
        <v>0.98039215686274506</v>
      </c>
      <c r="AC10" s="773">
        <f t="shared" si="5"/>
        <v>0.98039215686274506</v>
      </c>
    </row>
    <row r="11" spans="1:29" ht="15">
      <c r="A11" s="428"/>
      <c r="B11" s="422" t="s">
        <v>2556</v>
      </c>
      <c r="C11" s="429">
        <f>'数据-汇总表'!I6</f>
        <v>0.22</v>
      </c>
      <c r="D11" s="136">
        <v>100</v>
      </c>
      <c r="E11" s="429">
        <v>1.1000000000000001</v>
      </c>
      <c r="F11" s="136">
        <f>LOOKUP(E11,75:75,76:76)-LOOKUP(C11,75:75,76:76)+100</f>
        <v>104</v>
      </c>
      <c r="G11" s="430">
        <v>1.2</v>
      </c>
      <c r="H11" s="136">
        <f>LOOKUP(G11,75:75,76:76)-LOOKUP(C11,75:75,76:76)+100</f>
        <v>104</v>
      </c>
      <c r="I11" s="429">
        <v>1</v>
      </c>
      <c r="J11" s="136">
        <f>LOOKUP(I11,75:75,76:76)-LOOKUP(C11,75:75,76:76)+100</f>
        <v>104</v>
      </c>
      <c r="K11" s="673">
        <v>2</v>
      </c>
      <c r="L11" s="1138"/>
      <c r="M11" s="1131"/>
      <c r="N11" s="1131"/>
      <c r="O11" s="1139"/>
      <c r="P11" s="3203"/>
      <c r="Q11" s="1795" t="str">
        <f t="shared" si="6"/>
        <v>容积率</v>
      </c>
      <c r="R11" s="770" t="s">
        <v>17</v>
      </c>
      <c r="S11" s="771">
        <f t="shared" si="0"/>
        <v>104</v>
      </c>
      <c r="T11" s="770" t="s">
        <v>17</v>
      </c>
      <c r="U11" s="771">
        <f t="shared" si="1"/>
        <v>104</v>
      </c>
      <c r="V11" s="770" t="s">
        <v>17</v>
      </c>
      <c r="W11" s="771">
        <f t="shared" si="2"/>
        <v>104</v>
      </c>
      <c r="X11" s="772"/>
      <c r="Y11" s="3018"/>
      <c r="Z11" s="55" t="str">
        <f t="shared" si="7"/>
        <v>容积率</v>
      </c>
      <c r="AA11" s="773">
        <f t="shared" si="3"/>
        <v>0.96153846153846156</v>
      </c>
      <c r="AB11" s="773">
        <f t="shared" si="4"/>
        <v>0.96153846153846156</v>
      </c>
      <c r="AC11" s="773">
        <f t="shared" si="5"/>
        <v>0.96153846153846156</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69">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2558</v>
      </c>
      <c r="Q15" s="1810" t="str">
        <f t="shared" si="6"/>
        <v>产业集聚程度</v>
      </c>
      <c r="R15" s="774" t="s">
        <v>17</v>
      </c>
      <c r="S15" s="775">
        <f t="shared" si="0"/>
        <v>100</v>
      </c>
      <c r="T15" s="774" t="s">
        <v>17</v>
      </c>
      <c r="U15" s="775">
        <f t="shared" si="1"/>
        <v>100</v>
      </c>
      <c r="V15" s="774" t="s">
        <v>17</v>
      </c>
      <c r="W15" s="775">
        <f t="shared" si="2"/>
        <v>100</v>
      </c>
      <c r="X15" s="1813"/>
      <c r="Y15" s="3205"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96.6">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28.8">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10" t="str">
        <f t="shared" ref="Q19:Q33" si="8">B19</f>
        <v>区域土地利用方向</v>
      </c>
      <c r="R19" s="774" t="s">
        <v>17</v>
      </c>
      <c r="S19" s="775">
        <f>F19</f>
        <v>100</v>
      </c>
      <c r="T19" s="774" t="s">
        <v>17</v>
      </c>
      <c r="U19" s="775">
        <f>H19</f>
        <v>100</v>
      </c>
      <c r="V19" s="774" t="s">
        <v>17</v>
      </c>
      <c r="W19" s="775">
        <f>J19</f>
        <v>100</v>
      </c>
      <c r="X19" s="1813"/>
      <c r="Y19" s="3206"/>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06"/>
      <c r="Q20" s="1810"/>
      <c r="R20" s="774"/>
      <c r="S20" s="775"/>
      <c r="T20" s="774"/>
      <c r="U20" s="775"/>
      <c r="V20" s="774"/>
      <c r="W20" s="775"/>
      <c r="X20" s="1813"/>
      <c r="Y20" s="3206"/>
      <c r="Z20" s="1814"/>
      <c r="AA20" s="1811"/>
      <c r="AB20" s="1811"/>
      <c r="AC20" s="1811"/>
    </row>
    <row r="21" spans="1:29" ht="82.8">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10" t="str">
        <f t="shared" si="8"/>
        <v>环境状况</v>
      </c>
      <c r="R21" s="774" t="s">
        <v>17</v>
      </c>
      <c r="S21" s="775">
        <f>F21</f>
        <v>100</v>
      </c>
      <c r="T21" s="774" t="s">
        <v>17</v>
      </c>
      <c r="U21" s="775">
        <f>H21</f>
        <v>100</v>
      </c>
      <c r="V21" s="774" t="s">
        <v>17</v>
      </c>
      <c r="W21" s="775">
        <f>J21</f>
        <v>100</v>
      </c>
      <c r="X21" s="1813"/>
      <c r="Y21" s="3206"/>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s="117" customFormat="1" ht="41.4">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5" t="str">
        <f t="shared" si="8"/>
        <v>公共配套设施</v>
      </c>
      <c r="R23" s="770" t="s">
        <v>17</v>
      </c>
      <c r="S23" s="771">
        <f>F23</f>
        <v>100</v>
      </c>
      <c r="T23" s="770" t="s">
        <v>17</v>
      </c>
      <c r="U23" s="771">
        <f>H23</f>
        <v>100</v>
      </c>
      <c r="V23" s="770" t="s">
        <v>17</v>
      </c>
      <c r="W23" s="771">
        <f>J23</f>
        <v>100</v>
      </c>
      <c r="X23" s="772"/>
      <c r="Y23" s="3206"/>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06"/>
      <c r="Q24" s="1795"/>
      <c r="R24" s="770"/>
      <c r="S24" s="771"/>
      <c r="T24" s="770"/>
      <c r="U24" s="771"/>
      <c r="V24" s="770"/>
      <c r="W24" s="771"/>
      <c r="X24" s="772"/>
      <c r="Y24" s="3206"/>
      <c r="Z24" s="55"/>
      <c r="AA24" s="773">
        <v>1</v>
      </c>
      <c r="AB24" s="773">
        <v>1</v>
      </c>
      <c r="AC24" s="773">
        <v>1</v>
      </c>
    </row>
    <row r="25" spans="1:29" s="117" customFormat="1" ht="41.4">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5"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06"/>
      <c r="Q26" s="1795"/>
      <c r="R26" s="770"/>
      <c r="S26" s="771"/>
      <c r="T26" s="770"/>
      <c r="U26" s="771"/>
      <c r="V26" s="770"/>
      <c r="W26" s="771"/>
      <c r="X26" s="772"/>
      <c r="Y26" s="320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6"/>
      <c r="Z27" s="1814" t="str">
        <f t="shared" ref="Z27:Z40" si="13">Q27</f>
        <v>临街状况</v>
      </c>
      <c r="AA27" s="1811">
        <f t="shared" si="3"/>
        <v>1</v>
      </c>
      <c r="AB27" s="1811">
        <f t="shared" si="4"/>
        <v>1</v>
      </c>
      <c r="AC27" s="1811">
        <f t="shared" si="5"/>
        <v>1</v>
      </c>
    </row>
    <row r="28" spans="1:29" ht="28.8">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10" t="str">
        <f t="shared" si="8"/>
        <v>毗邻道路的类型与等级</v>
      </c>
      <c r="R28" s="774" t="s">
        <v>17</v>
      </c>
      <c r="S28" s="775">
        <f t="shared" si="10"/>
        <v>100</v>
      </c>
      <c r="T28" s="774" t="s">
        <v>17</v>
      </c>
      <c r="U28" s="775">
        <f t="shared" si="11"/>
        <v>100</v>
      </c>
      <c r="V28" s="774" t="s">
        <v>17</v>
      </c>
      <c r="W28" s="775">
        <f t="shared" si="12"/>
        <v>100</v>
      </c>
      <c r="X28" s="1813"/>
      <c r="Y28" s="3206"/>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06"/>
      <c r="Q29" s="1810"/>
      <c r="R29" s="774"/>
      <c r="S29" s="775"/>
      <c r="T29" s="774"/>
      <c r="U29" s="775"/>
      <c r="V29" s="774"/>
      <c r="W29" s="775"/>
      <c r="X29" s="1813"/>
      <c r="Y29" s="3206"/>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10" t="str">
        <f t="shared" si="8"/>
        <v>土地级别</v>
      </c>
      <c r="R30" s="774" t="s">
        <v>17</v>
      </c>
      <c r="S30" s="775">
        <f t="shared" si="10"/>
        <v>100</v>
      </c>
      <c r="T30" s="774" t="s">
        <v>17</v>
      </c>
      <c r="U30" s="775">
        <f t="shared" si="11"/>
        <v>100</v>
      </c>
      <c r="V30" s="774" t="s">
        <v>17</v>
      </c>
      <c r="W30" s="775">
        <f t="shared" si="12"/>
        <v>100</v>
      </c>
      <c r="X30" s="1813"/>
      <c r="Y30" s="3206"/>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10">
        <f t="shared" si="8"/>
        <v>111</v>
      </c>
      <c r="R31" s="774" t="s">
        <v>17</v>
      </c>
      <c r="S31" s="775">
        <f t="shared" si="10"/>
        <v>100</v>
      </c>
      <c r="T31" s="774" t="s">
        <v>17</v>
      </c>
      <c r="U31" s="775">
        <f t="shared" si="11"/>
        <v>100</v>
      </c>
      <c r="V31" s="774" t="s">
        <v>17</v>
      </c>
      <c r="W31" s="775">
        <f t="shared" si="12"/>
        <v>100</v>
      </c>
      <c r="X31" s="1813"/>
      <c r="Y31" s="3206"/>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9" t="s">
        <v>2563</v>
      </c>
      <c r="Q32" s="1810">
        <f t="shared" si="8"/>
        <v>111</v>
      </c>
      <c r="R32" s="774" t="s">
        <v>17</v>
      </c>
      <c r="S32" s="775">
        <f t="shared" si="10"/>
        <v>100</v>
      </c>
      <c r="T32" s="774" t="s">
        <v>17</v>
      </c>
      <c r="U32" s="775">
        <f t="shared" si="11"/>
        <v>100</v>
      </c>
      <c r="V32" s="774" t="s">
        <v>17</v>
      </c>
      <c r="W32" s="775">
        <f t="shared" si="12"/>
        <v>100</v>
      </c>
      <c r="X32" s="1813"/>
      <c r="Y32" s="3210" t="s">
        <v>2563</v>
      </c>
      <c r="Z32" s="1814">
        <f t="shared" si="13"/>
        <v>111</v>
      </c>
      <c r="AA32" s="1811">
        <f t="shared" si="3"/>
        <v>1</v>
      </c>
      <c r="AB32" s="1811">
        <f t="shared" si="4"/>
        <v>1</v>
      </c>
      <c r="AC32" s="1811">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0"/>
      <c r="Q33" s="1810">
        <f t="shared" si="8"/>
        <v>111</v>
      </c>
      <c r="R33" s="777" t="s">
        <v>17</v>
      </c>
      <c r="S33" s="778">
        <f t="shared" si="10"/>
        <v>100</v>
      </c>
      <c r="T33" s="777" t="s">
        <v>17</v>
      </c>
      <c r="U33" s="778">
        <f t="shared" si="11"/>
        <v>100</v>
      </c>
      <c r="V33" s="777" t="s">
        <v>17</v>
      </c>
      <c r="W33" s="778">
        <f t="shared" si="12"/>
        <v>100</v>
      </c>
      <c r="X33" s="779"/>
      <c r="Y33" s="3210"/>
      <c r="Z33" s="780">
        <f t="shared" si="13"/>
        <v>111</v>
      </c>
      <c r="AA33" s="1811">
        <f t="shared" si="3"/>
        <v>1</v>
      </c>
      <c r="AB33" s="1811">
        <f t="shared" si="4"/>
        <v>1</v>
      </c>
      <c r="AC33" s="1811">
        <f t="shared" si="5"/>
        <v>1</v>
      </c>
    </row>
    <row r="34" spans="1:29" ht="15">
      <c r="A34" s="440" t="s">
        <v>2561</v>
      </c>
      <c r="B34" s="456" t="s">
        <v>2749</v>
      </c>
      <c r="C34" s="679">
        <f>'数据-汇总表'!D3</f>
        <v>27999.91</v>
      </c>
      <c r="D34" s="467">
        <v>100</v>
      </c>
      <c r="E34" s="679">
        <f>案例!J4</f>
        <v>64002.66</v>
      </c>
      <c r="F34" s="467">
        <f>LOOKUP(E34,108:108,109:109)-LOOKUP(C34,108:108,109:109)+100</f>
        <v>104</v>
      </c>
      <c r="G34" s="679">
        <f>案例!J6</f>
        <v>35065.449999999997</v>
      </c>
      <c r="H34" s="467">
        <f>LOOKUP(G34,108:108,109:109)-LOOKUP(C34,108:108,109:109)+100</f>
        <v>100</v>
      </c>
      <c r="I34" s="530">
        <f>案例!J10</f>
        <v>53323.199999999997</v>
      </c>
      <c r="J34" s="467">
        <f>LOOKUP(I34,108:108,109:109)-LOOKUP(C34,108:108,109:109)+100</f>
        <v>102</v>
      </c>
      <c r="K34" s="613"/>
      <c r="L34" s="1140"/>
      <c r="M34" s="1131"/>
      <c r="N34" s="1131"/>
      <c r="O34" s="1139"/>
      <c r="P34" s="3210"/>
      <c r="Q34" s="1810" t="str">
        <f>B34</f>
        <v>宗地面积</v>
      </c>
      <c r="R34" s="774" t="s">
        <v>17</v>
      </c>
      <c r="S34" s="775">
        <f t="shared" si="10"/>
        <v>104</v>
      </c>
      <c r="T34" s="774" t="s">
        <v>17</v>
      </c>
      <c r="U34" s="775">
        <f t="shared" si="11"/>
        <v>100</v>
      </c>
      <c r="V34" s="774" t="s">
        <v>17</v>
      </c>
      <c r="W34" s="775">
        <f t="shared" si="12"/>
        <v>102</v>
      </c>
      <c r="X34" s="1813"/>
      <c r="Y34" s="3210"/>
      <c r="Z34" s="1814" t="str">
        <f t="shared" si="13"/>
        <v>宗地面积</v>
      </c>
      <c r="AA34" s="1811">
        <f t="shared" si="3"/>
        <v>0.96153846153846156</v>
      </c>
      <c r="AB34" s="1811">
        <f t="shared" si="4"/>
        <v>1</v>
      </c>
      <c r="AC34" s="1811">
        <f t="shared" si="5"/>
        <v>0.98039215686274506</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0"/>
      <c r="Q35" s="1810" t="str">
        <f t="shared" ref="Q35:Q40" si="14">B35</f>
        <v>宗地形状</v>
      </c>
      <c r="R35" s="774" t="s">
        <v>17</v>
      </c>
      <c r="S35" s="775">
        <f t="shared" si="10"/>
        <v>100</v>
      </c>
      <c r="T35" s="774" t="s">
        <v>17</v>
      </c>
      <c r="U35" s="775">
        <f t="shared" si="11"/>
        <v>100</v>
      </c>
      <c r="V35" s="774" t="s">
        <v>17</v>
      </c>
      <c r="W35" s="775">
        <f t="shared" si="12"/>
        <v>100</v>
      </c>
      <c r="X35" s="1813"/>
      <c r="Y35" s="3210"/>
      <c r="Z35" s="1814" t="str">
        <f t="shared" si="13"/>
        <v>宗地形状</v>
      </c>
      <c r="AA35" s="1811">
        <f t="shared" si="3"/>
        <v>1</v>
      </c>
      <c r="AB35" s="1811">
        <f t="shared" si="4"/>
        <v>1</v>
      </c>
      <c r="AC35" s="1811">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0"/>
      <c r="Q36" s="1810"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0" t="s">
        <v>2563</v>
      </c>
      <c r="Q37" s="1810" t="str">
        <f t="shared" si="14"/>
        <v>工程地质条件</v>
      </c>
      <c r="R37" s="774" t="s">
        <v>17</v>
      </c>
      <c r="S37" s="775">
        <f t="shared" si="10"/>
        <v>100</v>
      </c>
      <c r="T37" s="774" t="s">
        <v>17</v>
      </c>
      <c r="U37" s="775">
        <f t="shared" si="11"/>
        <v>100</v>
      </c>
      <c r="V37" s="774" t="s">
        <v>17</v>
      </c>
      <c r="W37" s="775">
        <f t="shared" si="12"/>
        <v>100</v>
      </c>
      <c r="X37" s="1813"/>
      <c r="Y37" s="3210"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0"/>
      <c r="Q38" s="1810">
        <f t="shared" si="14"/>
        <v>111</v>
      </c>
      <c r="R38" s="774" t="s">
        <v>17</v>
      </c>
      <c r="S38" s="775">
        <f t="shared" si="10"/>
        <v>100</v>
      </c>
      <c r="T38" s="774" t="s">
        <v>17</v>
      </c>
      <c r="U38" s="775">
        <f t="shared" si="11"/>
        <v>100</v>
      </c>
      <c r="V38" s="774" t="s">
        <v>17</v>
      </c>
      <c r="W38" s="775">
        <f t="shared" si="12"/>
        <v>100</v>
      </c>
      <c r="X38" s="1813"/>
      <c r="Y38" s="321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0"/>
      <c r="Q39" s="1810">
        <f t="shared" si="14"/>
        <v>111</v>
      </c>
      <c r="R39" s="774" t="s">
        <v>17</v>
      </c>
      <c r="S39" s="775">
        <f t="shared" si="10"/>
        <v>100</v>
      </c>
      <c r="T39" s="774" t="s">
        <v>17</v>
      </c>
      <c r="U39" s="775">
        <f t="shared" si="11"/>
        <v>100</v>
      </c>
      <c r="V39" s="774" t="s">
        <v>17</v>
      </c>
      <c r="W39" s="775">
        <f t="shared" si="12"/>
        <v>100</v>
      </c>
      <c r="X39" s="1813"/>
      <c r="Y39" s="3210"/>
      <c r="Z39" s="1814">
        <f t="shared" si="13"/>
        <v>111</v>
      </c>
      <c r="AA39" s="1811">
        <f t="shared" si="3"/>
        <v>1</v>
      </c>
      <c r="AB39" s="1811">
        <f t="shared" si="4"/>
        <v>1</v>
      </c>
      <c r="AC39" s="1811">
        <f t="shared" si="5"/>
        <v>1</v>
      </c>
    </row>
    <row r="40" spans="1:29" s="471" customFormat="1" ht="15.6"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0"/>
      <c r="Q40" s="1810">
        <f t="shared" si="14"/>
        <v>111</v>
      </c>
      <c r="R40" s="777" t="s">
        <v>17</v>
      </c>
      <c r="S40" s="778">
        <f t="shared" si="10"/>
        <v>100</v>
      </c>
      <c r="T40" s="777" t="s">
        <v>17</v>
      </c>
      <c r="U40" s="778">
        <f t="shared" si="11"/>
        <v>100</v>
      </c>
      <c r="V40" s="777" t="s">
        <v>17</v>
      </c>
      <c r="W40" s="778">
        <f t="shared" si="12"/>
        <v>100</v>
      </c>
      <c r="X40" s="779"/>
      <c r="Y40" s="3210"/>
      <c r="Z40" s="780">
        <f t="shared" si="13"/>
        <v>111</v>
      </c>
      <c r="AA40" s="1811">
        <f t="shared" si="3"/>
        <v>1</v>
      </c>
      <c r="AB40" s="1811">
        <f t="shared" si="4"/>
        <v>1</v>
      </c>
      <c r="AC40" s="1811">
        <f t="shared" si="5"/>
        <v>1</v>
      </c>
    </row>
    <row r="41" spans="1:29" ht="14.4">
      <c r="A41" s="479" t="s">
        <v>2718</v>
      </c>
      <c r="B41" s="2704" t="s">
        <v>3067</v>
      </c>
      <c r="C41" s="682" t="s">
        <v>1</v>
      </c>
      <c r="D41" s="481"/>
      <c r="E41" s="482">
        <v>205</v>
      </c>
      <c r="F41" s="483"/>
      <c r="G41" s="484">
        <v>205</v>
      </c>
      <c r="H41" s="485"/>
      <c r="I41" s="482">
        <v>205</v>
      </c>
      <c r="J41" s="485"/>
      <c r="K41" s="783"/>
      <c r="L41" s="1143"/>
      <c r="M41" s="1131"/>
      <c r="N41" s="1131"/>
      <c r="O41" s="1144"/>
      <c r="P41" s="3203" t="str">
        <f>A41</f>
        <v>成交单价</v>
      </c>
      <c r="Q41" s="3203"/>
      <c r="R41" s="3198">
        <f>E41</f>
        <v>205</v>
      </c>
      <c r="S41" s="3198"/>
      <c r="T41" s="3198">
        <f>G41</f>
        <v>205</v>
      </c>
      <c r="U41" s="3198"/>
      <c r="V41" s="3198">
        <f>I41</f>
        <v>205</v>
      </c>
      <c r="W41" s="3198"/>
      <c r="X41" s="759"/>
      <c r="Y41" s="781"/>
      <c r="Z41" s="759"/>
      <c r="AA41" s="759"/>
      <c r="AB41" s="759"/>
      <c r="AC41" s="759"/>
    </row>
    <row r="42" spans="1:29" ht="15" thickBot="1">
      <c r="A42" s="486" t="s">
        <v>2667</v>
      </c>
      <c r="B42" s="683"/>
      <c r="C42" s="490">
        <f>R43</f>
        <v>191</v>
      </c>
      <c r="D42" s="489"/>
      <c r="E42" s="490">
        <f>R42</f>
        <v>187</v>
      </c>
      <c r="F42" s="491"/>
      <c r="G42" s="488">
        <f>T42</f>
        <v>194</v>
      </c>
      <c r="H42" s="489"/>
      <c r="I42" s="490">
        <f>V42</f>
        <v>192</v>
      </c>
      <c r="J42" s="489"/>
      <c r="K42" s="784"/>
      <c r="L42" s="1143"/>
      <c r="M42" s="1131"/>
      <c r="N42" s="1131"/>
      <c r="O42" s="1144"/>
      <c r="P42" s="3203" t="str">
        <f>A42</f>
        <v>比较价值（元/平方米）</v>
      </c>
      <c r="Q42" s="3203"/>
      <c r="R42" s="3230">
        <f>ROUND(PRODUCT(R41,AA7:AA40),0)</f>
        <v>187</v>
      </c>
      <c r="S42" s="3230"/>
      <c r="T42" s="3230">
        <f>ROUND(PRODUCT(T41,AB7:AB40),0)</f>
        <v>194</v>
      </c>
      <c r="U42" s="3230"/>
      <c r="V42" s="3230">
        <f>ROUND(PRODUCT(V41,AC7:AC40),0)</f>
        <v>192</v>
      </c>
      <c r="W42" s="3230"/>
      <c r="X42" s="759"/>
      <c r="Y42" s="759"/>
      <c r="Z42" s="759"/>
      <c r="AA42" s="759"/>
      <c r="AB42" s="759"/>
      <c r="AC42" s="759"/>
    </row>
    <row r="43" spans="1:29" ht="15" thickBot="1">
      <c r="A43" s="492" t="s">
        <v>2668</v>
      </c>
      <c r="B43" s="493"/>
      <c r="C43" s="494">
        <f>R43</f>
        <v>191</v>
      </c>
      <c r="D43" s="494"/>
      <c r="E43" s="494"/>
      <c r="F43" s="494"/>
      <c r="G43" s="494"/>
      <c r="H43" s="494"/>
      <c r="I43" s="494"/>
      <c r="J43" s="494"/>
      <c r="K43" s="785"/>
      <c r="L43" s="1143"/>
      <c r="M43" s="1131"/>
      <c r="N43" s="1131"/>
      <c r="O43" s="1144"/>
      <c r="P43" s="3200" t="str">
        <f>A43</f>
        <v>估价对象XX用房的比较价值（楼面单价，元/平方米）</v>
      </c>
      <c r="Q43" s="3201"/>
      <c r="R43" s="3231">
        <f>ROUND(AVERAGE(R42:V42),0)</f>
        <v>191</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f>IF(E41&lt;E42,E42/E41-1,E41/E42-1)</f>
        <v>9.625668449197855E-2</v>
      </c>
      <c r="F46" s="500" t="str">
        <f>IF(OR(E46&gt;=0.3,E46&lt;=-0.3),"超过30%","")</f>
        <v/>
      </c>
      <c r="G46" s="499">
        <f>IF(G41&lt;G42,G42/G41-1,G41/G42-1)</f>
        <v>5.6701030927835072E-2</v>
      </c>
      <c r="H46" s="500" t="str">
        <f>IF(OR(G46&gt;=0.3,G46&lt;=-0.3),"超过30%","")</f>
        <v/>
      </c>
      <c r="I46" s="499">
        <f>IF(I41&lt;I42,I42/I41-1,I41/I42-1)</f>
        <v>6.7708333333333259E-2</v>
      </c>
      <c r="J46" s="500" t="str">
        <f>IF(OR(I46&gt;=0.3,I46&lt;=-0.3),"超过30%","")</f>
        <v/>
      </c>
      <c r="K46" s="1105"/>
      <c r="L46" s="1106"/>
      <c r="M46" s="1131"/>
      <c r="N46" s="1131"/>
      <c r="O46" s="1144"/>
    </row>
    <row r="47" spans="1:29" ht="13.5" customHeight="1">
      <c r="A47" s="1144"/>
      <c r="B47" s="1144"/>
      <c r="C47" s="497" t="s">
        <v>2670</v>
      </c>
      <c r="D47" s="501"/>
      <c r="E47" s="499">
        <f>IF(E42&lt;G42,G42/E42-1,E42/G42-1)</f>
        <v>3.7433155080213831E-2</v>
      </c>
      <c r="F47" s="500" t="str">
        <f>IF(OR(E47&gt;=0.2,E47&lt;=-0.2),"超过20%","")</f>
        <v/>
      </c>
      <c r="G47" s="499">
        <f>IF(G42&lt;I42,I42/G42-1,G42/I42-1)</f>
        <v>1.0416666666666741E-2</v>
      </c>
      <c r="H47" s="500" t="str">
        <f>IF(OR(G47&gt;=0.2,G47&lt;=-0.2),"超过20%","")</f>
        <v/>
      </c>
      <c r="I47" s="499">
        <f>IF(I42&lt;E42,E42/I42-1,I42/E42-1)</f>
        <v>2.673796791443861E-2</v>
      </c>
      <c r="J47" s="500" t="str">
        <f>IF(OR(I47&gt;=0.2,I47&lt;=-0.2),"超过20%","")</f>
        <v/>
      </c>
      <c r="K47" s="1105"/>
      <c r="L47" s="1106"/>
      <c r="M47" s="1144"/>
      <c r="N47" s="1144"/>
      <c r="O47" s="1144"/>
    </row>
    <row r="48" spans="1:29" s="502" customFormat="1" ht="13.5" customHeight="1">
      <c r="A48" s="1145"/>
      <c r="B48" s="1145"/>
      <c r="C48" s="497" t="s">
        <v>2671</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705" t="s">
        <v>2758</v>
      </c>
      <c r="D50" s="2706" t="s">
        <v>2759</v>
      </c>
      <c r="E50" s="686" t="s">
        <v>2760</v>
      </c>
      <c r="F50" s="687" t="s">
        <v>2761</v>
      </c>
      <c r="G50" s="3186" t="s">
        <v>2762</v>
      </c>
      <c r="H50" s="3232"/>
      <c r="I50" s="1814" t="s">
        <v>2798</v>
      </c>
      <c r="J50" s="1814" t="str">
        <f>项目基本情况!F35</f>
        <v>河北省</v>
      </c>
      <c r="K50" s="2708" t="s">
        <v>2764</v>
      </c>
      <c r="L50" s="1106"/>
      <c r="M50" s="1144"/>
      <c r="N50" s="1144"/>
      <c r="O50" s="1144"/>
    </row>
    <row r="51" spans="1:17" s="692" customFormat="1">
      <c r="A51" s="688" t="s">
        <v>2765</v>
      </c>
      <c r="B51" s="689">
        <f>C43</f>
        <v>191</v>
      </c>
      <c r="C51" s="690">
        <v>1</v>
      </c>
      <c r="D51" s="1163">
        <v>1</v>
      </c>
      <c r="E51" s="690">
        <f>'数据-汇总表'!E8+'数据-汇总表'!E9</f>
        <v>6031.39</v>
      </c>
      <c r="F51" s="691">
        <f t="shared" ref="F51:F60" si="15">ROUND(B51*E51/10000,0)</f>
        <v>115</v>
      </c>
      <c r="G51" s="3185"/>
      <c r="H51" s="3203"/>
      <c r="I51" s="942">
        <v>1</v>
      </c>
      <c r="J51" s="942">
        <v>1</v>
      </c>
      <c r="K51" s="1145"/>
      <c r="L51" s="941"/>
      <c r="M51" s="941"/>
      <c r="N51" s="941"/>
      <c r="O51" s="941"/>
    </row>
    <row r="52" spans="1:17" s="692" customFormat="1">
      <c r="A52" s="693" t="s">
        <v>2766</v>
      </c>
      <c r="B52" s="262">
        <f>ROUND($C$43*C52*D52,0)</f>
        <v>0</v>
      </c>
      <c r="C52" s="200">
        <f t="shared" ref="C52:C60" si="16">IF($C$50="北京市系数",I52,J52)</f>
        <v>0</v>
      </c>
      <c r="D52" s="1164">
        <v>0.25</v>
      </c>
      <c r="E52" s="694"/>
      <c r="F52" s="691">
        <f t="shared" si="15"/>
        <v>0</v>
      </c>
      <c r="G52" s="3233" t="s">
        <v>2767</v>
      </c>
      <c r="H52" s="1104">
        <f>项目基本情况!B37</f>
        <v>0</v>
      </c>
      <c r="I52" s="942">
        <f>SUMIF(修正!A45:A56,H52,修正!B45:B56)</f>
        <v>0</v>
      </c>
      <c r="J52" s="943"/>
      <c r="K52" s="1144"/>
      <c r="L52" s="941"/>
      <c r="M52" s="941"/>
      <c r="N52" s="941"/>
      <c r="O52" s="941"/>
    </row>
    <row r="53" spans="1:17" s="692" customFormat="1">
      <c r="A53" s="693" t="s">
        <v>2768</v>
      </c>
      <c r="B53" s="262">
        <f t="shared" ref="B53:B60" si="17">ROUND($C$43*C53*D53,0)</f>
        <v>0</v>
      </c>
      <c r="C53" s="200">
        <f t="shared" si="16"/>
        <v>0</v>
      </c>
      <c r="D53" s="1164">
        <v>0.25</v>
      </c>
      <c r="E53" s="694"/>
      <c r="F53" s="691">
        <f t="shared" si="15"/>
        <v>0</v>
      </c>
      <c r="G53" s="3233"/>
      <c r="H53" s="1104">
        <f>项目基本情况!B37</f>
        <v>0</v>
      </c>
      <c r="I53" s="942">
        <f>SUMIF(修正!A45:A56,H53,修正!C45:C56)</f>
        <v>0</v>
      </c>
      <c r="J53" s="943"/>
      <c r="K53" s="1145"/>
      <c r="L53" s="941"/>
      <c r="M53" s="941"/>
      <c r="N53" s="941"/>
      <c r="O53" s="941"/>
    </row>
    <row r="54" spans="1:17" s="692" customFormat="1">
      <c r="A54" s="693" t="s">
        <v>2769</v>
      </c>
      <c r="B54" s="262">
        <f t="shared" si="17"/>
        <v>0</v>
      </c>
      <c r="C54" s="200">
        <f t="shared" si="16"/>
        <v>0</v>
      </c>
      <c r="D54" s="1164">
        <v>0.25</v>
      </c>
      <c r="E54" s="694"/>
      <c r="F54" s="691">
        <f t="shared" si="15"/>
        <v>0</v>
      </c>
      <c r="G54" s="3233"/>
      <c r="H54" s="1104">
        <f>项目基本情况!B37</f>
        <v>0</v>
      </c>
      <c r="I54" s="942">
        <f>SUMIF(修正!A45:A56,H54,修正!D45:D56)</f>
        <v>0</v>
      </c>
      <c r="J54" s="943"/>
      <c r="K54" s="1144"/>
      <c r="L54" s="941"/>
      <c r="M54" s="941"/>
      <c r="N54" s="941"/>
      <c r="O54" s="941"/>
    </row>
    <row r="55" spans="1:17" s="692" customFormat="1">
      <c r="A55" s="693" t="s">
        <v>2770</v>
      </c>
      <c r="B55" s="262">
        <f t="shared" si="17"/>
        <v>0</v>
      </c>
      <c r="C55" s="200">
        <f t="shared" si="16"/>
        <v>0</v>
      </c>
      <c r="D55" s="1164">
        <v>0.25</v>
      </c>
      <c r="E55" s="694"/>
      <c r="F55" s="691">
        <f t="shared" si="15"/>
        <v>0</v>
      </c>
      <c r="G55" s="3233"/>
      <c r="H55" s="1104">
        <f>项目基本情况!B37</f>
        <v>0</v>
      </c>
      <c r="I55" s="942">
        <f>SUMIF(修正!A45:A56,H55,修正!E45:E56)</f>
        <v>0</v>
      </c>
      <c r="J55" s="943"/>
      <c r="K55" s="1145"/>
      <c r="L55" s="941"/>
      <c r="M55" s="941"/>
      <c r="N55" s="941"/>
      <c r="O55" s="941"/>
    </row>
    <row r="56" spans="1:17" s="692" customFormat="1">
      <c r="A56" s="693" t="s">
        <v>2771</v>
      </c>
      <c r="B56" s="262">
        <f t="shared" si="17"/>
        <v>0</v>
      </c>
      <c r="C56" s="200">
        <f t="shared" si="16"/>
        <v>0</v>
      </c>
      <c r="D56" s="1164">
        <v>0.25</v>
      </c>
      <c r="E56" s="261">
        <f>'数据-汇总表'!E11</f>
        <v>0</v>
      </c>
      <c r="F56" s="691">
        <f t="shared" si="15"/>
        <v>0</v>
      </c>
      <c r="G56" s="2709" t="s">
        <v>2772</v>
      </c>
      <c r="H56" s="1104">
        <f>项目基本情况!C37</f>
        <v>0</v>
      </c>
      <c r="I56" s="942">
        <f>SUMIF(修正!A45:A56,H56,修正!F45:F56)</f>
        <v>0</v>
      </c>
      <c r="J56" s="943"/>
      <c r="K56" s="1144"/>
      <c r="L56" s="941"/>
      <c r="M56" s="941"/>
      <c r="N56" s="941"/>
      <c r="O56" s="941"/>
    </row>
    <row r="57" spans="1:17" s="692" customFormat="1">
      <c r="A57" s="693" t="s">
        <v>2773</v>
      </c>
      <c r="B57" s="262">
        <f t="shared" si="17"/>
        <v>0</v>
      </c>
      <c r="C57" s="200">
        <f t="shared" si="16"/>
        <v>0</v>
      </c>
      <c r="D57" s="1164">
        <v>0.25</v>
      </c>
      <c r="E57" s="261">
        <f>'数据-汇总表'!E12</f>
        <v>0</v>
      </c>
      <c r="F57" s="691">
        <f t="shared" si="15"/>
        <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f t="shared" si="17"/>
        <v>0</v>
      </c>
      <c r="C58" s="200">
        <f t="shared" si="16"/>
        <v>0</v>
      </c>
      <c r="D58" s="1164">
        <v>0.25</v>
      </c>
      <c r="E58" s="261">
        <f>'数据-汇总表'!E13</f>
        <v>0</v>
      </c>
      <c r="F58" s="691">
        <f t="shared" si="15"/>
        <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f t="shared" si="17"/>
        <v>0</v>
      </c>
      <c r="C59" s="200">
        <f t="shared" si="16"/>
        <v>0</v>
      </c>
      <c r="D59" s="1164">
        <v>0.25</v>
      </c>
      <c r="E59" s="261">
        <f>'数据-汇总表'!E14</f>
        <v>0</v>
      </c>
      <c r="F59" s="691">
        <f t="shared" si="15"/>
        <v>0</v>
      </c>
      <c r="G59" s="2709" t="s">
        <v>2767</v>
      </c>
      <c r="H59" s="1104">
        <f>项目基本情况!B37</f>
        <v>0</v>
      </c>
      <c r="I59" s="942">
        <f>SUMIF(修正!A45:A56,H59,修正!H45:H56)</f>
        <v>0</v>
      </c>
      <c r="J59" s="943"/>
      <c r="K59" s="1145"/>
      <c r="L59" s="941"/>
      <c r="M59" s="941"/>
      <c r="N59" s="941"/>
      <c r="O59" s="941"/>
    </row>
    <row r="60" spans="1:17" s="692" customFormat="1" ht="14.4" thickBot="1">
      <c r="A60" s="693" t="s">
        <v>2778</v>
      </c>
      <c r="B60" s="262">
        <f t="shared" si="17"/>
        <v>0</v>
      </c>
      <c r="C60" s="200">
        <f t="shared" si="16"/>
        <v>0</v>
      </c>
      <c r="D60" s="1164">
        <v>0.25</v>
      </c>
      <c r="E60" s="261">
        <f>'数据-汇总表'!E15</f>
        <v>0</v>
      </c>
      <c r="F60" s="691">
        <f t="shared" si="15"/>
        <v>0</v>
      </c>
      <c r="G60" s="2710" t="s">
        <v>2772</v>
      </c>
      <c r="H60" s="1114">
        <f>项目基本情况!C37</f>
        <v>0</v>
      </c>
      <c r="I60" s="942">
        <f>SUMIF(修正!A45:A56,H60,修正!H45:H56)</f>
        <v>0</v>
      </c>
      <c r="J60" s="943"/>
      <c r="K60" s="1144"/>
      <c r="L60" s="941"/>
      <c r="M60" s="941"/>
      <c r="N60" s="941"/>
      <c r="O60" s="941"/>
    </row>
    <row r="61" spans="1:17" s="692" customFormat="1" ht="14.4" thickBot="1">
      <c r="A61" s="695" t="s">
        <v>2779</v>
      </c>
      <c r="B61" s="696" t="s">
        <v>28</v>
      </c>
      <c r="C61" s="696" t="s">
        <v>29</v>
      </c>
      <c r="D61" s="696" t="s">
        <v>1025</v>
      </c>
      <c r="E61" s="696">
        <f>IF(B41="楼面地价",SUM(E51:E60),'数据-汇总表'!D3)</f>
        <v>27999.91</v>
      </c>
      <c r="F61" s="697">
        <f>IF(B41="楼面地价",SUM(F51:F60),ROUND(C43*E61/10000,0))</f>
        <v>535</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11" t="s">
        <v>2780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6" t="s">
        <v>2799</v>
      </c>
      <c r="B66" s="332" t="str">
        <f>"北京市平均增长率"&amp;TEXT(基准地价修正!P24,"0.00%")</f>
        <v>北京市平均增长率1.38%</v>
      </c>
      <c r="C66" s="603">
        <v>100</v>
      </c>
      <c r="D66" s="595">
        <v>99.5</v>
      </c>
      <c r="E66" s="595">
        <v>99</v>
      </c>
      <c r="F66" s="595">
        <v>98.5</v>
      </c>
      <c r="G66" s="595">
        <v>98</v>
      </c>
      <c r="H66" s="595">
        <v>97.5</v>
      </c>
      <c r="I66" s="595">
        <v>97</v>
      </c>
      <c r="J66" s="595"/>
      <c r="K66" s="595"/>
      <c r="L66" s="595"/>
      <c r="M66" s="1567"/>
      <c r="N66" s="1567"/>
      <c r="O66" s="1569"/>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3288" t="s">
        <v>3224</v>
      </c>
      <c r="D70" s="530"/>
      <c r="E70" s="530"/>
      <c r="F70" s="530"/>
      <c r="G70" s="530"/>
      <c r="H70" s="530"/>
      <c r="I70" s="530"/>
      <c r="J70" s="530"/>
      <c r="K70" s="531"/>
      <c r="L70" s="532"/>
      <c r="M70" s="533"/>
      <c r="N70" s="1152"/>
      <c r="O70" s="1152"/>
      <c r="P70" s="45"/>
      <c r="Q70" s="504"/>
    </row>
    <row r="71" spans="1:17" ht="14.4" thickBot="1">
      <c r="A71" s="534"/>
      <c r="B71" s="535"/>
      <c r="C71" s="536">
        <v>100</v>
      </c>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0（含）-0.5</v>
      </c>
      <c r="D74" s="547" t="str">
        <f t="shared" ref="D74:L74" si="20">D75&amp;"（含）"&amp;"-"&amp;E75</f>
        <v>0.5（含）-1</v>
      </c>
      <c r="E74" s="547" t="str">
        <f t="shared" si="20"/>
        <v>1（含）-1.5</v>
      </c>
      <c r="F74" s="547" t="str">
        <f t="shared" si="20"/>
        <v>1.5（含）-2</v>
      </c>
      <c r="G74" s="547" t="str">
        <f t="shared" si="20"/>
        <v>2（含）-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v>0</v>
      </c>
      <c r="D75" s="549">
        <v>0.5</v>
      </c>
      <c r="E75" s="549">
        <v>1</v>
      </c>
      <c r="F75" s="549">
        <v>1.5</v>
      </c>
      <c r="G75" s="549">
        <v>2</v>
      </c>
      <c r="H75" s="549"/>
      <c r="I75" s="549"/>
      <c r="J75" s="549"/>
      <c r="K75" s="550"/>
      <c r="L75" s="551"/>
      <c r="M75" s="552"/>
      <c r="N75" s="1152"/>
      <c r="O75" s="1152"/>
      <c r="P75" s="45"/>
      <c r="Q75" s="504"/>
    </row>
    <row r="76" spans="1:17" ht="14.4" thickBot="1">
      <c r="A76" s="534"/>
      <c r="B76" s="535"/>
      <c r="C76" s="544">
        <v>100</v>
      </c>
      <c r="D76" s="544">
        <f>IF($B$41="单位面积地价",C76+$K11,C76-$K11)</f>
        <v>102</v>
      </c>
      <c r="E76" s="544">
        <f t="shared" ref="E76:M76" si="21">IF($B$41="单位面积地价",D76+$K11,D76-$K11)</f>
        <v>104</v>
      </c>
      <c r="F76" s="544">
        <f t="shared" si="21"/>
        <v>106</v>
      </c>
      <c r="G76" s="544">
        <f t="shared" si="21"/>
        <v>108</v>
      </c>
      <c r="H76" s="544">
        <f t="shared" si="21"/>
        <v>110</v>
      </c>
      <c r="I76" s="544">
        <f t="shared" si="21"/>
        <v>112</v>
      </c>
      <c r="J76" s="544">
        <f t="shared" si="21"/>
        <v>114</v>
      </c>
      <c r="K76" s="544">
        <f t="shared" si="21"/>
        <v>116</v>
      </c>
      <c r="L76" s="544">
        <f t="shared" si="21"/>
        <v>118</v>
      </c>
      <c r="M76" s="544">
        <f t="shared" si="21"/>
        <v>120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2789</v>
      </c>
      <c r="C107" s="529" t="str">
        <f t="shared" ref="C107:L107" si="25">C108&amp;"(含)"&amp;"-"&amp;D108</f>
        <v>0(含)-20000</v>
      </c>
      <c r="D107" s="529" t="str">
        <f t="shared" si="25"/>
        <v>20000(含)-40000</v>
      </c>
      <c r="E107" s="529" t="str">
        <f t="shared" si="25"/>
        <v>40000(含)-60000</v>
      </c>
      <c r="F107" s="529" t="str">
        <f t="shared" si="25"/>
        <v>60000(含)-80000</v>
      </c>
      <c r="G107" s="529" t="str">
        <f t="shared" si="25"/>
        <v>80000(含)-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v>0</v>
      </c>
      <c r="D108" s="595">
        <v>20000</v>
      </c>
      <c r="E108" s="595">
        <v>40000</v>
      </c>
      <c r="F108" s="595">
        <v>60000</v>
      </c>
      <c r="G108" s="595">
        <v>80000</v>
      </c>
      <c r="H108" s="595"/>
      <c r="I108" s="595"/>
      <c r="J108" s="596"/>
      <c r="K108" s="596"/>
      <c r="L108" s="597"/>
      <c r="M108" s="598"/>
      <c r="N108" s="1152"/>
      <c r="O108" s="1152"/>
      <c r="P108" s="45"/>
      <c r="Q108" s="504"/>
    </row>
    <row r="109" spans="1:17" ht="14.4" thickBot="1">
      <c r="A109" s="534"/>
      <c r="B109" s="543"/>
      <c r="C109" s="570">
        <v>100</v>
      </c>
      <c r="D109" s="591">
        <f>C109+2</f>
        <v>102</v>
      </c>
      <c r="E109" s="591">
        <f t="shared" ref="E109:G109" si="26">D109+2</f>
        <v>104</v>
      </c>
      <c r="F109" s="591">
        <f t="shared" si="26"/>
        <v>106</v>
      </c>
      <c r="G109" s="591">
        <f t="shared" si="26"/>
        <v>108</v>
      </c>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7">C111-$K35</f>
        <v>100</v>
      </c>
      <c r="E111" s="544">
        <f t="shared" si="27"/>
        <v>100</v>
      </c>
      <c r="F111" s="544">
        <f t="shared" si="27"/>
        <v>100</v>
      </c>
      <c r="G111" s="544">
        <f t="shared" si="27"/>
        <v>100</v>
      </c>
      <c r="H111" s="544">
        <f t="shared" si="27"/>
        <v>100</v>
      </c>
      <c r="I111" s="544">
        <f t="shared" si="27"/>
        <v>100</v>
      </c>
      <c r="J111" s="544">
        <f t="shared" si="27"/>
        <v>100</v>
      </c>
      <c r="K111" s="544">
        <f t="shared" si="27"/>
        <v>100</v>
      </c>
      <c r="L111" s="544">
        <f t="shared" si="27"/>
        <v>100</v>
      </c>
      <c r="M111" s="545">
        <f t="shared" si="27"/>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8">C113-$K36</f>
        <v>100</v>
      </c>
      <c r="E113" s="544">
        <f t="shared" si="28"/>
        <v>100</v>
      </c>
      <c r="F113" s="544">
        <f t="shared" si="28"/>
        <v>100</v>
      </c>
      <c r="G113" s="544">
        <f t="shared" si="28"/>
        <v>100</v>
      </c>
      <c r="H113" s="544">
        <f t="shared" si="28"/>
        <v>100</v>
      </c>
      <c r="I113" s="544">
        <f t="shared" si="28"/>
        <v>100</v>
      </c>
      <c r="J113" s="544">
        <f t="shared" si="28"/>
        <v>100</v>
      </c>
      <c r="K113" s="544">
        <f t="shared" si="28"/>
        <v>100</v>
      </c>
      <c r="L113" s="544">
        <f t="shared" si="28"/>
        <v>100</v>
      </c>
      <c r="M113" s="545">
        <f t="shared" si="28"/>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9">C115-$K37</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
  <sheetViews>
    <sheetView workbookViewId="0">
      <selection activeCell="G23" sqref="G23"/>
    </sheetView>
  </sheetViews>
  <sheetFormatPr defaultRowHeight="14.4"/>
  <cols>
    <col min="1" max="1" width="27.21875" customWidth="1"/>
    <col min="13" max="26" width="0" hidden="1" customWidth="1"/>
    <col min="28" max="29" width="0" hidden="1" customWidth="1"/>
    <col min="31" max="32" width="0" hidden="1" customWidth="1"/>
    <col min="34" max="34" width="0" hidden="1" customWidth="1"/>
    <col min="36" max="36" width="0" hidden="1" customWidth="1"/>
    <col min="38" max="38" width="0" hidden="1" customWidth="1"/>
    <col min="41" max="44" width="0" hidden="1" customWidth="1"/>
  </cols>
  <sheetData>
    <row r="1" spans="1:45" s="1635" customFormat="1" ht="13.2">
      <c r="A1" s="1635" t="s">
        <v>3068</v>
      </c>
      <c r="B1" s="1635" t="s">
        <v>3069</v>
      </c>
      <c r="C1" s="1635" t="s">
        <v>3070</v>
      </c>
      <c r="D1" s="1635" t="s">
        <v>3071</v>
      </c>
      <c r="E1" s="1635" t="s">
        <v>3072</v>
      </c>
      <c r="F1" s="1635" t="s">
        <v>3073</v>
      </c>
      <c r="G1" s="1635" t="s">
        <v>3074</v>
      </c>
      <c r="H1" s="1635" t="s">
        <v>3075</v>
      </c>
      <c r="I1" s="1635" t="s">
        <v>3076</v>
      </c>
      <c r="J1" s="1635" t="s">
        <v>3077</v>
      </c>
      <c r="K1" s="1635" t="s">
        <v>3078</v>
      </c>
      <c r="L1" s="1635" t="s">
        <v>3079</v>
      </c>
      <c r="M1" s="1635" t="s">
        <v>3080</v>
      </c>
      <c r="N1" s="1635" t="s">
        <v>3081</v>
      </c>
      <c r="O1" s="1635" t="s">
        <v>3082</v>
      </c>
      <c r="P1" s="1635" t="s">
        <v>3083</v>
      </c>
      <c r="Q1" s="1635" t="s">
        <v>3084</v>
      </c>
      <c r="R1" s="1635" t="s">
        <v>3085</v>
      </c>
      <c r="S1" s="1635" t="s">
        <v>3086</v>
      </c>
      <c r="T1" s="1635" t="s">
        <v>3087</v>
      </c>
      <c r="U1" s="1635" t="s">
        <v>3088</v>
      </c>
      <c r="V1" s="1635" t="s">
        <v>3089</v>
      </c>
      <c r="W1" s="1635" t="s">
        <v>3090</v>
      </c>
      <c r="X1" s="1635" t="s">
        <v>3091</v>
      </c>
      <c r="Y1" s="1635" t="s">
        <v>3092</v>
      </c>
      <c r="Z1" s="1635" t="s">
        <v>3093</v>
      </c>
      <c r="AA1" s="1635" t="s">
        <v>3094</v>
      </c>
      <c r="AB1" s="1635" t="s">
        <v>3095</v>
      </c>
      <c r="AC1" s="1635" t="s">
        <v>3096</v>
      </c>
      <c r="AD1" s="1635" t="s">
        <v>3097</v>
      </c>
      <c r="AE1" s="1635" t="s">
        <v>3098</v>
      </c>
      <c r="AF1" s="1635" t="s">
        <v>3099</v>
      </c>
      <c r="AG1" s="1635" t="s">
        <v>3100</v>
      </c>
      <c r="AH1" s="1635" t="s">
        <v>3101</v>
      </c>
      <c r="AI1" s="1635" t="s">
        <v>3102</v>
      </c>
      <c r="AJ1" s="1635" t="s">
        <v>3103</v>
      </c>
      <c r="AK1" s="1635" t="s">
        <v>3104</v>
      </c>
      <c r="AL1" s="1635" t="s">
        <v>3105</v>
      </c>
      <c r="AM1" s="1635" t="s">
        <v>3106</v>
      </c>
      <c r="AN1" s="1635" t="s">
        <v>3107</v>
      </c>
      <c r="AO1" s="1635" t="s">
        <v>3108</v>
      </c>
      <c r="AP1" s="1635" t="s">
        <v>3109</v>
      </c>
      <c r="AQ1" s="1635" t="s">
        <v>3110</v>
      </c>
      <c r="AR1" s="1635" t="s">
        <v>3111</v>
      </c>
      <c r="AS1" s="3286" t="s">
        <v>3112</v>
      </c>
    </row>
    <row r="2" spans="1:45" s="1635" customFormat="1" ht="13.2">
      <c r="A2" s="1635" t="s">
        <v>3113</v>
      </c>
      <c r="B2" s="1635" t="s">
        <v>3114</v>
      </c>
      <c r="C2" s="1635" t="s">
        <v>3115</v>
      </c>
      <c r="D2" s="1635" t="s">
        <v>3116</v>
      </c>
      <c r="E2" s="1635" t="s">
        <v>1326</v>
      </c>
      <c r="F2" s="1635" t="s">
        <v>3113</v>
      </c>
      <c r="G2" s="1635" t="s">
        <v>3117</v>
      </c>
      <c r="H2" s="1635" t="s">
        <v>3118</v>
      </c>
      <c r="I2" s="1635" t="s">
        <v>3115</v>
      </c>
      <c r="J2" s="1635">
        <v>26367.86</v>
      </c>
      <c r="K2" s="1635">
        <v>39551.79</v>
      </c>
      <c r="L2" s="1635" t="s">
        <v>3119</v>
      </c>
      <c r="M2" s="1635" t="s">
        <v>1326</v>
      </c>
      <c r="N2" s="1635" t="s">
        <v>3120</v>
      </c>
      <c r="O2" s="1635" t="s">
        <v>3121</v>
      </c>
      <c r="P2" s="1635" t="s">
        <v>1326</v>
      </c>
      <c r="Q2" s="1635" t="s">
        <v>1326</v>
      </c>
      <c r="R2" s="1635" t="s">
        <v>1326</v>
      </c>
      <c r="S2" s="1635" t="s">
        <v>1326</v>
      </c>
      <c r="T2" s="1635" t="s">
        <v>1326</v>
      </c>
      <c r="U2" s="1635" t="s">
        <v>1326</v>
      </c>
      <c r="V2" s="1635" t="s">
        <v>1326</v>
      </c>
      <c r="W2" s="1635" t="s">
        <v>3122</v>
      </c>
      <c r="X2" s="1635" t="s">
        <v>3123</v>
      </c>
      <c r="Y2" s="1635" t="s">
        <v>3124</v>
      </c>
      <c r="Z2" s="1635" t="s">
        <v>3125</v>
      </c>
      <c r="AA2" s="1635" t="s">
        <v>3125</v>
      </c>
      <c r="AB2" s="1635" t="s">
        <v>3126</v>
      </c>
      <c r="AC2" s="1635" t="s">
        <v>3127</v>
      </c>
      <c r="AD2" s="1635" t="s">
        <v>3128</v>
      </c>
      <c r="AE2" s="1635">
        <v>395</v>
      </c>
      <c r="AF2" s="1635">
        <v>395</v>
      </c>
      <c r="AG2" s="1635">
        <v>396</v>
      </c>
      <c r="AH2" s="1635">
        <v>9.99</v>
      </c>
      <c r="AI2" s="1635">
        <v>10.01</v>
      </c>
      <c r="AJ2" s="1635">
        <v>99.86</v>
      </c>
      <c r="AK2" s="1635">
        <v>100.12</v>
      </c>
      <c r="AL2" s="1635" t="s">
        <v>1326</v>
      </c>
      <c r="AM2" s="1635">
        <v>0.25</v>
      </c>
      <c r="AN2" s="1635" t="s">
        <v>3129</v>
      </c>
      <c r="AO2" s="1635" t="s">
        <v>1326</v>
      </c>
      <c r="AP2" s="1635" t="s">
        <v>1326</v>
      </c>
      <c r="AQ2" s="1635" t="s">
        <v>1326</v>
      </c>
      <c r="AR2" s="1635" t="s">
        <v>3130</v>
      </c>
      <c r="AS2" s="1635">
        <f>ROUND(AG2/J2*10000,0)</f>
        <v>150</v>
      </c>
    </row>
    <row r="3" spans="1:45" s="1635" customFormat="1" ht="13.2">
      <c r="A3" s="1635" t="s">
        <v>3131</v>
      </c>
      <c r="B3" s="1635" t="s">
        <v>3114</v>
      </c>
      <c r="C3" s="1635" t="s">
        <v>3115</v>
      </c>
      <c r="D3" s="1635" t="s">
        <v>3116</v>
      </c>
      <c r="E3" s="1635" t="s">
        <v>1326</v>
      </c>
      <c r="F3" s="1635" t="s">
        <v>3131</v>
      </c>
      <c r="G3" s="1635" t="s">
        <v>3117</v>
      </c>
      <c r="H3" s="1635" t="s">
        <v>3132</v>
      </c>
      <c r="I3" s="1635" t="s">
        <v>3115</v>
      </c>
      <c r="J3" s="1635">
        <v>66574.820000000007</v>
      </c>
      <c r="K3" s="1635">
        <v>46602.37</v>
      </c>
      <c r="L3" s="1635" t="s">
        <v>3133</v>
      </c>
      <c r="M3" s="1635" t="s">
        <v>1326</v>
      </c>
      <c r="N3" s="1635" t="s">
        <v>3134</v>
      </c>
      <c r="O3" s="1635" t="s">
        <v>3135</v>
      </c>
      <c r="P3" s="1635" t="s">
        <v>1326</v>
      </c>
      <c r="Q3" s="1635" t="s">
        <v>1326</v>
      </c>
      <c r="R3" s="1635" t="s">
        <v>1326</v>
      </c>
      <c r="S3" s="1635" t="s">
        <v>1326</v>
      </c>
      <c r="T3" s="1635" t="s">
        <v>1326</v>
      </c>
      <c r="U3" s="1635" t="s">
        <v>1326</v>
      </c>
      <c r="V3" s="1635" t="s">
        <v>1326</v>
      </c>
      <c r="W3" s="1635" t="s">
        <v>3122</v>
      </c>
      <c r="X3" s="1635" t="s">
        <v>3136</v>
      </c>
      <c r="Y3" s="1635" t="s">
        <v>3137</v>
      </c>
      <c r="Z3" s="1635" t="s">
        <v>3138</v>
      </c>
      <c r="AA3" s="1635" t="s">
        <v>3138</v>
      </c>
      <c r="AB3" s="1635" t="s">
        <v>3139</v>
      </c>
      <c r="AC3" s="1635" t="s">
        <v>3127</v>
      </c>
      <c r="AD3" s="1635" t="s">
        <v>3140</v>
      </c>
      <c r="AE3" s="1635">
        <v>1361</v>
      </c>
      <c r="AF3" s="1635">
        <v>1361</v>
      </c>
      <c r="AG3" s="1635">
        <v>1366</v>
      </c>
      <c r="AH3" s="1635">
        <v>13.63</v>
      </c>
      <c r="AI3" s="1635">
        <v>13.68</v>
      </c>
      <c r="AJ3" s="1635">
        <v>292.04000000000002</v>
      </c>
      <c r="AK3" s="1635">
        <v>293.12</v>
      </c>
      <c r="AL3" s="1635" t="s">
        <v>1326</v>
      </c>
      <c r="AM3" s="1635">
        <v>0.37</v>
      </c>
      <c r="AN3" s="1635" t="s">
        <v>3129</v>
      </c>
      <c r="AO3" s="1635" t="s">
        <v>1326</v>
      </c>
      <c r="AP3" s="1635" t="s">
        <v>1326</v>
      </c>
      <c r="AQ3" s="1635" t="s">
        <v>1326</v>
      </c>
      <c r="AR3" s="1635" t="s">
        <v>3130</v>
      </c>
      <c r="AS3" s="1635">
        <f t="shared" ref="AS3:AS16" si="0">ROUND(AG3/J3*10000,0)</f>
        <v>205</v>
      </c>
    </row>
    <row r="4" spans="1:45" s="3287" customFormat="1" ht="13.2">
      <c r="A4" s="3287" t="s">
        <v>3141</v>
      </c>
      <c r="B4" s="3287" t="s">
        <v>3114</v>
      </c>
      <c r="C4" s="3287" t="s">
        <v>3115</v>
      </c>
      <c r="D4" s="3287" t="s">
        <v>3142</v>
      </c>
      <c r="E4" s="3287" t="s">
        <v>1326</v>
      </c>
      <c r="F4" s="3287" t="s">
        <v>3141</v>
      </c>
      <c r="G4" s="3287" t="s">
        <v>3117</v>
      </c>
      <c r="H4" s="3287" t="s">
        <v>3143</v>
      </c>
      <c r="I4" s="3287" t="s">
        <v>3115</v>
      </c>
      <c r="J4" s="3287">
        <v>64002.66</v>
      </c>
      <c r="K4" s="3287">
        <v>70402.929999999993</v>
      </c>
      <c r="L4" s="3287" t="s">
        <v>3144</v>
      </c>
      <c r="M4" s="3287" t="s">
        <v>1326</v>
      </c>
      <c r="N4" s="3287" t="s">
        <v>3134</v>
      </c>
      <c r="O4" s="3287" t="s">
        <v>1326</v>
      </c>
      <c r="P4" s="3287" t="s">
        <v>1326</v>
      </c>
      <c r="Q4" s="3287" t="s">
        <v>1326</v>
      </c>
      <c r="R4" s="3287" t="s">
        <v>1326</v>
      </c>
      <c r="S4" s="3287" t="s">
        <v>1326</v>
      </c>
      <c r="T4" s="3287" t="s">
        <v>1326</v>
      </c>
      <c r="U4" s="3287" t="s">
        <v>1326</v>
      </c>
      <c r="V4" s="3287" t="s">
        <v>1326</v>
      </c>
      <c r="W4" s="3287" t="s">
        <v>3122</v>
      </c>
      <c r="X4" s="3287" t="s">
        <v>3136</v>
      </c>
      <c r="Y4" s="3287" t="s">
        <v>3137</v>
      </c>
      <c r="Z4" s="3287" t="s">
        <v>3138</v>
      </c>
      <c r="AA4" s="3287" t="s">
        <v>3138</v>
      </c>
      <c r="AB4" s="3287" t="s">
        <v>3139</v>
      </c>
      <c r="AC4" s="3287" t="s">
        <v>3127</v>
      </c>
      <c r="AD4" s="3287" t="s">
        <v>3145</v>
      </c>
      <c r="AE4" s="3287">
        <v>1308</v>
      </c>
      <c r="AF4" s="3287">
        <v>1308</v>
      </c>
      <c r="AG4" s="3287">
        <v>1313</v>
      </c>
      <c r="AH4" s="3287">
        <v>13.62</v>
      </c>
      <c r="AI4" s="3287">
        <v>13.68</v>
      </c>
      <c r="AJ4" s="3287">
        <v>185.78</v>
      </c>
      <c r="AK4" s="3287">
        <v>186.5</v>
      </c>
      <c r="AL4" s="3287" t="s">
        <v>1326</v>
      </c>
      <c r="AM4" s="3287">
        <v>0.38</v>
      </c>
      <c r="AN4" s="3287" t="s">
        <v>3129</v>
      </c>
      <c r="AO4" s="3287" t="s">
        <v>1326</v>
      </c>
      <c r="AP4" s="3287" t="s">
        <v>1326</v>
      </c>
      <c r="AQ4" s="3287" t="s">
        <v>1326</v>
      </c>
      <c r="AR4" s="3287" t="s">
        <v>3130</v>
      </c>
      <c r="AS4" s="3287">
        <f t="shared" si="0"/>
        <v>205</v>
      </c>
    </row>
    <row r="5" spans="1:45" s="1635" customFormat="1" ht="13.2">
      <c r="A5" s="1635" t="s">
        <v>3146</v>
      </c>
      <c r="B5" s="1635" t="s">
        <v>3114</v>
      </c>
      <c r="C5" s="1635" t="s">
        <v>3115</v>
      </c>
      <c r="D5" s="1635" t="s">
        <v>3116</v>
      </c>
      <c r="E5" s="1635" t="s">
        <v>1326</v>
      </c>
      <c r="F5" s="1635" t="s">
        <v>3146</v>
      </c>
      <c r="G5" s="1635" t="s">
        <v>3117</v>
      </c>
      <c r="H5" s="1635" t="s">
        <v>3147</v>
      </c>
      <c r="I5" s="1635" t="s">
        <v>3115</v>
      </c>
      <c r="J5" s="1635">
        <v>27167.5</v>
      </c>
      <c r="K5" s="1635">
        <v>40751.25</v>
      </c>
      <c r="L5" s="1635" t="s">
        <v>3148</v>
      </c>
      <c r="M5" s="1635" t="s">
        <v>1326</v>
      </c>
      <c r="N5" s="1635" t="s">
        <v>3149</v>
      </c>
      <c r="O5" s="1635" t="s">
        <v>3150</v>
      </c>
      <c r="P5" s="1635" t="s">
        <v>1326</v>
      </c>
      <c r="Q5" s="1635" t="s">
        <v>1326</v>
      </c>
      <c r="R5" s="1635" t="s">
        <v>1326</v>
      </c>
      <c r="S5" s="1635" t="s">
        <v>1326</v>
      </c>
      <c r="T5" s="1635" t="s">
        <v>1326</v>
      </c>
      <c r="U5" s="1635" t="s">
        <v>1326</v>
      </c>
      <c r="V5" s="1635" t="s">
        <v>1326</v>
      </c>
      <c r="W5" s="1635" t="s">
        <v>3122</v>
      </c>
      <c r="X5" s="1635" t="s">
        <v>3151</v>
      </c>
      <c r="Y5" s="1635" t="s">
        <v>3152</v>
      </c>
      <c r="Z5" s="1635" t="s">
        <v>3153</v>
      </c>
      <c r="AA5" s="1635" t="s">
        <v>3153</v>
      </c>
      <c r="AB5" s="1635" t="s">
        <v>3154</v>
      </c>
      <c r="AC5" s="1635" t="s">
        <v>3127</v>
      </c>
      <c r="AD5" s="1635" t="s">
        <v>3155</v>
      </c>
      <c r="AE5" s="1635">
        <v>416</v>
      </c>
      <c r="AF5" s="1635">
        <v>416</v>
      </c>
      <c r="AG5" s="1635">
        <v>417</v>
      </c>
      <c r="AH5" s="1635">
        <v>10.210000000000001</v>
      </c>
      <c r="AI5" s="1635">
        <v>10.23</v>
      </c>
      <c r="AJ5" s="1635">
        <v>102.08</v>
      </c>
      <c r="AK5" s="1635">
        <v>102.32</v>
      </c>
      <c r="AL5" s="1635" t="s">
        <v>1326</v>
      </c>
      <c r="AM5" s="1635">
        <v>0.24</v>
      </c>
      <c r="AN5" s="1635" t="s">
        <v>3129</v>
      </c>
      <c r="AO5" s="1635" t="s">
        <v>1326</v>
      </c>
      <c r="AP5" s="1635" t="s">
        <v>1326</v>
      </c>
      <c r="AQ5" s="1635" t="s">
        <v>1326</v>
      </c>
      <c r="AR5" s="1635" t="s">
        <v>3130</v>
      </c>
      <c r="AS5" s="1635">
        <f t="shared" si="0"/>
        <v>153</v>
      </c>
    </row>
    <row r="6" spans="1:45" s="3287" customFormat="1" ht="13.2">
      <c r="A6" s="3287" t="s">
        <v>3156</v>
      </c>
      <c r="B6" s="3287" t="s">
        <v>3114</v>
      </c>
      <c r="C6" s="3287" t="s">
        <v>3115</v>
      </c>
      <c r="D6" s="3287" t="s">
        <v>3116</v>
      </c>
      <c r="E6" s="3287" t="s">
        <v>1326</v>
      </c>
      <c r="F6" s="3287" t="s">
        <v>3156</v>
      </c>
      <c r="G6" s="3287" t="s">
        <v>3117</v>
      </c>
      <c r="H6" s="3287" t="s">
        <v>3157</v>
      </c>
      <c r="I6" s="3287" t="s">
        <v>3158</v>
      </c>
      <c r="J6" s="3287">
        <v>35065.449999999997</v>
      </c>
      <c r="K6" s="3287">
        <v>42078.54</v>
      </c>
      <c r="L6" s="3287" t="s">
        <v>3159</v>
      </c>
      <c r="M6" s="3287" t="s">
        <v>1326</v>
      </c>
      <c r="N6" s="3287" t="s">
        <v>3134</v>
      </c>
      <c r="O6" s="3287" t="s">
        <v>3160</v>
      </c>
      <c r="P6" s="3287" t="s">
        <v>1326</v>
      </c>
      <c r="Q6" s="3287" t="s">
        <v>1326</v>
      </c>
      <c r="R6" s="3287" t="s">
        <v>1326</v>
      </c>
      <c r="S6" s="3287" t="s">
        <v>1326</v>
      </c>
      <c r="T6" s="3287" t="s">
        <v>1326</v>
      </c>
      <c r="U6" s="3287" t="s">
        <v>1326</v>
      </c>
      <c r="V6" s="3287" t="s">
        <v>1326</v>
      </c>
      <c r="W6" s="3287" t="s">
        <v>3122</v>
      </c>
      <c r="X6" s="3287" t="s">
        <v>3161</v>
      </c>
      <c r="Y6" s="3287" t="s">
        <v>3162</v>
      </c>
      <c r="Z6" s="3287" t="s">
        <v>3151</v>
      </c>
      <c r="AA6" s="3287" t="s">
        <v>3151</v>
      </c>
      <c r="AB6" s="3287" t="s">
        <v>3163</v>
      </c>
      <c r="AC6" s="3287" t="s">
        <v>3127</v>
      </c>
      <c r="AD6" s="3287" t="s">
        <v>3164</v>
      </c>
      <c r="AE6" s="3287">
        <v>717</v>
      </c>
      <c r="AF6" s="3287">
        <v>717</v>
      </c>
      <c r="AG6" s="3287">
        <v>719</v>
      </c>
      <c r="AH6" s="3287">
        <v>13.63</v>
      </c>
      <c r="AI6" s="3287">
        <v>13.67</v>
      </c>
      <c r="AJ6" s="3287">
        <v>170.39</v>
      </c>
      <c r="AK6" s="3287">
        <v>170.87</v>
      </c>
      <c r="AL6" s="3287" t="s">
        <v>1326</v>
      </c>
      <c r="AM6" s="3287">
        <v>0.28000000000000003</v>
      </c>
      <c r="AN6" s="3287" t="s">
        <v>3129</v>
      </c>
      <c r="AO6" s="3287" t="s">
        <v>1326</v>
      </c>
      <c r="AP6" s="3287" t="s">
        <v>1326</v>
      </c>
      <c r="AQ6" s="3287" t="s">
        <v>1326</v>
      </c>
      <c r="AR6" s="3287" t="s">
        <v>3130</v>
      </c>
      <c r="AS6" s="3287">
        <f t="shared" si="0"/>
        <v>205</v>
      </c>
    </row>
    <row r="7" spans="1:45" s="1635" customFormat="1" ht="13.2">
      <c r="A7" s="1635" t="s">
        <v>3165</v>
      </c>
      <c r="B7" s="1635" t="s">
        <v>3114</v>
      </c>
      <c r="C7" s="1635" t="s">
        <v>3115</v>
      </c>
      <c r="D7" s="1635" t="s">
        <v>3116</v>
      </c>
      <c r="E7" s="1635" t="s">
        <v>1326</v>
      </c>
      <c r="F7" s="1635" t="s">
        <v>3165</v>
      </c>
      <c r="G7" s="1635" t="s">
        <v>3117</v>
      </c>
      <c r="H7" s="1635" t="s">
        <v>3166</v>
      </c>
      <c r="I7" s="1635" t="s">
        <v>3115</v>
      </c>
      <c r="J7" s="1635">
        <v>99873.36</v>
      </c>
      <c r="K7" s="1635">
        <v>79898.69</v>
      </c>
      <c r="L7" s="1635" t="s">
        <v>3167</v>
      </c>
      <c r="M7" s="1635" t="s">
        <v>1326</v>
      </c>
      <c r="N7" s="1635" t="s">
        <v>3134</v>
      </c>
      <c r="O7" s="1635" t="s">
        <v>3135</v>
      </c>
      <c r="P7" s="1635" t="s">
        <v>1326</v>
      </c>
      <c r="Q7" s="1635" t="s">
        <v>1326</v>
      </c>
      <c r="R7" s="1635" t="s">
        <v>1326</v>
      </c>
      <c r="S7" s="1635" t="s">
        <v>1326</v>
      </c>
      <c r="T7" s="1635" t="s">
        <v>1326</v>
      </c>
      <c r="U7" s="1635" t="s">
        <v>1326</v>
      </c>
      <c r="V7" s="1635" t="s">
        <v>1326</v>
      </c>
      <c r="W7" s="1635" t="s">
        <v>3122</v>
      </c>
      <c r="X7" s="1635" t="s">
        <v>3161</v>
      </c>
      <c r="Y7" s="1635" t="s">
        <v>3162</v>
      </c>
      <c r="Z7" s="1635" t="s">
        <v>3151</v>
      </c>
      <c r="AA7" s="1635" t="s">
        <v>3151</v>
      </c>
      <c r="AB7" s="1635" t="s">
        <v>3163</v>
      </c>
      <c r="AC7" s="1635" t="s">
        <v>3127</v>
      </c>
      <c r="AD7" s="1635" t="s">
        <v>3168</v>
      </c>
      <c r="AE7" s="1635">
        <v>2044</v>
      </c>
      <c r="AF7" s="1635">
        <v>2044</v>
      </c>
      <c r="AG7" s="1635">
        <v>2049</v>
      </c>
      <c r="AH7" s="1635">
        <v>13.64</v>
      </c>
      <c r="AI7" s="1635">
        <v>13.68</v>
      </c>
      <c r="AJ7" s="1635">
        <v>255.82</v>
      </c>
      <c r="AK7" s="1635">
        <v>256.44</v>
      </c>
      <c r="AL7" s="1635" t="s">
        <v>1326</v>
      </c>
      <c r="AM7" s="1635">
        <v>0.24</v>
      </c>
      <c r="AN7" s="1635" t="s">
        <v>3129</v>
      </c>
      <c r="AO7" s="1635" t="s">
        <v>1326</v>
      </c>
      <c r="AP7" s="1635" t="s">
        <v>1326</v>
      </c>
      <c r="AQ7" s="1635" t="s">
        <v>1326</v>
      </c>
      <c r="AR7" s="1635" t="s">
        <v>3130</v>
      </c>
      <c r="AS7" s="1635">
        <f t="shared" si="0"/>
        <v>205</v>
      </c>
    </row>
    <row r="8" spans="1:45" s="1635" customFormat="1" ht="13.2">
      <c r="A8" s="1635" t="s">
        <v>3169</v>
      </c>
      <c r="B8" s="1635" t="s">
        <v>3114</v>
      </c>
      <c r="C8" s="1635" t="s">
        <v>3115</v>
      </c>
      <c r="D8" s="1635" t="s">
        <v>3116</v>
      </c>
      <c r="E8" s="1635" t="s">
        <v>1326</v>
      </c>
      <c r="F8" s="1635" t="s">
        <v>3169</v>
      </c>
      <c r="G8" s="1635" t="s">
        <v>3117</v>
      </c>
      <c r="H8" s="1635" t="s">
        <v>3170</v>
      </c>
      <c r="I8" s="1635" t="s">
        <v>3115</v>
      </c>
      <c r="J8" s="1635">
        <v>147388.20000000001</v>
      </c>
      <c r="K8" s="1635">
        <v>117910.6</v>
      </c>
      <c r="L8" s="1635" t="s">
        <v>3167</v>
      </c>
      <c r="M8" s="1635" t="s">
        <v>1326</v>
      </c>
      <c r="N8" s="1635" t="s">
        <v>3134</v>
      </c>
      <c r="O8" s="1635" t="s">
        <v>3135</v>
      </c>
      <c r="P8" s="1635" t="s">
        <v>1326</v>
      </c>
      <c r="Q8" s="1635" t="s">
        <v>1326</v>
      </c>
      <c r="R8" s="1635" t="s">
        <v>1326</v>
      </c>
      <c r="S8" s="1635" t="s">
        <v>1326</v>
      </c>
      <c r="T8" s="1635" t="s">
        <v>1326</v>
      </c>
      <c r="U8" s="1635" t="s">
        <v>1326</v>
      </c>
      <c r="V8" s="1635" t="s">
        <v>1326</v>
      </c>
      <c r="W8" s="1635" t="s">
        <v>3122</v>
      </c>
      <c r="X8" s="1635" t="s">
        <v>3171</v>
      </c>
      <c r="Y8" s="1635" t="s">
        <v>3172</v>
      </c>
      <c r="Z8" s="1635" t="s">
        <v>3173</v>
      </c>
      <c r="AA8" s="1635" t="s">
        <v>3173</v>
      </c>
      <c r="AB8" s="1635" t="s">
        <v>3174</v>
      </c>
      <c r="AC8" s="1635" t="s">
        <v>3127</v>
      </c>
      <c r="AD8" s="1635" t="s">
        <v>3175</v>
      </c>
      <c r="AE8" s="1635">
        <v>3014</v>
      </c>
      <c r="AF8" s="1635">
        <v>3014</v>
      </c>
      <c r="AG8" s="1635">
        <v>3024</v>
      </c>
      <c r="AH8" s="1635">
        <v>13.63</v>
      </c>
      <c r="AI8" s="1635">
        <v>13.68</v>
      </c>
      <c r="AJ8" s="1635">
        <v>255.61</v>
      </c>
      <c r="AK8" s="1635">
        <v>256.47000000000003</v>
      </c>
      <c r="AL8" s="1635" t="s">
        <v>1326</v>
      </c>
      <c r="AM8" s="1635">
        <v>0.33</v>
      </c>
      <c r="AN8" s="1635" t="s">
        <v>3129</v>
      </c>
      <c r="AO8" s="1635" t="s">
        <v>1326</v>
      </c>
      <c r="AP8" s="1635" t="s">
        <v>1326</v>
      </c>
      <c r="AQ8" s="1635" t="s">
        <v>1326</v>
      </c>
      <c r="AR8" s="1635" t="s">
        <v>3130</v>
      </c>
      <c r="AS8" s="1635">
        <f t="shared" si="0"/>
        <v>205</v>
      </c>
    </row>
    <row r="9" spans="1:45" s="3289" customFormat="1" ht="13.2">
      <c r="A9" s="3289" t="s">
        <v>3176</v>
      </c>
      <c r="B9" s="3289" t="s">
        <v>3114</v>
      </c>
      <c r="C9" s="3289" t="s">
        <v>3115</v>
      </c>
      <c r="D9" s="3289" t="s">
        <v>3116</v>
      </c>
      <c r="E9" s="3289" t="s">
        <v>1326</v>
      </c>
      <c r="F9" s="3289" t="s">
        <v>3176</v>
      </c>
      <c r="G9" s="3289" t="s">
        <v>3117</v>
      </c>
      <c r="H9" s="3289" t="s">
        <v>3177</v>
      </c>
      <c r="I9" s="3289" t="s">
        <v>3115</v>
      </c>
      <c r="J9" s="3289">
        <v>217728.5</v>
      </c>
      <c r="K9" s="3289">
        <v>174182.8</v>
      </c>
      <c r="L9" s="3289" t="s">
        <v>3178</v>
      </c>
      <c r="M9" s="3289" t="s">
        <v>1326</v>
      </c>
      <c r="N9" s="3289" t="s">
        <v>3179</v>
      </c>
      <c r="O9" s="3289" t="s">
        <v>3180</v>
      </c>
      <c r="P9" s="3289" t="s">
        <v>1326</v>
      </c>
      <c r="Q9" s="3289" t="s">
        <v>1326</v>
      </c>
      <c r="R9" s="3289" t="s">
        <v>1326</v>
      </c>
      <c r="S9" s="3289" t="s">
        <v>1326</v>
      </c>
      <c r="T9" s="3289" t="s">
        <v>1326</v>
      </c>
      <c r="U9" s="3289" t="s">
        <v>1326</v>
      </c>
      <c r="V9" s="3289" t="s">
        <v>1326</v>
      </c>
      <c r="W9" s="3289" t="s">
        <v>3122</v>
      </c>
      <c r="X9" s="3289" t="s">
        <v>3181</v>
      </c>
      <c r="Y9" s="3289" t="s">
        <v>3182</v>
      </c>
      <c r="Z9" s="3289" t="s">
        <v>3183</v>
      </c>
      <c r="AA9" s="3289" t="s">
        <v>3183</v>
      </c>
      <c r="AB9" s="3289" t="s">
        <v>3184</v>
      </c>
      <c r="AC9" s="3289" t="s">
        <v>3127</v>
      </c>
      <c r="AD9" s="3289" t="s">
        <v>3185</v>
      </c>
      <c r="AE9" s="3289">
        <v>4450</v>
      </c>
      <c r="AF9" s="3289">
        <v>4450</v>
      </c>
      <c r="AG9" s="3289">
        <v>4465</v>
      </c>
      <c r="AH9" s="3289">
        <v>13.63</v>
      </c>
      <c r="AI9" s="3289">
        <v>13.67</v>
      </c>
      <c r="AJ9" s="3289">
        <v>255.47</v>
      </c>
      <c r="AK9" s="3289">
        <v>256.33</v>
      </c>
      <c r="AL9" s="3289" t="s">
        <v>1326</v>
      </c>
      <c r="AM9" s="3289">
        <v>0.34</v>
      </c>
      <c r="AN9" s="3289" t="s">
        <v>3129</v>
      </c>
      <c r="AO9" s="3289" t="s">
        <v>1326</v>
      </c>
      <c r="AP9" s="3289" t="s">
        <v>1326</v>
      </c>
      <c r="AQ9" s="3289" t="s">
        <v>1326</v>
      </c>
      <c r="AR9" s="3289" t="s">
        <v>3130</v>
      </c>
      <c r="AS9" s="3289">
        <f t="shared" si="0"/>
        <v>205</v>
      </c>
    </row>
    <row r="10" spans="1:45" s="3287" customFormat="1" ht="13.2">
      <c r="A10" s="3287" t="s">
        <v>3186</v>
      </c>
      <c r="B10" s="3287" t="s">
        <v>3114</v>
      </c>
      <c r="C10" s="3287" t="s">
        <v>3115</v>
      </c>
      <c r="D10" s="3287" t="s">
        <v>3116</v>
      </c>
      <c r="E10" s="3287" t="s">
        <v>1326</v>
      </c>
      <c r="F10" s="3287" t="s">
        <v>3186</v>
      </c>
      <c r="G10" s="3287" t="s">
        <v>3117</v>
      </c>
      <c r="H10" s="3287" t="s">
        <v>3187</v>
      </c>
      <c r="I10" s="3287" t="s">
        <v>3115</v>
      </c>
      <c r="J10" s="3287">
        <v>53323.199999999997</v>
      </c>
      <c r="K10" s="3287">
        <v>53323.199999999997</v>
      </c>
      <c r="L10" s="3287" t="s">
        <v>3188</v>
      </c>
      <c r="M10" s="3287" t="s">
        <v>1326</v>
      </c>
      <c r="N10" s="3287" t="s">
        <v>3179</v>
      </c>
      <c r="O10" s="3287" t="s">
        <v>3180</v>
      </c>
      <c r="P10" s="3287" t="s">
        <v>1326</v>
      </c>
      <c r="Q10" s="3287" t="s">
        <v>1326</v>
      </c>
      <c r="R10" s="3287" t="s">
        <v>1326</v>
      </c>
      <c r="S10" s="3287" t="s">
        <v>1326</v>
      </c>
      <c r="T10" s="3287" t="s">
        <v>1326</v>
      </c>
      <c r="U10" s="3287" t="s">
        <v>1326</v>
      </c>
      <c r="V10" s="3287" t="s">
        <v>1326</v>
      </c>
      <c r="W10" s="3287" t="s">
        <v>3189</v>
      </c>
      <c r="X10" s="3287" t="s">
        <v>3190</v>
      </c>
      <c r="Y10" s="3287" t="s">
        <v>3191</v>
      </c>
      <c r="Z10" s="3287" t="s">
        <v>3192</v>
      </c>
      <c r="AA10" s="3287" t="s">
        <v>3192</v>
      </c>
      <c r="AB10" s="3287" t="s">
        <v>3193</v>
      </c>
      <c r="AC10" s="3287" t="s">
        <v>3127</v>
      </c>
      <c r="AD10" s="3287" t="s">
        <v>3194</v>
      </c>
      <c r="AE10" s="3287">
        <v>1090</v>
      </c>
      <c r="AF10" s="3287">
        <v>1090</v>
      </c>
      <c r="AG10" s="3287">
        <v>1094</v>
      </c>
      <c r="AH10" s="3287">
        <v>13.63</v>
      </c>
      <c r="AI10" s="3287">
        <v>13.68</v>
      </c>
      <c r="AJ10" s="3287">
        <v>204.41</v>
      </c>
      <c r="AK10" s="3287">
        <v>205.15</v>
      </c>
      <c r="AL10" s="3287" t="s">
        <v>1326</v>
      </c>
      <c r="AM10" s="3287">
        <v>0.37</v>
      </c>
      <c r="AN10" s="3287" t="s">
        <v>3129</v>
      </c>
      <c r="AO10" s="3287" t="s">
        <v>1326</v>
      </c>
      <c r="AP10" s="3287" t="s">
        <v>1326</v>
      </c>
      <c r="AQ10" s="3287" t="s">
        <v>1326</v>
      </c>
      <c r="AR10" s="3287" t="s">
        <v>3130</v>
      </c>
      <c r="AS10" s="3287">
        <f t="shared" si="0"/>
        <v>205</v>
      </c>
    </row>
    <row r="11" spans="1:45" s="1635" customFormat="1" ht="13.2">
      <c r="A11" s="1635" t="s">
        <v>3195</v>
      </c>
      <c r="B11" s="1635" t="s">
        <v>3114</v>
      </c>
      <c r="C11" s="1635" t="s">
        <v>3115</v>
      </c>
      <c r="D11" s="1635" t="s">
        <v>3116</v>
      </c>
      <c r="E11" s="1635" t="s">
        <v>1326</v>
      </c>
      <c r="F11" s="1635" t="s">
        <v>3195</v>
      </c>
      <c r="G11" s="1635" t="s">
        <v>3117</v>
      </c>
      <c r="H11" s="1635" t="s">
        <v>3196</v>
      </c>
      <c r="I11" s="1635" t="s">
        <v>3115</v>
      </c>
      <c r="J11" s="1635">
        <v>133293.1</v>
      </c>
      <c r="K11" s="1635">
        <v>106634.5</v>
      </c>
      <c r="L11" s="1635" t="s">
        <v>3178</v>
      </c>
      <c r="M11" s="1635" t="s">
        <v>1326</v>
      </c>
      <c r="N11" s="1635" t="s">
        <v>3179</v>
      </c>
      <c r="O11" s="1635" t="s">
        <v>1326</v>
      </c>
      <c r="P11" s="1635" t="s">
        <v>1326</v>
      </c>
      <c r="Q11" s="1635" t="s">
        <v>1326</v>
      </c>
      <c r="R11" s="1635" t="s">
        <v>1326</v>
      </c>
      <c r="S11" s="1635" t="s">
        <v>1326</v>
      </c>
      <c r="T11" s="1635" t="s">
        <v>1326</v>
      </c>
      <c r="U11" s="1635" t="s">
        <v>1326</v>
      </c>
      <c r="V11" s="1635" t="s">
        <v>1326</v>
      </c>
      <c r="W11" s="1635" t="s">
        <v>3189</v>
      </c>
      <c r="X11" s="1635" t="s">
        <v>3190</v>
      </c>
      <c r="Y11" s="1635" t="s">
        <v>3191</v>
      </c>
      <c r="Z11" s="1635" t="s">
        <v>3192</v>
      </c>
      <c r="AA11" s="1635" t="s">
        <v>3192</v>
      </c>
      <c r="AB11" s="1635" t="s">
        <v>3193</v>
      </c>
      <c r="AC11" s="1635" t="s">
        <v>3127</v>
      </c>
      <c r="AD11" s="1635" t="s">
        <v>3197</v>
      </c>
      <c r="AE11" s="1635">
        <v>2724</v>
      </c>
      <c r="AF11" s="1635">
        <v>2724</v>
      </c>
      <c r="AG11" s="1635">
        <v>2734</v>
      </c>
      <c r="AH11" s="1635">
        <v>13.62</v>
      </c>
      <c r="AI11" s="1635">
        <v>13.67</v>
      </c>
      <c r="AJ11" s="1635">
        <v>255.45</v>
      </c>
      <c r="AK11" s="1635">
        <v>256.38</v>
      </c>
      <c r="AL11" s="1635" t="s">
        <v>1326</v>
      </c>
      <c r="AM11" s="1635">
        <v>0.37</v>
      </c>
      <c r="AN11" s="1635" t="s">
        <v>3129</v>
      </c>
      <c r="AO11" s="1635" t="s">
        <v>1326</v>
      </c>
      <c r="AP11" s="1635" t="s">
        <v>1326</v>
      </c>
      <c r="AQ11" s="1635" t="s">
        <v>1326</v>
      </c>
      <c r="AR11" s="1635" t="s">
        <v>3130</v>
      </c>
      <c r="AS11" s="1635">
        <f t="shared" si="0"/>
        <v>205</v>
      </c>
    </row>
    <row r="12" spans="1:45" s="1635" customFormat="1" ht="13.2">
      <c r="A12" s="1635" t="s">
        <v>3198</v>
      </c>
      <c r="B12" s="1635" t="s">
        <v>3114</v>
      </c>
      <c r="C12" s="1635" t="s">
        <v>3115</v>
      </c>
      <c r="D12" s="1635" t="s">
        <v>3116</v>
      </c>
      <c r="E12" s="1635" t="s">
        <v>1326</v>
      </c>
      <c r="F12" s="1635" t="s">
        <v>3198</v>
      </c>
      <c r="G12" s="1635" t="s">
        <v>3117</v>
      </c>
      <c r="H12" s="1635" t="s">
        <v>3199</v>
      </c>
      <c r="I12" s="1635" t="s">
        <v>3115</v>
      </c>
      <c r="J12" s="1635">
        <v>26554.73</v>
      </c>
      <c r="K12" s="1635">
        <v>21243.78</v>
      </c>
      <c r="L12" s="1635" t="s">
        <v>3178</v>
      </c>
      <c r="M12" s="1635" t="s">
        <v>1326</v>
      </c>
      <c r="N12" s="1635" t="s">
        <v>3179</v>
      </c>
      <c r="O12" s="1635" t="s">
        <v>3180</v>
      </c>
      <c r="P12" s="1635" t="s">
        <v>1326</v>
      </c>
      <c r="Q12" s="1635" t="s">
        <v>1326</v>
      </c>
      <c r="R12" s="1635" t="s">
        <v>1326</v>
      </c>
      <c r="S12" s="1635" t="s">
        <v>1326</v>
      </c>
      <c r="T12" s="1635" t="s">
        <v>1326</v>
      </c>
      <c r="U12" s="1635" t="s">
        <v>1326</v>
      </c>
      <c r="V12" s="1635" t="s">
        <v>1326</v>
      </c>
      <c r="W12" s="1635" t="s">
        <v>3189</v>
      </c>
      <c r="X12" s="1635" t="s">
        <v>3190</v>
      </c>
      <c r="Y12" s="1635" t="s">
        <v>3191</v>
      </c>
      <c r="Z12" s="1635" t="s">
        <v>3192</v>
      </c>
      <c r="AA12" s="1635" t="s">
        <v>3192</v>
      </c>
      <c r="AB12" s="1635" t="s">
        <v>3193</v>
      </c>
      <c r="AC12" s="1635" t="s">
        <v>3127</v>
      </c>
      <c r="AD12" s="1635" t="s">
        <v>3200</v>
      </c>
      <c r="AE12" s="1635">
        <v>543</v>
      </c>
      <c r="AF12" s="1635">
        <v>543</v>
      </c>
      <c r="AG12" s="1635">
        <v>545</v>
      </c>
      <c r="AH12" s="1635">
        <v>13.63</v>
      </c>
      <c r="AI12" s="1635">
        <v>13.68</v>
      </c>
      <c r="AJ12" s="1635">
        <v>255.6</v>
      </c>
      <c r="AK12" s="1635">
        <v>256.55</v>
      </c>
      <c r="AL12" s="1635" t="s">
        <v>1326</v>
      </c>
      <c r="AM12" s="1635">
        <v>0.37</v>
      </c>
      <c r="AN12" s="1635" t="s">
        <v>3129</v>
      </c>
      <c r="AO12" s="1635" t="s">
        <v>1326</v>
      </c>
      <c r="AP12" s="1635" t="s">
        <v>1326</v>
      </c>
      <c r="AQ12" s="1635" t="s">
        <v>1326</v>
      </c>
      <c r="AR12" s="1635" t="s">
        <v>3130</v>
      </c>
      <c r="AS12" s="1635">
        <f t="shared" si="0"/>
        <v>205</v>
      </c>
    </row>
    <row r="13" spans="1:45" s="3287" customFormat="1" ht="13.2">
      <c r="A13" s="3287" t="s">
        <v>3201</v>
      </c>
      <c r="B13" s="3287" t="s">
        <v>3114</v>
      </c>
      <c r="C13" s="3287" t="s">
        <v>3115</v>
      </c>
      <c r="D13" s="3287" t="s">
        <v>3116</v>
      </c>
      <c r="E13" s="3287" t="s">
        <v>1326</v>
      </c>
      <c r="F13" s="3287" t="s">
        <v>3201</v>
      </c>
      <c r="G13" s="3287" t="s">
        <v>3117</v>
      </c>
      <c r="H13" s="3287" t="s">
        <v>3202</v>
      </c>
      <c r="I13" s="3287" t="s">
        <v>3115</v>
      </c>
      <c r="J13" s="3287">
        <v>61944.56</v>
      </c>
      <c r="K13" s="3287">
        <v>68139.02</v>
      </c>
      <c r="L13" s="3287" t="s">
        <v>3203</v>
      </c>
      <c r="M13" s="3287" t="s">
        <v>1326</v>
      </c>
      <c r="N13" s="3287" t="s">
        <v>3179</v>
      </c>
      <c r="O13" s="3287" t="s">
        <v>3180</v>
      </c>
      <c r="P13" s="3287" t="s">
        <v>1326</v>
      </c>
      <c r="Q13" s="3287" t="s">
        <v>1326</v>
      </c>
      <c r="R13" s="3287" t="s">
        <v>1326</v>
      </c>
      <c r="S13" s="3287" t="s">
        <v>1326</v>
      </c>
      <c r="T13" s="3287" t="s">
        <v>1326</v>
      </c>
      <c r="U13" s="3287" t="s">
        <v>1326</v>
      </c>
      <c r="V13" s="3287" t="s">
        <v>1326</v>
      </c>
      <c r="W13" s="3287" t="s">
        <v>3189</v>
      </c>
      <c r="X13" s="3287" t="s">
        <v>3204</v>
      </c>
      <c r="Y13" s="3287" t="s">
        <v>3205</v>
      </c>
      <c r="Z13" s="3287" t="s">
        <v>3206</v>
      </c>
      <c r="AA13" s="3287" t="s">
        <v>3206</v>
      </c>
      <c r="AB13" s="3287" t="s">
        <v>3207</v>
      </c>
      <c r="AC13" s="3287" t="s">
        <v>3127</v>
      </c>
      <c r="AD13" s="3287" t="s">
        <v>3208</v>
      </c>
      <c r="AE13" s="3287">
        <v>1266</v>
      </c>
      <c r="AF13" s="3287">
        <v>1266</v>
      </c>
      <c r="AG13" s="3287">
        <v>1271</v>
      </c>
      <c r="AH13" s="3287">
        <v>13.63</v>
      </c>
      <c r="AI13" s="3287">
        <v>13.68</v>
      </c>
      <c r="AJ13" s="3287">
        <v>185.79</v>
      </c>
      <c r="AK13" s="3287">
        <v>186.53</v>
      </c>
      <c r="AL13" s="3287" t="s">
        <v>1326</v>
      </c>
      <c r="AM13" s="3287">
        <v>0.39</v>
      </c>
      <c r="AN13" s="3287" t="s">
        <v>3129</v>
      </c>
      <c r="AO13" s="3287" t="s">
        <v>1326</v>
      </c>
      <c r="AP13" s="3287" t="s">
        <v>1326</v>
      </c>
      <c r="AQ13" s="3287" t="s">
        <v>1326</v>
      </c>
      <c r="AR13" s="3287" t="s">
        <v>3130</v>
      </c>
      <c r="AS13" s="3287">
        <f t="shared" si="0"/>
        <v>205</v>
      </c>
    </row>
    <row r="14" spans="1:45" s="1635" customFormat="1" ht="13.2">
      <c r="A14" s="1635" t="s">
        <v>3209</v>
      </c>
      <c r="B14" s="1635" t="s">
        <v>3114</v>
      </c>
      <c r="C14" s="1635" t="s">
        <v>3115</v>
      </c>
      <c r="D14" s="1635" t="s">
        <v>3116</v>
      </c>
      <c r="E14" s="1635" t="s">
        <v>1326</v>
      </c>
      <c r="F14" s="1635" t="s">
        <v>3209</v>
      </c>
      <c r="G14" s="1635" t="s">
        <v>3117</v>
      </c>
      <c r="H14" s="1635" t="s">
        <v>3210</v>
      </c>
      <c r="I14" s="1635" t="s">
        <v>3115</v>
      </c>
      <c r="J14" s="1635">
        <v>33363.120000000003</v>
      </c>
      <c r="K14" s="1635">
        <v>26690.5</v>
      </c>
      <c r="L14" s="1635" t="s">
        <v>3178</v>
      </c>
      <c r="M14" s="1635" t="s">
        <v>1326</v>
      </c>
      <c r="N14" s="1635" t="s">
        <v>3179</v>
      </c>
      <c r="O14" s="1635" t="s">
        <v>3180</v>
      </c>
      <c r="P14" s="1635" t="s">
        <v>1326</v>
      </c>
      <c r="Q14" s="1635" t="s">
        <v>1326</v>
      </c>
      <c r="R14" s="1635" t="s">
        <v>1326</v>
      </c>
      <c r="S14" s="1635" t="s">
        <v>1326</v>
      </c>
      <c r="T14" s="1635" t="s">
        <v>1326</v>
      </c>
      <c r="U14" s="1635" t="s">
        <v>1326</v>
      </c>
      <c r="V14" s="1635" t="s">
        <v>1326</v>
      </c>
      <c r="W14" s="1635" t="s">
        <v>3189</v>
      </c>
      <c r="X14" s="1635" t="s">
        <v>3211</v>
      </c>
      <c r="Y14" s="1635" t="s">
        <v>3212</v>
      </c>
      <c r="Z14" s="1635" t="s">
        <v>3213</v>
      </c>
      <c r="AA14" s="1635" t="s">
        <v>3213</v>
      </c>
      <c r="AB14" s="1635" t="s">
        <v>3214</v>
      </c>
      <c r="AC14" s="1635" t="s">
        <v>3127</v>
      </c>
      <c r="AD14" s="1635" t="s">
        <v>3215</v>
      </c>
      <c r="AE14" s="1635">
        <v>682</v>
      </c>
      <c r="AF14" s="1635">
        <v>682</v>
      </c>
      <c r="AG14" s="1635">
        <v>684</v>
      </c>
      <c r="AH14" s="1635">
        <v>13.63</v>
      </c>
      <c r="AI14" s="1635">
        <v>13.67</v>
      </c>
      <c r="AJ14" s="1635">
        <v>255.52</v>
      </c>
      <c r="AK14" s="1635">
        <v>256.26</v>
      </c>
      <c r="AL14" s="1635" t="s">
        <v>1326</v>
      </c>
      <c r="AM14" s="1635">
        <v>0.28999999999999998</v>
      </c>
      <c r="AN14" s="1635" t="s">
        <v>3129</v>
      </c>
      <c r="AO14" s="1635" t="s">
        <v>1326</v>
      </c>
      <c r="AP14" s="1635" t="s">
        <v>1326</v>
      </c>
      <c r="AQ14" s="1635" t="s">
        <v>1326</v>
      </c>
      <c r="AR14" s="1635" t="s">
        <v>3130</v>
      </c>
      <c r="AS14" s="1635">
        <f t="shared" si="0"/>
        <v>205</v>
      </c>
    </row>
    <row r="15" spans="1:45" s="1635" customFormat="1" ht="13.2">
      <c r="A15" s="1635" t="s">
        <v>3216</v>
      </c>
      <c r="B15" s="1635" t="s">
        <v>3114</v>
      </c>
      <c r="C15" s="1635" t="s">
        <v>3115</v>
      </c>
      <c r="D15" s="1635" t="s">
        <v>3116</v>
      </c>
      <c r="E15" s="1635" t="s">
        <v>1326</v>
      </c>
      <c r="F15" s="1635" t="s">
        <v>3216</v>
      </c>
      <c r="G15" s="1635" t="s">
        <v>3117</v>
      </c>
      <c r="H15" s="1635" t="s">
        <v>3217</v>
      </c>
      <c r="I15" s="1635" t="s">
        <v>3115</v>
      </c>
      <c r="J15" s="1635">
        <v>66680.479999999996</v>
      </c>
      <c r="K15" s="1635">
        <v>53344.38</v>
      </c>
      <c r="L15" s="1635" t="s">
        <v>3178</v>
      </c>
      <c r="M15" s="1635" t="s">
        <v>1326</v>
      </c>
      <c r="N15" s="1635" t="s">
        <v>3179</v>
      </c>
      <c r="O15" s="1635" t="s">
        <v>3180</v>
      </c>
      <c r="P15" s="1635" t="s">
        <v>1326</v>
      </c>
      <c r="Q15" s="1635" t="s">
        <v>1326</v>
      </c>
      <c r="R15" s="1635" t="s">
        <v>1326</v>
      </c>
      <c r="S15" s="1635" t="s">
        <v>1326</v>
      </c>
      <c r="T15" s="1635" t="s">
        <v>1326</v>
      </c>
      <c r="U15" s="1635" t="s">
        <v>1326</v>
      </c>
      <c r="V15" s="1635" t="s">
        <v>1326</v>
      </c>
      <c r="W15" s="1635" t="s">
        <v>3189</v>
      </c>
      <c r="X15" s="1635" t="s">
        <v>3211</v>
      </c>
      <c r="Y15" s="1635" t="s">
        <v>3212</v>
      </c>
      <c r="Z15" s="1635" t="s">
        <v>3213</v>
      </c>
      <c r="AA15" s="1635" t="s">
        <v>3213</v>
      </c>
      <c r="AB15" s="1635" t="s">
        <v>3218</v>
      </c>
      <c r="AC15" s="1635" t="s">
        <v>3127</v>
      </c>
      <c r="AD15" s="1635" t="s">
        <v>3219</v>
      </c>
      <c r="AE15" s="1635">
        <v>1362</v>
      </c>
      <c r="AF15" s="1635">
        <v>1362</v>
      </c>
      <c r="AG15" s="1635">
        <v>1367</v>
      </c>
      <c r="AH15" s="1635">
        <v>13.62</v>
      </c>
      <c r="AI15" s="1635">
        <v>13.67</v>
      </c>
      <c r="AJ15" s="1635">
        <v>255.32</v>
      </c>
      <c r="AK15" s="1635">
        <v>256.25</v>
      </c>
      <c r="AL15" s="1635" t="s">
        <v>1326</v>
      </c>
      <c r="AM15" s="1635">
        <v>0.37</v>
      </c>
      <c r="AN15" s="1635" t="s">
        <v>3129</v>
      </c>
      <c r="AO15" s="1635" t="s">
        <v>1326</v>
      </c>
      <c r="AP15" s="1635" t="s">
        <v>1326</v>
      </c>
      <c r="AQ15" s="1635" t="s">
        <v>1326</v>
      </c>
      <c r="AR15" s="1635" t="s">
        <v>3130</v>
      </c>
      <c r="AS15" s="1635">
        <f t="shared" si="0"/>
        <v>205</v>
      </c>
    </row>
    <row r="16" spans="1:45" s="1635" customFormat="1" ht="13.2">
      <c r="A16" s="1635" t="s">
        <v>3220</v>
      </c>
      <c r="B16" s="1635" t="s">
        <v>3114</v>
      </c>
      <c r="C16" s="1635" t="s">
        <v>3115</v>
      </c>
      <c r="D16" s="1635" t="s">
        <v>3116</v>
      </c>
      <c r="E16" s="1635" t="s">
        <v>1326</v>
      </c>
      <c r="F16" s="1635" t="s">
        <v>3220</v>
      </c>
      <c r="G16" s="1635" t="s">
        <v>3117</v>
      </c>
      <c r="H16" s="1635" t="s">
        <v>3221</v>
      </c>
      <c r="I16" s="1635" t="s">
        <v>3115</v>
      </c>
      <c r="J16" s="1635">
        <v>21435.84</v>
      </c>
      <c r="K16" s="1635">
        <v>17148.669999999998</v>
      </c>
      <c r="L16" s="1635" t="s">
        <v>3178</v>
      </c>
      <c r="M16" s="1635" t="s">
        <v>1326</v>
      </c>
      <c r="N16" s="1635" t="s">
        <v>3179</v>
      </c>
      <c r="O16" s="1635" t="s">
        <v>3180</v>
      </c>
      <c r="P16" s="1635" t="s">
        <v>1326</v>
      </c>
      <c r="Q16" s="1635" t="s">
        <v>1326</v>
      </c>
      <c r="R16" s="1635" t="s">
        <v>1326</v>
      </c>
      <c r="S16" s="1635" t="s">
        <v>1326</v>
      </c>
      <c r="T16" s="1635" t="s">
        <v>1326</v>
      </c>
      <c r="U16" s="1635" t="s">
        <v>1326</v>
      </c>
      <c r="V16" s="1635" t="s">
        <v>1326</v>
      </c>
      <c r="W16" s="1635" t="s">
        <v>3189</v>
      </c>
      <c r="X16" s="1635" t="s">
        <v>3211</v>
      </c>
      <c r="Y16" s="1635" t="s">
        <v>3212</v>
      </c>
      <c r="Z16" s="1635" t="s">
        <v>3213</v>
      </c>
      <c r="AA16" s="1635" t="s">
        <v>3213</v>
      </c>
      <c r="AB16" s="1635" t="s">
        <v>3222</v>
      </c>
      <c r="AC16" s="1635" t="s">
        <v>3127</v>
      </c>
      <c r="AD16" s="1635" t="s">
        <v>3223</v>
      </c>
      <c r="AE16" s="1635">
        <v>438</v>
      </c>
      <c r="AF16" s="1635">
        <v>438</v>
      </c>
      <c r="AG16" s="1635">
        <v>440</v>
      </c>
      <c r="AH16" s="1635">
        <v>13.62</v>
      </c>
      <c r="AI16" s="1635">
        <v>13.68</v>
      </c>
      <c r="AJ16" s="1635">
        <v>255.41</v>
      </c>
      <c r="AK16" s="1635">
        <v>256.57</v>
      </c>
      <c r="AL16" s="1635" t="s">
        <v>1326</v>
      </c>
      <c r="AM16" s="1635">
        <v>0.46</v>
      </c>
      <c r="AN16" s="1635" t="s">
        <v>3129</v>
      </c>
      <c r="AO16" s="1635" t="s">
        <v>1326</v>
      </c>
      <c r="AP16" s="1635" t="s">
        <v>1326</v>
      </c>
      <c r="AQ16" s="1635" t="s">
        <v>1326</v>
      </c>
      <c r="AR16" s="1635" t="s">
        <v>3130</v>
      </c>
      <c r="AS16" s="1635">
        <f t="shared" si="0"/>
        <v>205</v>
      </c>
    </row>
  </sheetData>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2" customWidth="1"/>
    <col min="33" max="36" width="9.33203125" style="2788" customWidth="1"/>
    <col min="37" max="38" width="9.33203125" style="2720" customWidth="1"/>
    <col min="39" max="16384" width="12" style="2720"/>
  </cols>
  <sheetData>
    <row r="1" spans="1:36" ht="31.2">
      <c r="A1" s="240" t="s">
        <v>2801</v>
      </c>
      <c r="B1" s="241"/>
      <c r="C1" s="245" t="s">
        <v>2802</v>
      </c>
      <c r="D1" s="388">
        <f>SUM(D29:D30,D33:D39)</f>
        <v>0</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6">
      <c r="A2" s="245" t="s">
        <v>2809</v>
      </c>
      <c r="B2" s="248" t="e">
        <f>C26</f>
        <v>#DIV/0!</v>
      </c>
      <c r="C2" s="2721" t="s">
        <v>2810</v>
      </c>
      <c r="D2" s="2722" t="s">
        <v>2811</v>
      </c>
      <c r="E2" s="2723"/>
      <c r="F2" s="2722" t="s">
        <v>2812</v>
      </c>
      <c r="G2" s="2724">
        <f>IF(E2="商业",项目基本情况!B37,IF(E2="办公",项目基本情况!C37,IF(E2="住宅",项目基本情况!D37,项目基本情况!E37)))</f>
        <v>0</v>
      </c>
      <c r="H2" s="2722" t="s">
        <v>2813</v>
      </c>
      <c r="I2" s="2724">
        <f>IF(E2="商业",项目基本情况!B38,IF(E2="办公",项目基本情况!C38,IF(E2="住宅",项目基本情况!D38,项目基本情况!E38)))</f>
        <v>0</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2815</v>
      </c>
      <c r="B3" s="248" t="e">
        <f>ROUND(B2*10000/D1,0)</f>
        <v>#DIV/0!</v>
      </c>
      <c r="C3" s="2721" t="s">
        <v>2816</v>
      </c>
      <c r="D3" s="2722" t="s">
        <v>2817</v>
      </c>
      <c r="E3" s="2727"/>
      <c r="F3" s="2728" t="s">
        <v>2818</v>
      </c>
      <c r="G3" s="916">
        <f>IF(F3="宗地容积率",'数据-汇总表'!I4,IF(F3="估价对象容积率",'数据-汇总表'!I6,'数据-汇总表'!I7))</f>
        <v>0.22</v>
      </c>
      <c r="H3" s="198" t="s">
        <v>2819</v>
      </c>
      <c r="I3" s="944"/>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254"/>
      <c r="B4" s="3255"/>
      <c r="C4" s="3255"/>
      <c r="D4" s="3256"/>
      <c r="E4" s="3256"/>
      <c r="F4" s="3256"/>
      <c r="G4" s="3256"/>
      <c r="H4" s="3256"/>
      <c r="I4" s="3256"/>
      <c r="J4" s="3257"/>
      <c r="K4" s="1370"/>
      <c r="L4" s="272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6" thickBot="1">
      <c r="A5" s="2729" t="s">
        <v>807</v>
      </c>
      <c r="B5" s="2730" t="s">
        <v>2823</v>
      </c>
      <c r="C5" s="917" t="e">
        <f>ROUND(IF(E2="商业",C6*C7+C16,(IF(E2="住宅",C6*C12+C16,C6+C16))),0)</f>
        <v>#DIV/0!</v>
      </c>
      <c r="D5" s="1787" t="e">
        <f>ROUND(C6+C16,0)</f>
        <v>#DIV/0!</v>
      </c>
      <c r="E5" s="1787"/>
      <c r="F5" s="2731"/>
      <c r="G5" s="2732"/>
      <c r="H5" s="2732"/>
      <c r="I5" s="2732"/>
      <c r="J5" s="2733"/>
      <c r="K5" s="2734"/>
      <c r="L5" s="2726"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6" thickBot="1">
      <c r="A6" s="2739" t="s">
        <v>2825</v>
      </c>
      <c r="B6" s="2740" t="s">
        <v>2826</v>
      </c>
      <c r="C6" s="918">
        <f>SUMIF(L1:L12,G2,M1:M12)</f>
        <v>0</v>
      </c>
      <c r="D6" s="2741" t="s">
        <v>2827</v>
      </c>
      <c r="E6" s="2742"/>
      <c r="F6" s="2742"/>
      <c r="G6" s="2743"/>
      <c r="H6" s="2743"/>
      <c r="I6" s="2743"/>
      <c r="J6" s="2744"/>
      <c r="K6" s="1842"/>
      <c r="L6" s="272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38" t="str">
        <f>IF(E2="商业",IF(C8="不临58条商业街","",2),"")</f>
        <v/>
      </c>
      <c r="B7" s="2745" t="s">
        <v>2829</v>
      </c>
      <c r="C7" s="919" t="e">
        <f>IF(C8="不临58条商业街",1,ROUND(1+(1.6*E8+1.2*E9+0.8*E10+0.4*E11)*C9,4))</f>
        <v>#DIV/0!</v>
      </c>
      <c r="D7" s="2746" t="s">
        <v>2830</v>
      </c>
      <c r="E7" s="945"/>
      <c r="F7" s="2747"/>
      <c r="G7" s="2748"/>
      <c r="H7" s="2748"/>
      <c r="I7" s="2748"/>
      <c r="J7" s="2749"/>
      <c r="K7" s="1842"/>
      <c r="L7" s="2726"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2832</v>
      </c>
      <c r="X7" s="1604">
        <f>G2</f>
        <v>0</v>
      </c>
      <c r="Y7" s="1604" t="s">
        <v>2833</v>
      </c>
      <c r="Z7" s="1605">
        <f>G3</f>
        <v>0.22</v>
      </c>
      <c r="AA7" s="1606"/>
      <c r="AB7" s="1606"/>
      <c r="AC7" s="1607"/>
      <c r="AD7" s="1608"/>
      <c r="AE7" s="1608"/>
      <c r="AF7" s="1608"/>
      <c r="AG7" s="1608"/>
      <c r="AH7" s="1608"/>
      <c r="AI7" s="1608"/>
      <c r="AJ7" s="1609"/>
    </row>
    <row r="8" spans="1:36" ht="15">
      <c r="A8" s="3258"/>
      <c r="B8" s="198" t="s">
        <v>2834</v>
      </c>
      <c r="C8" s="2750"/>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1" t="s">
        <v>2837</v>
      </c>
      <c r="X8" s="3252"/>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58"/>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3"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8"/>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58"/>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3" t="s">
        <v>2861</v>
      </c>
      <c r="X11" s="1614" t="s">
        <v>2862</v>
      </c>
      <c r="Y11" s="1615">
        <f>$G$3</f>
        <v>0.22</v>
      </c>
      <c r="Z11" s="1615">
        <f t="shared" ref="Z11:AJ11" si="3">$G$3</f>
        <v>0.22</v>
      </c>
      <c r="AA11" s="1615">
        <f t="shared" si="3"/>
        <v>0.22</v>
      </c>
      <c r="AB11" s="1615">
        <f t="shared" si="3"/>
        <v>0.22</v>
      </c>
      <c r="AC11" s="1615">
        <f t="shared" si="3"/>
        <v>0.22</v>
      </c>
      <c r="AD11" s="1615">
        <f t="shared" si="3"/>
        <v>0.22</v>
      </c>
      <c r="AE11" s="1615">
        <f t="shared" si="3"/>
        <v>0.22</v>
      </c>
      <c r="AF11" s="1615">
        <f t="shared" si="3"/>
        <v>0.22</v>
      </c>
      <c r="AG11" s="1615">
        <f t="shared" si="3"/>
        <v>0.22</v>
      </c>
      <c r="AH11" s="1615">
        <f t="shared" si="3"/>
        <v>0.22</v>
      </c>
      <c r="AI11" s="1615">
        <f t="shared" si="3"/>
        <v>0.22</v>
      </c>
      <c r="AJ11" s="1615">
        <f t="shared" si="3"/>
        <v>0.22</v>
      </c>
    </row>
    <row r="12" spans="1:36" ht="25.8" thickBot="1">
      <c r="A12" s="3238"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3"/>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9"/>
      <c r="B13" s="2764" t="s">
        <v>2868</v>
      </c>
      <c r="C13" s="2765" t="s">
        <v>2869</v>
      </c>
      <c r="D13" s="1808" t="s">
        <v>2870</v>
      </c>
      <c r="E13" s="1808" t="s">
        <v>2871</v>
      </c>
      <c r="F13" s="30" t="s">
        <v>2872</v>
      </c>
      <c r="G13" s="2766" t="s">
        <v>2873</v>
      </c>
      <c r="H13" s="2766" t="s">
        <v>2873</v>
      </c>
      <c r="I13" s="2766" t="s">
        <v>2873</v>
      </c>
      <c r="J13" s="2767" t="s">
        <v>2873</v>
      </c>
      <c r="K13" s="1370"/>
      <c r="L13" s="1370"/>
      <c r="M13" s="1370"/>
      <c r="N13" s="1370"/>
      <c r="O13" s="1370"/>
      <c r="P13" s="1370"/>
      <c r="Q13" s="1370"/>
      <c r="R13" s="1602">
        <v>12</v>
      </c>
      <c r="S13" s="1603"/>
      <c r="T13" s="1602" t="e">
        <f t="shared" si="0"/>
        <v>#DIV/0!</v>
      </c>
      <c r="U13" s="1603"/>
      <c r="V13" s="1602" t="e">
        <f t="shared" si="1"/>
        <v>#DIV/0!</v>
      </c>
      <c r="W13" s="3253"/>
      <c r="X13" s="1616"/>
      <c r="Y13" s="1613">
        <f>(-0.163*(Y12^2)-0.59*Y12+7617)*(10^(-4))/Y11</f>
        <v>3.4622727272727274</v>
      </c>
      <c r="Z13" s="1613">
        <f t="shared" ref="Z13:AJ13" si="5">(-0.163*(Z12^2)-0.59*Z12+7617)*(10^(-4))/Z11</f>
        <v>3.4622727272727274</v>
      </c>
      <c r="AA13" s="1613">
        <f t="shared" si="5"/>
        <v>3.4622727272727274</v>
      </c>
      <c r="AB13" s="1613">
        <f t="shared" si="5"/>
        <v>3.4622727272727274</v>
      </c>
      <c r="AC13" s="1613">
        <f t="shared" si="5"/>
        <v>3.4622727272727274</v>
      </c>
      <c r="AD13" s="1613">
        <f t="shared" si="5"/>
        <v>3.4622727272727274</v>
      </c>
      <c r="AE13" s="1613">
        <f t="shared" si="5"/>
        <v>3.4622727272727274</v>
      </c>
      <c r="AF13" s="1613">
        <f t="shared" si="5"/>
        <v>3.4622727272727274</v>
      </c>
      <c r="AG13" s="1613">
        <f t="shared" si="5"/>
        <v>3.4622727272727274</v>
      </c>
      <c r="AH13" s="1613">
        <f t="shared" si="5"/>
        <v>3.4622727272727274</v>
      </c>
      <c r="AI13" s="1613">
        <f t="shared" si="5"/>
        <v>3.4622727272727274</v>
      </c>
      <c r="AJ13" s="1613">
        <f t="shared" si="5"/>
        <v>3.4622727272727274</v>
      </c>
    </row>
    <row r="14" spans="1:36" ht="15">
      <c r="A14" s="3259"/>
      <c r="B14" s="2768"/>
      <c r="C14" s="2769"/>
      <c r="D14" s="2770"/>
      <c r="E14" s="2770"/>
      <c r="F14" s="2771"/>
      <c r="G14" s="2772" t="s">
        <v>2874</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260"/>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38" t="s">
        <v>2880</v>
      </c>
      <c r="B16" s="2745" t="s">
        <v>2881</v>
      </c>
      <c r="C16" s="2932" t="e">
        <f>ROUND(IF(F17="与级别开发程度一致",0,(G17-E17)/C17),0)</f>
        <v>#DIV/0!</v>
      </c>
      <c r="D16" s="3249" t="s">
        <v>2885</v>
      </c>
      <c r="E16" s="3250"/>
      <c r="F16" s="3249" t="s">
        <v>2882</v>
      </c>
      <c r="G16" s="3250"/>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8" thickBot="1">
      <c r="A17" s="3239"/>
      <c r="B17" s="2943" t="s">
        <v>2884</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 thickBot="1">
      <c r="A18" s="2937" t="s">
        <v>808</v>
      </c>
      <c r="B18" s="2938" t="s">
        <v>2887</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4" thickBot="1">
      <c r="A19" s="2784" t="s">
        <v>809</v>
      </c>
      <c r="B19" s="2785" t="s">
        <v>2888</v>
      </c>
      <c r="C19" s="924" t="e">
        <f>ROUND(IF(H19="按公示增长率计算",SUMPRODUCT((地价!A3:A28=YEAR(G19)&amp;"-"&amp;ROUNDUP(MONTH(G19)/3,0))*(地价!X2:AB2=E2)*(地价!X3:AB28)),IF(H19="地价指数",M20/M19,(1+I19)^O19)),4)</f>
        <v>#VALUE!</v>
      </c>
      <c r="D19" s="2789" t="s">
        <v>2889</v>
      </c>
      <c r="E19" s="925">
        <v>41640</v>
      </c>
      <c r="F19" s="2789" t="s">
        <v>2890</v>
      </c>
      <c r="G19" s="926">
        <f>'数据-取费表'!B2</f>
        <v>43819</v>
      </c>
      <c r="H19" s="2790"/>
      <c r="I19" s="927" t="str">
        <f>IF(H19="季度增幅（自定义）",SUMIF(N21:N24,E2,O21:O24),"")</f>
        <v/>
      </c>
      <c r="J19" s="2787"/>
      <c r="K19" s="1377"/>
      <c r="L19" s="2791" t="s">
        <v>2891</v>
      </c>
      <c r="M19" s="1734">
        <f>ROUND(SUMIF(地价!B2:F2,E2,地价!B28:F28),0)</f>
        <v>0</v>
      </c>
      <c r="N19" s="2792" t="s">
        <v>2892</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9.4" thickBot="1">
      <c r="A20" s="2796" t="s">
        <v>810</v>
      </c>
      <c r="B20" s="2797" t="s">
        <v>2893</v>
      </c>
      <c r="C20" s="929" t="e">
        <f>ROUND(POWER(1+G20,J20-I20)*(POWER(1+G20,I20)-1)/(POWER(1+G20,J20)-1),4)</f>
        <v>#DIV/0!</v>
      </c>
      <c r="D20" s="2798" t="s">
        <v>2894</v>
      </c>
      <c r="E20" s="1768">
        <f ca="1">存贷款利率!D4/100</f>
        <v>4.3499999999999997E-2</v>
      </c>
      <c r="F20" s="2798" t="s">
        <v>2886</v>
      </c>
      <c r="G20" s="934">
        <f>SUMIF(M26:P26,E2,M28:P28)</f>
        <v>0</v>
      </c>
      <c r="H20" s="2798" t="s">
        <v>2895</v>
      </c>
      <c r="I20" s="935" t="e">
        <f>SUMIF('数据-取费表'!C6:C15,E2,'数据-取费表'!F6:F15)/COUNTIF('数据-取费表'!C6:C15,E2)</f>
        <v>#DIV/0!</v>
      </c>
      <c r="J20" s="936">
        <f>IF(E2="住宅",70,IF(E2="商业",40,50))</f>
        <v>50</v>
      </c>
      <c r="K20" s="1377"/>
      <c r="L20" s="2799" t="s">
        <v>2896</v>
      </c>
      <c r="M20" s="1735">
        <f>ROUND(SUMPRODUCT((地价!A4:A28=YEAR(G19)&amp;"-"&amp;ROUNDUP(MONTH(G19)/3,0))*(地价!B2:F2=E2)*(地价!B4:F28)),0)</f>
        <v>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4.4">
      <c r="A21" s="2803" t="s">
        <v>811</v>
      </c>
      <c r="B21" s="2804" t="s">
        <v>2900</v>
      </c>
      <c r="C21" s="937">
        <f>IF(B21="容积率修正",IF(G3&lt;=10,D22,J22),C23)</f>
        <v>0</v>
      </c>
      <c r="D21" s="2805"/>
      <c r="E21" s="2805"/>
      <c r="F21" s="2805"/>
      <c r="G21" s="2805"/>
      <c r="H21" s="2805"/>
      <c r="I21" s="2805"/>
      <c r="J21" s="2806"/>
      <c r="K21" s="1377"/>
      <c r="N21" s="2807" t="s">
        <v>2901</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8" customFormat="1" ht="14.4">
      <c r="A22" s="2664" t="s">
        <v>2902</v>
      </c>
      <c r="B22" s="2808" t="s">
        <v>2903</v>
      </c>
      <c r="C22" s="1810" t="s">
        <v>2904</v>
      </c>
      <c r="D22" s="1810">
        <f>IF(E22=G22,F22,IF(G3&lt;=10,ROUND(F22+(H22-F22)*(G3-E22)/(G22-E22),4),"——"))</f>
        <v>0</v>
      </c>
      <c r="E22" s="916">
        <f>ROUNDDOWN(G3,1)</f>
        <v>0.2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2905</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9.4" thickBot="1">
      <c r="A23" s="2664" t="s">
        <v>2906</v>
      </c>
      <c r="B23" s="2809" t="s">
        <v>2907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2908</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8"/>
    </row>
    <row r="24" spans="1:37" s="2738" customFormat="1" ht="15" thickBot="1">
      <c r="A24" s="2796" t="s">
        <v>812</v>
      </c>
      <c r="B24" s="2785" t="s">
        <v>2909</v>
      </c>
      <c r="C24" s="924">
        <f>SUMIF(A45:A88,E2,B45:B88)</f>
        <v>0</v>
      </c>
      <c r="D24" s="2786"/>
      <c r="E24" s="2815"/>
      <c r="F24" s="2815"/>
      <c r="G24" s="2815"/>
      <c r="H24" s="2815"/>
      <c r="I24" s="2815"/>
      <c r="J24" s="2816"/>
      <c r="K24" s="1377"/>
      <c r="N24" s="2817" t="s">
        <v>2910</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 thickBot="1">
      <c r="A25" s="2796" t="s">
        <v>813</v>
      </c>
      <c r="B25" s="2818" t="s">
        <v>2911</v>
      </c>
      <c r="C25" s="930"/>
      <c r="D25" s="2748"/>
      <c r="E25" s="2748"/>
      <c r="F25" s="2819"/>
      <c r="G25" s="2748"/>
      <c r="H25" s="2748"/>
      <c r="I25" s="2748"/>
      <c r="J25" s="2749"/>
      <c r="K25" s="1370"/>
      <c r="N25" s="2820" t="s">
        <v>2912</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4.4">
      <c r="A26" s="2821"/>
      <c r="B26" s="2808" t="s">
        <v>2913</v>
      </c>
      <c r="C26" s="206" t="e">
        <f>E29+SUM(E33:E39)</f>
        <v>#DIV/0!</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 thickBot="1">
      <c r="A27" s="2821"/>
      <c r="B27" s="2825" t="s">
        <v>2914</v>
      </c>
      <c r="C27" s="931" t="e">
        <f>E30+SUM(I33:I39)</f>
        <v>#DIV/0!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t="e">
        <f>ROUND(C5*C18*C19*C20*C21*C24,0)</f>
        <v>#DIV/0!</v>
      </c>
      <c r="D29" s="2837"/>
      <c r="E29" s="942" t="e">
        <f>ROUND(C29*D29/10000,0)</f>
        <v>#DIV/0!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8" thickBot="1">
      <c r="A30" s="2841"/>
      <c r="B30" s="2842" t="s">
        <v>2921</v>
      </c>
      <c r="C30" s="229" t="e">
        <f>ROUND(IF(E2="工业",C29*M39,C29*M38),0)</f>
        <v>#DIV/0!</v>
      </c>
      <c r="D30" s="2843"/>
      <c r="E30" s="942" t="e">
        <f>ROUND(C30*D30/10000,0)</f>
        <v>#DIV/0!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3.8">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36">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46" t="s">
        <v>2927</v>
      </c>
      <c r="B33" s="2853" t="s">
        <v>2928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47"/>
      <c r="B34" s="2765" t="s">
        <v>2929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7"/>
      <c r="B35" s="2765" t="s">
        <v>2930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8" thickBot="1">
      <c r="A36" s="3248"/>
      <c r="B36" s="2765" t="s">
        <v>2931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2935</v>
      </c>
      <c r="M38" s="2858">
        <v>0.25</v>
      </c>
      <c r="N38" s="1370"/>
      <c r="O38" s="1370"/>
      <c r="P38" s="1370"/>
      <c r="Q38" s="1370"/>
      <c r="R38" s="1370"/>
      <c r="S38" s="1370"/>
      <c r="T38" s="1370"/>
      <c r="U38" s="1370"/>
      <c r="V38" s="1370"/>
      <c r="W38" s="1370"/>
      <c r="X38" s="1370"/>
      <c r="Y38" s="1370"/>
      <c r="Z38" s="1371"/>
    </row>
    <row r="39" spans="1:37" ht="13.8" thickBot="1">
      <c r="A39" s="2841"/>
      <c r="B39" s="2859" t="s">
        <v>2936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0" t="s">
        <v>3044</v>
      </c>
      <c r="C41" s="388" t="e">
        <f>ROUND(POWER(1+E41,H41-G41)*(POWER(1+E41,G41)-1)/(POWER(1+E41,H41)-1),4)</f>
        <v>#DIV/0!</v>
      </c>
      <c r="D41" s="200" t="s">
        <v>2886</v>
      </c>
      <c r="E41" s="2929">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4.4">
      <c r="A46" s="2866" t="s">
        <v>2938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5.2">
      <c r="A47" s="2870" t="s">
        <v>2939</v>
      </c>
      <c r="B47" s="1809" t="s">
        <v>2940</v>
      </c>
      <c r="C47" s="1809" t="s">
        <v>2941</v>
      </c>
      <c r="D47" s="1809" t="s">
        <v>2942</v>
      </c>
      <c r="E47" s="819" t="s">
        <v>2943</v>
      </c>
      <c r="F47" s="2871" t="s">
        <v>2944</v>
      </c>
      <c r="G47" s="1809" t="s">
        <v>754</v>
      </c>
      <c r="H47" s="2872" t="s">
        <v>2945</v>
      </c>
      <c r="I47" s="1809"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c r="A48" s="2870" t="s">
        <v>2947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0" t="s">
        <v>2948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0" t="s">
        <v>2950</v>
      </c>
      <c r="B51" s="2875" t="s">
        <v>2951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0" t="s">
        <v>2953</v>
      </c>
      <c r="B53" s="2876" t="s">
        <v>2954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7" t="s">
        <v>2955</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7" t="s">
        <v>2956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8" t="s">
        <v>2957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6" t="s">
        <v>2958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0" t="s">
        <v>2939</v>
      </c>
      <c r="B58" s="1809"/>
      <c r="C58" s="1809" t="s">
        <v>2941</v>
      </c>
      <c r="D58" s="1809" t="s">
        <v>2942</v>
      </c>
      <c r="E58" s="819" t="s">
        <v>2943</v>
      </c>
      <c r="F58" s="2871" t="s">
        <v>2959</v>
      </c>
      <c r="G58" s="1809" t="s">
        <v>754</v>
      </c>
      <c r="H58" s="2872" t="s">
        <v>2945</v>
      </c>
      <c r="I58" s="1809"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c r="A59" s="2870" t="s">
        <v>2960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0" t="s">
        <v>2948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0" t="s">
        <v>2950</v>
      </c>
      <c r="B62" s="2875" t="s">
        <v>2951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0" t="s">
        <v>2953</v>
      </c>
      <c r="B64" s="2876" t="s">
        <v>2954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0" t="s">
        <v>2955</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0" t="s">
        <v>2956</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8" t="s">
        <v>2957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0" t="s">
        <v>2939</v>
      </c>
      <c r="B69" s="1809"/>
      <c r="C69" s="1809" t="s">
        <v>2941</v>
      </c>
      <c r="D69" s="1809" t="s">
        <v>2942</v>
      </c>
      <c r="E69" s="819" t="s">
        <v>2943</v>
      </c>
      <c r="F69" s="2871" t="s">
        <v>2959</v>
      </c>
      <c r="G69" s="1809" t="s">
        <v>754</v>
      </c>
      <c r="H69" s="2872" t="s">
        <v>2945</v>
      </c>
      <c r="I69" s="1809"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c r="A70" s="2870" t="s">
        <v>2962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70" t="s">
        <v>2948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0" t="s">
        <v>2963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70" t="s">
        <v>2955</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0" t="s">
        <v>2956</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36">
      <c r="A76" s="2870" t="s">
        <v>2953</v>
      </c>
      <c r="B76" s="2876" t="s">
        <v>2954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9.6">
      <c r="A77" s="2870" t="s">
        <v>2957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36.6" thickBot="1">
      <c r="A78" s="2878" t="s">
        <v>2964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4.4">
      <c r="A79" s="2866" t="s">
        <v>2965</v>
      </c>
      <c r="B79" s="2867">
        <f>1+E81</f>
        <v>1</v>
      </c>
      <c r="C79" s="814"/>
      <c r="D79" s="814"/>
      <c r="E79" s="815"/>
      <c r="F79" s="2869"/>
      <c r="G79" s="6"/>
      <c r="H79" s="6"/>
      <c r="I79" s="6"/>
      <c r="J79" s="7"/>
      <c r="K79" s="7"/>
      <c r="L79" s="7"/>
      <c r="M79" s="7"/>
      <c r="N79" s="7"/>
      <c r="Z79" s="2720"/>
      <c r="AA79" s="2788"/>
      <c r="AG79" s="1372"/>
      <c r="AK79" s="2788"/>
    </row>
    <row r="80" spans="1:37" ht="25.2">
      <c r="A80" s="2870" t="s">
        <v>2939</v>
      </c>
      <c r="B80" s="1809"/>
      <c r="C80" s="1809" t="s">
        <v>2941</v>
      </c>
      <c r="D80" s="1809" t="s">
        <v>2942</v>
      </c>
      <c r="E80" s="819" t="s">
        <v>2943</v>
      </c>
      <c r="F80" s="2871" t="s">
        <v>2959</v>
      </c>
      <c r="G80" s="1809" t="s">
        <v>754</v>
      </c>
      <c r="H80" s="2872" t="s">
        <v>2945</v>
      </c>
      <c r="I80" s="1809" t="s">
        <v>2946</v>
      </c>
      <c r="J80" s="603" t="s">
        <v>2595</v>
      </c>
      <c r="K80" s="603" t="s">
        <v>2596</v>
      </c>
      <c r="L80" s="603" t="s">
        <v>2597</v>
      </c>
      <c r="M80" s="603" t="s">
        <v>2598</v>
      </c>
      <c r="N80" s="603" t="s">
        <v>2599</v>
      </c>
      <c r="Z80" s="2720"/>
      <c r="AA80" s="2788"/>
      <c r="AG80" s="1372"/>
      <c r="AK80" s="2788"/>
    </row>
    <row r="81" spans="1:37" ht="39.6">
      <c r="A81" s="2870" t="s">
        <v>2966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66">
      <c r="A82" s="2870" t="s">
        <v>2948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3.8">
      <c r="A84" s="2870" t="s">
        <v>2963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6.4">
      <c r="A85" s="2870" t="s">
        <v>2955</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6.4">
      <c r="A86" s="2870" t="s">
        <v>2956</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36">
      <c r="A87" s="2870" t="s">
        <v>2953</v>
      </c>
      <c r="B87" s="2876" t="s">
        <v>2967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53.4" thickBot="1">
      <c r="A88" s="2878" t="s">
        <v>2968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40" t="s">
        <v>2969</v>
      </c>
      <c r="B90" s="3240"/>
      <c r="C90" s="3240"/>
      <c r="D90" s="3240"/>
      <c r="E90" s="3240"/>
      <c r="F90" s="3240"/>
      <c r="G90" s="3240"/>
      <c r="H90" s="3240"/>
      <c r="I90" s="3240"/>
      <c r="J90" s="3240"/>
      <c r="K90" s="2884"/>
      <c r="L90" s="2884"/>
      <c r="M90" s="2884"/>
      <c r="N90" s="2884"/>
    </row>
    <row r="91" spans="1:37">
      <c r="A91" s="3242" t="s">
        <v>2970</v>
      </c>
      <c r="B91" s="3242" t="s">
        <v>2971</v>
      </c>
      <c r="C91" s="2838" t="s">
        <v>2972</v>
      </c>
      <c r="D91" s="2839"/>
      <c r="E91" s="2839"/>
      <c r="F91" s="2839"/>
      <c r="G91" s="2839"/>
      <c r="H91" s="2839"/>
      <c r="I91" s="2839"/>
      <c r="J91" s="2885"/>
      <c r="K91" s="2886"/>
      <c r="L91" s="2886"/>
      <c r="M91" s="2886"/>
      <c r="N91" s="2886"/>
    </row>
    <row r="92" spans="1:37">
      <c r="A92" s="3242"/>
      <c r="B92" s="3242"/>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43"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4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4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4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4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4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44"/>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4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43" t="s">
        <v>2974</v>
      </c>
      <c r="B101" s="2891" t="s">
        <v>2975</v>
      </c>
      <c r="C101" s="2892">
        <f>$G$3</f>
        <v>0.22</v>
      </c>
      <c r="D101" s="2892">
        <f t="shared" ref="D101:N101" si="31">$G$3</f>
        <v>0.22</v>
      </c>
      <c r="E101" s="2892">
        <f t="shared" si="31"/>
        <v>0.22</v>
      </c>
      <c r="F101" s="2892">
        <f t="shared" si="31"/>
        <v>0.22</v>
      </c>
      <c r="G101" s="2892">
        <f t="shared" si="31"/>
        <v>0.22</v>
      </c>
      <c r="H101" s="2892">
        <f t="shared" si="31"/>
        <v>0.22</v>
      </c>
      <c r="I101" s="2892">
        <f t="shared" si="31"/>
        <v>0.22</v>
      </c>
      <c r="J101" s="2892">
        <f t="shared" si="31"/>
        <v>0.22</v>
      </c>
      <c r="K101" s="2892">
        <f t="shared" si="31"/>
        <v>0.22</v>
      </c>
      <c r="L101" s="2892">
        <f t="shared" si="31"/>
        <v>0.22</v>
      </c>
      <c r="M101" s="2892">
        <f t="shared" si="31"/>
        <v>0.22</v>
      </c>
      <c r="N101" s="2892">
        <f t="shared" si="31"/>
        <v>0.22</v>
      </c>
    </row>
    <row r="102" spans="1:14">
      <c r="A102" s="3244"/>
      <c r="B102" s="2887">
        <v>1</v>
      </c>
      <c r="C102" s="2888">
        <f>1.9362/C101</f>
        <v>8.8009090909090908</v>
      </c>
      <c r="D102" s="2888">
        <f>1.9362/D101</f>
        <v>8.8009090909090908</v>
      </c>
      <c r="E102" s="2888">
        <f>1.8629/E101</f>
        <v>8.4677272727272719</v>
      </c>
      <c r="F102" s="2888">
        <f>1.8629/F101</f>
        <v>8.4677272727272719</v>
      </c>
      <c r="G102" s="2888">
        <f>1.8629/G101</f>
        <v>8.4677272727272719</v>
      </c>
      <c r="H102" s="2888">
        <f>1.8629/H101</f>
        <v>8.4677272727272719</v>
      </c>
      <c r="I102" s="2888">
        <f>1.8629/I101</f>
        <v>8.4677272727272719</v>
      </c>
      <c r="J102" s="2888">
        <f>1.942/J101</f>
        <v>8.8272727272727263</v>
      </c>
      <c r="K102" s="2888">
        <f>1.942/K101</f>
        <v>8.8272727272727263</v>
      </c>
      <c r="L102" s="2888">
        <f>1.942/L101</f>
        <v>8.8272727272727263</v>
      </c>
      <c r="M102" s="2888">
        <f>1.942/M101</f>
        <v>8.8272727272727263</v>
      </c>
      <c r="N102" s="2888">
        <f>1.942/N101</f>
        <v>8.8272727272727263</v>
      </c>
    </row>
    <row r="103" spans="1:14">
      <c r="A103" s="3244"/>
      <c r="B103" s="2887">
        <v>2</v>
      </c>
      <c r="C103" s="2888">
        <f>1.4198/C101</f>
        <v>6.4536363636363632</v>
      </c>
      <c r="D103" s="2888">
        <f>1.4198/D101</f>
        <v>6.4536363636363632</v>
      </c>
      <c r="E103" s="2888">
        <f>1.3372/E101</f>
        <v>6.0781818181818181</v>
      </c>
      <c r="F103" s="2888">
        <f>1.3372/F101</f>
        <v>6.0781818181818181</v>
      </c>
      <c r="G103" s="2888">
        <f>1.3372/G101</f>
        <v>6.0781818181818181</v>
      </c>
      <c r="H103" s="2888">
        <f>1.3372/H101</f>
        <v>6.0781818181818181</v>
      </c>
      <c r="I103" s="2888">
        <f>1.3372/I101</f>
        <v>6.0781818181818181</v>
      </c>
      <c r="J103" s="2888">
        <f>1.2799/J101</f>
        <v>5.8177272727272733</v>
      </c>
      <c r="K103" s="2888">
        <f>1.2799/K101</f>
        <v>5.8177272727272733</v>
      </c>
      <c r="L103" s="2888">
        <f>1.2799/L101</f>
        <v>5.8177272727272733</v>
      </c>
      <c r="M103" s="2888">
        <f>1.2799/M101</f>
        <v>5.8177272727272733</v>
      </c>
      <c r="N103" s="2888">
        <f>1.2799/N101</f>
        <v>5.8177272727272733</v>
      </c>
    </row>
    <row r="104" spans="1:14">
      <c r="A104" s="3244"/>
      <c r="B104" s="2887">
        <v>3</v>
      </c>
      <c r="C104" s="2888">
        <f>1.1594/C101</f>
        <v>5.27</v>
      </c>
      <c r="D104" s="2888">
        <f>1.1594/D101</f>
        <v>5.27</v>
      </c>
      <c r="E104" s="2888">
        <f>1.0788/E101</f>
        <v>4.9036363636363633</v>
      </c>
      <c r="F104" s="2888">
        <f>1.0788/F101</f>
        <v>4.9036363636363633</v>
      </c>
      <c r="G104" s="2888">
        <f>1.0788/G101</f>
        <v>4.9036363636363633</v>
      </c>
      <c r="H104" s="2888">
        <f>1.0788/H101</f>
        <v>4.9036363636363633</v>
      </c>
      <c r="I104" s="2888">
        <f>1.0788/I101</f>
        <v>4.9036363636363633</v>
      </c>
      <c r="J104" s="2888">
        <f>1.0072/J101</f>
        <v>4.578181818181819</v>
      </c>
      <c r="K104" s="2888">
        <f>1.0072/K101</f>
        <v>4.578181818181819</v>
      </c>
      <c r="L104" s="2888">
        <f>1.0072/L101</f>
        <v>4.578181818181819</v>
      </c>
      <c r="M104" s="2888">
        <f>1.0072/M101</f>
        <v>4.578181818181819</v>
      </c>
      <c r="N104" s="2888">
        <f>1.0072/N101</f>
        <v>4.578181818181819</v>
      </c>
    </row>
    <row r="105" spans="1:14">
      <c r="A105" s="3244"/>
      <c r="B105" s="2887">
        <v>4</v>
      </c>
      <c r="C105" s="2888">
        <f>0.9622/C101</f>
        <v>4.373636363636364</v>
      </c>
      <c r="D105" s="2888">
        <f>0.9622/D101</f>
        <v>4.373636363636364</v>
      </c>
      <c r="E105" s="2888">
        <f>0.8656/E101</f>
        <v>3.9345454545454546</v>
      </c>
      <c r="F105" s="2888">
        <f>0.8656/F101</f>
        <v>3.9345454545454546</v>
      </c>
      <c r="G105" s="2888">
        <f>0.8656/G101</f>
        <v>3.9345454545454546</v>
      </c>
      <c r="H105" s="2888">
        <f>0.8656/H101</f>
        <v>3.9345454545454546</v>
      </c>
      <c r="I105" s="2888">
        <f>0.8656/I101</f>
        <v>3.9345454545454546</v>
      </c>
      <c r="J105" s="2888">
        <f>0.7525/J101</f>
        <v>3.4204545454545454</v>
      </c>
      <c r="K105" s="2888">
        <f>0.7525/K101</f>
        <v>3.4204545454545454</v>
      </c>
      <c r="L105" s="2888">
        <f>0.7525/L101</f>
        <v>3.4204545454545454</v>
      </c>
      <c r="M105" s="2888">
        <f>0.7525/M101</f>
        <v>3.4204545454545454</v>
      </c>
      <c r="N105" s="2888">
        <f>0.7525/N101</f>
        <v>3.4204545454545454</v>
      </c>
    </row>
    <row r="106" spans="1:14">
      <c r="A106" s="3244"/>
      <c r="B106" s="2887">
        <v>5</v>
      </c>
      <c r="C106" s="2888">
        <f>0.8417/C101</f>
        <v>3.8259090909090907</v>
      </c>
      <c r="D106" s="2888">
        <f>0.8417/D101</f>
        <v>3.8259090909090907</v>
      </c>
      <c r="E106" s="2888">
        <f>0.7371/E101</f>
        <v>3.3504545454545451</v>
      </c>
      <c r="F106" s="2888">
        <f>0.7371/F101</f>
        <v>3.3504545454545451</v>
      </c>
      <c r="G106" s="2888">
        <f>0.7371/G101</f>
        <v>3.3504545454545451</v>
      </c>
      <c r="H106" s="2888">
        <f>0.7371/H101</f>
        <v>3.3504545454545451</v>
      </c>
      <c r="I106" s="2888">
        <f>0.7371/I101</f>
        <v>3.3504545454545451</v>
      </c>
      <c r="J106" s="2888">
        <f>0.5659/J101</f>
        <v>2.5722727272727273</v>
      </c>
      <c r="K106" s="2888">
        <f>0.5659/K101</f>
        <v>2.5722727272727273</v>
      </c>
      <c r="L106" s="2888">
        <f>0.5659/L101</f>
        <v>2.5722727272727273</v>
      </c>
      <c r="M106" s="2888">
        <f>0.5659/M101</f>
        <v>2.5722727272727273</v>
      </c>
      <c r="N106" s="2888">
        <f>0.5659/N101</f>
        <v>2.5722727272727273</v>
      </c>
    </row>
    <row r="107" spans="1:14">
      <c r="A107" s="3244"/>
      <c r="B107" s="2887">
        <v>6</v>
      </c>
      <c r="C107" s="2888">
        <f>0.7608/C101</f>
        <v>3.4581818181818185</v>
      </c>
      <c r="D107" s="2888">
        <f>0.7608/D101</f>
        <v>3.4581818181818185</v>
      </c>
      <c r="E107" s="2888">
        <f>0.6482/E101</f>
        <v>2.9463636363636363</v>
      </c>
      <c r="F107" s="2888">
        <f>0.6482/F101</f>
        <v>2.9463636363636363</v>
      </c>
      <c r="G107" s="2888">
        <f>0.6482/G101</f>
        <v>2.9463636363636363</v>
      </c>
      <c r="H107" s="2888">
        <f>0.6482/H101</f>
        <v>2.9463636363636363</v>
      </c>
      <c r="I107" s="2888">
        <f>0.6482/I101</f>
        <v>2.9463636363636363</v>
      </c>
      <c r="J107" s="2888">
        <f>0.4525/J101</f>
        <v>2.0568181818181817</v>
      </c>
      <c r="K107" s="2888">
        <f>0.4525/K101</f>
        <v>2.0568181818181817</v>
      </c>
      <c r="L107" s="2888">
        <f>0.4525/L101</f>
        <v>2.0568181818181817</v>
      </c>
      <c r="M107" s="2888">
        <f>0.4525/M101</f>
        <v>2.0568181818181817</v>
      </c>
      <c r="N107" s="2888">
        <f>0.4525/N101</f>
        <v>2.0568181818181817</v>
      </c>
    </row>
    <row r="108" spans="1:14">
      <c r="A108" s="3244"/>
      <c r="B108" s="3072"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45"/>
      <c r="B109" s="3073"/>
      <c r="C109" s="2890">
        <f>(-0.163*(C108^2)-0.59*C108+7617)*(10^(-4))/C101</f>
        <v>3.4622727272727274</v>
      </c>
      <c r="D109" s="2890">
        <f>(-0.163*(D108^2)-0.59*D108+7617)*(10^(-4))/D101</f>
        <v>3.4622727272727274</v>
      </c>
      <c r="E109" s="2890">
        <f>(-0.161*(E108^2)-7.509*E108+6533)*(10^(-4))/E101</f>
        <v>2.9695454545454547</v>
      </c>
      <c r="F109" s="2890">
        <f>(-0.161*(F108^2)-7.509*F108+6533)*(10^(-4))/F101</f>
        <v>2.9695454545454547</v>
      </c>
      <c r="G109" s="2890">
        <f>(-0.161*(G108^2)-7.509*G108+6533)*(10^(-4))/G101</f>
        <v>2.9695454545454547</v>
      </c>
      <c r="H109" s="2890">
        <f>(-0.161*(H108^2)-7.509*H108+6533)*(10^(-4))/H101</f>
        <v>2.9695454545454547</v>
      </c>
      <c r="I109" s="2890">
        <f>(-0.161*(I108^2)-7.509*I108+6533)*(10^(-4))/I101</f>
        <v>2.9695454545454547</v>
      </c>
      <c r="J109" s="2890">
        <f>(-0.214*(J108^2)-21.991*J108+4665)*(10^(-4))/J101</f>
        <v>2.1204545454545456</v>
      </c>
      <c r="K109" s="2890">
        <f>(-0.214*(K108^2)-21.991*K108+4665)*(10^(-4))/K101</f>
        <v>2.1204545454545456</v>
      </c>
      <c r="L109" s="2890">
        <f>(-0.214*(L108^2)-21.991*L108+4665)*(10^(-4))/L101</f>
        <v>2.1204545454545456</v>
      </c>
      <c r="M109" s="2890">
        <f>(-0.214*(M108^2)-21.991*M108+4665)*(10^(-4))/M101</f>
        <v>2.1204545454545456</v>
      </c>
      <c r="N109" s="2890">
        <f>(-0.214*(N108^2)-21.991*N108+4665)*(10^(-4))/N101</f>
        <v>2.1204545454545456</v>
      </c>
    </row>
    <row r="110" spans="1:14">
      <c r="A110" s="3241" t="s">
        <v>2977</v>
      </c>
      <c r="B110" s="3241"/>
      <c r="C110" s="3241"/>
      <c r="D110" s="3241"/>
      <c r="E110" s="3241"/>
      <c r="F110" s="3241"/>
      <c r="G110" s="3241"/>
      <c r="H110" s="3241"/>
      <c r="I110" s="3241"/>
      <c r="J110" s="3241"/>
      <c r="K110" s="2893"/>
      <c r="L110" s="2893"/>
      <c r="M110" s="2893"/>
      <c r="N110" s="2893"/>
    </row>
    <row r="112" spans="1:14" ht="13.8" thickBot="1"/>
    <row r="113" spans="1:13" ht="25.8" thickBot="1">
      <c r="A113" s="903" t="s">
        <v>2978</v>
      </c>
      <c r="B113" s="1287">
        <f>G3</f>
        <v>0.22</v>
      </c>
      <c r="C113" s="904" t="s">
        <v>2979</v>
      </c>
      <c r="D113" s="905">
        <f>SUMPRODUCT((A115:A118=F113)*(B114:M114=H113)*B115:M118)</f>
        <v>0</v>
      </c>
      <c r="E113" s="2724" t="s">
        <v>2811</v>
      </c>
      <c r="F113" s="2895">
        <f>E2</f>
        <v>0</v>
      </c>
      <c r="G113" s="2724" t="s">
        <v>2812</v>
      </c>
      <c r="H113" s="2895">
        <f>G2</f>
        <v>0</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2876</v>
      </c>
      <c r="B115" s="910">
        <f>ROUND(0.9335-0.0094*B113,4)</f>
        <v>0.93140000000000001</v>
      </c>
      <c r="C115" s="910">
        <f>B115</f>
        <v>0.93140000000000001</v>
      </c>
      <c r="D115" s="910">
        <f>ROUND(0.8331-0.0109*B113,4)</f>
        <v>0.83069999999999999</v>
      </c>
      <c r="E115" s="910">
        <f>D115</f>
        <v>0.83069999999999999</v>
      </c>
      <c r="F115" s="910">
        <f>E115</f>
        <v>0.83069999999999999</v>
      </c>
      <c r="G115" s="910">
        <f>F115</f>
        <v>0.83069999999999999</v>
      </c>
      <c r="H115" s="910">
        <f>G115</f>
        <v>0.83069999999999999</v>
      </c>
      <c r="I115" s="910">
        <f>ROUND(0.689-0.0155*B113,4)</f>
        <v>0.68559999999999999</v>
      </c>
      <c r="J115" s="910">
        <f t="shared" ref="J115:M118" si="33">I115</f>
        <v>0.68559999999999999</v>
      </c>
      <c r="K115" s="910">
        <f t="shared" si="33"/>
        <v>0.68559999999999999</v>
      </c>
      <c r="L115" s="910">
        <f t="shared" si="33"/>
        <v>0.68559999999999999</v>
      </c>
      <c r="M115" s="911">
        <f t="shared" si="33"/>
        <v>0.68559999999999999</v>
      </c>
    </row>
    <row r="116" spans="1:13">
      <c r="A116" s="909" t="s">
        <v>2877</v>
      </c>
      <c r="B116" s="910">
        <f>ROUND(0.949-0.012*B113,4)</f>
        <v>0.94640000000000002</v>
      </c>
      <c r="C116" s="910">
        <f>B116</f>
        <v>0.94640000000000002</v>
      </c>
      <c r="D116" s="910">
        <f>ROUND(0.8567-0.013*B113,4)</f>
        <v>0.8538</v>
      </c>
      <c r="E116" s="910">
        <f t="shared" ref="E116:H117" si="34">D116</f>
        <v>0.8538</v>
      </c>
      <c r="F116" s="910">
        <f t="shared" si="34"/>
        <v>0.8538</v>
      </c>
      <c r="G116" s="910">
        <f t="shared" si="34"/>
        <v>0.8538</v>
      </c>
      <c r="H116" s="910">
        <f t="shared" si="34"/>
        <v>0.8538</v>
      </c>
      <c r="I116" s="910">
        <f>ROUND(0.7694-0.014*B113,4)</f>
        <v>0.76629999999999998</v>
      </c>
      <c r="J116" s="910">
        <f t="shared" si="33"/>
        <v>0.76629999999999998</v>
      </c>
      <c r="K116" s="910">
        <f t="shared" si="33"/>
        <v>0.76629999999999998</v>
      </c>
      <c r="L116" s="910">
        <f t="shared" si="33"/>
        <v>0.76629999999999998</v>
      </c>
      <c r="M116" s="911">
        <f t="shared" si="33"/>
        <v>0.76629999999999998</v>
      </c>
    </row>
    <row r="117" spans="1:13">
      <c r="A117" s="909" t="s">
        <v>2878</v>
      </c>
      <c r="B117" s="910">
        <f>ROUND(0.8808-0.006*B113,4)</f>
        <v>0.87949999999999995</v>
      </c>
      <c r="C117" s="910">
        <f>B117</f>
        <v>0.87949999999999995</v>
      </c>
      <c r="D117" s="910">
        <f>ROUND(0.8748-0.008*B113,4)</f>
        <v>0.873</v>
      </c>
      <c r="E117" s="910">
        <f t="shared" si="34"/>
        <v>0.873</v>
      </c>
      <c r="F117" s="910">
        <f t="shared" si="34"/>
        <v>0.873</v>
      </c>
      <c r="G117" s="910">
        <f t="shared" si="34"/>
        <v>0.873</v>
      </c>
      <c r="H117" s="910">
        <f t="shared" si="34"/>
        <v>0.873</v>
      </c>
      <c r="I117" s="910">
        <f>ROUND(0.7412-0.0095*B113,4)</f>
        <v>0.73909999999999998</v>
      </c>
      <c r="J117" s="910">
        <f t="shared" si="33"/>
        <v>0.73909999999999998</v>
      </c>
      <c r="K117" s="910">
        <f t="shared" si="33"/>
        <v>0.73909999999999998</v>
      </c>
      <c r="L117" s="910">
        <f t="shared" si="33"/>
        <v>0.73909999999999998</v>
      </c>
      <c r="M117" s="911">
        <f t="shared" si="33"/>
        <v>0.73909999999999998</v>
      </c>
    </row>
    <row r="118" spans="1:13" ht="13.8" thickBot="1">
      <c r="A118" s="714" t="s">
        <v>2879</v>
      </c>
      <c r="B118" s="912">
        <f>ROUND(0.7275-0.01*B113,4)</f>
        <v>0.72529999999999994</v>
      </c>
      <c r="C118" s="912">
        <f>B118</f>
        <v>0.72529999999999994</v>
      </c>
      <c r="D118" s="912">
        <f>ROUND(0.7043-0.012*B113,4)</f>
        <v>0.70169999999999999</v>
      </c>
      <c r="E118" s="912">
        <f>D118</f>
        <v>0.70169999999999999</v>
      </c>
      <c r="F118" s="912">
        <f>E118</f>
        <v>0.70169999999999999</v>
      </c>
      <c r="G118" s="912">
        <f>ROUND(0.6299-0.0122*B113,4)</f>
        <v>0.62719999999999998</v>
      </c>
      <c r="H118" s="912">
        <f>G118</f>
        <v>0.62719999999999998</v>
      </c>
      <c r="I118" s="912">
        <f>ROUND(0.5667-0.0136*B113,4)</f>
        <v>0.56369999999999998</v>
      </c>
      <c r="J118" s="912">
        <f t="shared" si="33"/>
        <v>0.56369999999999998</v>
      </c>
      <c r="K118" s="912">
        <f t="shared" si="33"/>
        <v>0.56369999999999998</v>
      </c>
      <c r="L118" s="912">
        <f t="shared" si="33"/>
        <v>0.56369999999999998</v>
      </c>
      <c r="M118" s="913">
        <f t="shared" si="33"/>
        <v>0.56369999999999998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61" t="s">
        <v>614</v>
      </c>
      <c r="C61" s="818" t="s">
        <v>615</v>
      </c>
      <c r="D61" s="818" t="s">
        <v>616</v>
      </c>
      <c r="E61" s="895">
        <v>0.5</v>
      </c>
      <c r="F61" s="882">
        <v>80</v>
      </c>
    </row>
    <row r="62" spans="1:8" s="878" customFormat="1" ht="36">
      <c r="A62" s="882">
        <v>2</v>
      </c>
      <c r="B62" s="3261"/>
      <c r="C62" s="818" t="s">
        <v>617</v>
      </c>
      <c r="D62" s="818" t="s">
        <v>618</v>
      </c>
      <c r="E62" s="895">
        <v>0.5</v>
      </c>
      <c r="F62" s="882">
        <v>80</v>
      </c>
    </row>
    <row r="63" spans="1:8" s="878" customFormat="1" ht="48">
      <c r="A63" s="882">
        <v>3</v>
      </c>
      <c r="B63" s="3261"/>
      <c r="C63" s="818" t="s">
        <v>619</v>
      </c>
      <c r="D63" s="818" t="s">
        <v>620</v>
      </c>
      <c r="E63" s="895">
        <v>0.5</v>
      </c>
      <c r="F63" s="882">
        <v>80</v>
      </c>
    </row>
    <row r="64" spans="1:8" s="878" customFormat="1" ht="48">
      <c r="A64" s="882">
        <v>4</v>
      </c>
      <c r="B64" s="3261"/>
      <c r="C64" s="818" t="s">
        <v>621</v>
      </c>
      <c r="D64" s="818" t="s">
        <v>622</v>
      </c>
      <c r="E64" s="895">
        <v>0.4</v>
      </c>
      <c r="F64" s="882">
        <v>60</v>
      </c>
    </row>
    <row r="65" spans="1:6" s="878" customFormat="1" ht="48">
      <c r="A65" s="882">
        <v>5</v>
      </c>
      <c r="B65" s="3261"/>
      <c r="C65" s="818" t="s">
        <v>623</v>
      </c>
      <c r="D65" s="818" t="s">
        <v>624</v>
      </c>
      <c r="E65" s="895">
        <v>0.2</v>
      </c>
      <c r="F65" s="882">
        <v>30</v>
      </c>
    </row>
    <row r="66" spans="1:6" s="878" customFormat="1" ht="48">
      <c r="A66" s="882">
        <v>6</v>
      </c>
      <c r="B66" s="3261"/>
      <c r="C66" s="818" t="s">
        <v>625</v>
      </c>
      <c r="D66" s="818" t="s">
        <v>626</v>
      </c>
      <c r="E66" s="895">
        <v>0.3</v>
      </c>
      <c r="F66" s="882">
        <v>50</v>
      </c>
    </row>
    <row r="67" spans="1:6" s="878" customFormat="1" ht="48">
      <c r="A67" s="882">
        <v>7</v>
      </c>
      <c r="B67" s="3261"/>
      <c r="C67" s="818" t="s">
        <v>627</v>
      </c>
      <c r="D67" s="818" t="s">
        <v>628</v>
      </c>
      <c r="E67" s="895">
        <v>0.2</v>
      </c>
      <c r="F67" s="882">
        <v>30</v>
      </c>
    </row>
    <row r="68" spans="1:6" s="878" customFormat="1" ht="48">
      <c r="A68" s="882">
        <v>8</v>
      </c>
      <c r="B68" s="3261"/>
      <c r="C68" s="818" t="s">
        <v>629</v>
      </c>
      <c r="D68" s="818" t="s">
        <v>630</v>
      </c>
      <c r="E68" s="895">
        <v>0.2</v>
      </c>
      <c r="F68" s="882">
        <v>30</v>
      </c>
    </row>
    <row r="69" spans="1:6" s="878" customFormat="1" ht="48">
      <c r="A69" s="882">
        <v>9</v>
      </c>
      <c r="B69" s="3261"/>
      <c r="C69" s="818" t="s">
        <v>631</v>
      </c>
      <c r="D69" s="818" t="s">
        <v>632</v>
      </c>
      <c r="E69" s="895">
        <v>0.2</v>
      </c>
      <c r="F69" s="882">
        <v>30</v>
      </c>
    </row>
    <row r="70" spans="1:6" s="878" customFormat="1" ht="60">
      <c r="A70" s="882">
        <v>10</v>
      </c>
      <c r="B70" s="3261"/>
      <c r="C70" s="818" t="s">
        <v>633</v>
      </c>
      <c r="D70" s="818" t="s">
        <v>634</v>
      </c>
      <c r="E70" s="895">
        <v>0.2</v>
      </c>
      <c r="F70" s="882">
        <v>30</v>
      </c>
    </row>
    <row r="71" spans="1:6" s="878" customFormat="1" ht="60">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36">
      <c r="A73" s="882">
        <v>13</v>
      </c>
      <c r="B73" s="3261"/>
      <c r="C73" s="818" t="s">
        <v>639</v>
      </c>
      <c r="D73" s="818" t="s">
        <v>640</v>
      </c>
      <c r="E73" s="895">
        <v>0.4</v>
      </c>
      <c r="F73" s="882">
        <v>60</v>
      </c>
    </row>
    <row r="74" spans="1:6" s="878" customFormat="1" ht="36">
      <c r="A74" s="882">
        <v>14</v>
      </c>
      <c r="B74" s="3261"/>
      <c r="C74" s="818" t="s">
        <v>641</v>
      </c>
      <c r="D74" s="818" t="s">
        <v>642</v>
      </c>
      <c r="E74" s="895">
        <v>0.2</v>
      </c>
      <c r="F74" s="882">
        <v>30</v>
      </c>
    </row>
    <row r="75" spans="1:6" s="878" customFormat="1" ht="36">
      <c r="A75" s="882">
        <v>15</v>
      </c>
      <c r="B75" s="3261"/>
      <c r="C75" s="818" t="s">
        <v>643</v>
      </c>
      <c r="D75" s="818" t="s">
        <v>644</v>
      </c>
      <c r="E75" s="895">
        <v>0.2</v>
      </c>
      <c r="F75" s="882">
        <v>30</v>
      </c>
    </row>
    <row r="76" spans="1:6" s="878" customFormat="1" ht="36">
      <c r="A76" s="882">
        <v>16</v>
      </c>
      <c r="B76" s="3261" t="s">
        <v>645</v>
      </c>
      <c r="C76" s="818" t="s">
        <v>646</v>
      </c>
      <c r="D76" s="818" t="s">
        <v>647</v>
      </c>
      <c r="E76" s="895">
        <v>0.5</v>
      </c>
      <c r="F76" s="882">
        <v>80</v>
      </c>
    </row>
    <row r="77" spans="1:6" s="878" customFormat="1" ht="36">
      <c r="A77" s="882">
        <v>17</v>
      </c>
      <c r="B77" s="3261"/>
      <c r="C77" s="818" t="s">
        <v>648</v>
      </c>
      <c r="D77" s="818" t="s">
        <v>649</v>
      </c>
      <c r="E77" s="895">
        <v>0.5</v>
      </c>
      <c r="F77" s="882">
        <v>80</v>
      </c>
    </row>
    <row r="78" spans="1:6" s="878" customFormat="1" ht="36">
      <c r="A78" s="882">
        <v>18</v>
      </c>
      <c r="B78" s="3261"/>
      <c r="C78" s="818" t="s">
        <v>650</v>
      </c>
      <c r="D78" s="818" t="s">
        <v>651</v>
      </c>
      <c r="E78" s="895">
        <v>0.2</v>
      </c>
      <c r="F78" s="882">
        <v>30</v>
      </c>
    </row>
    <row r="79" spans="1:6" s="878" customFormat="1" ht="36">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60">
      <c r="A82" s="882">
        <v>22</v>
      </c>
      <c r="B82" s="3261"/>
      <c r="C82" s="818" t="s">
        <v>658</v>
      </c>
      <c r="D82" s="818" t="s">
        <v>659</v>
      </c>
      <c r="E82" s="895">
        <v>0.2</v>
      </c>
      <c r="F82" s="882">
        <v>30</v>
      </c>
    </row>
    <row r="83" spans="1:6" s="878" customFormat="1" ht="60">
      <c r="A83" s="882">
        <v>23</v>
      </c>
      <c r="B83" s="3261"/>
      <c r="C83" s="818" t="s">
        <v>660</v>
      </c>
      <c r="D83" s="818" t="s">
        <v>661</v>
      </c>
      <c r="E83" s="895">
        <v>0.2</v>
      </c>
      <c r="F83" s="882">
        <v>30</v>
      </c>
    </row>
    <row r="84" spans="1:6" s="878" customFormat="1" ht="48">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36">
      <c r="A89" s="882">
        <v>29</v>
      </c>
      <c r="B89" s="3261"/>
      <c r="C89" s="818" t="s">
        <v>672</v>
      </c>
      <c r="D89" s="818" t="s">
        <v>673</v>
      </c>
      <c r="E89" s="895">
        <v>0.2</v>
      </c>
      <c r="F89" s="882">
        <v>30</v>
      </c>
    </row>
    <row r="90" spans="1:6" s="878" customFormat="1" ht="36">
      <c r="A90" s="882">
        <v>30</v>
      </c>
      <c r="B90" s="3261"/>
      <c r="C90" s="818" t="s">
        <v>674</v>
      </c>
      <c r="D90" s="818" t="s">
        <v>675</v>
      </c>
      <c r="E90" s="895">
        <v>0.2</v>
      </c>
      <c r="F90" s="882">
        <v>30</v>
      </c>
    </row>
    <row r="91" spans="1:6" s="878" customFormat="1" ht="48">
      <c r="A91" s="882">
        <v>31</v>
      </c>
      <c r="B91" s="3261"/>
      <c r="C91" s="818" t="s">
        <v>676</v>
      </c>
      <c r="D91" s="818" t="s">
        <v>677</v>
      </c>
      <c r="E91" s="895">
        <v>0.2</v>
      </c>
      <c r="F91" s="882">
        <v>30</v>
      </c>
    </row>
    <row r="92" spans="1:6" s="878" customFormat="1" ht="36">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60">
      <c r="A94" s="882">
        <v>34</v>
      </c>
      <c r="B94" s="3261"/>
      <c r="C94" s="882" t="s">
        <v>683</v>
      </c>
      <c r="D94" s="818" t="s">
        <v>684</v>
      </c>
      <c r="E94" s="895">
        <v>0.2</v>
      </c>
      <c r="F94" s="882">
        <v>30</v>
      </c>
    </row>
    <row r="95" spans="1:6" s="878" customFormat="1" ht="48">
      <c r="A95" s="882">
        <v>35</v>
      </c>
      <c r="B95" s="3261"/>
      <c r="C95" s="882" t="s">
        <v>685</v>
      </c>
      <c r="D95" s="818" t="s">
        <v>686</v>
      </c>
      <c r="E95" s="895">
        <v>0.2</v>
      </c>
      <c r="F95" s="882">
        <v>30</v>
      </c>
    </row>
    <row r="96" spans="1:6" s="878" customFormat="1" ht="72">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36">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1" t="s">
        <v>708</v>
      </c>
      <c r="C105" s="882" t="s">
        <v>709</v>
      </c>
      <c r="D105" s="818" t="s">
        <v>710</v>
      </c>
      <c r="E105" s="895">
        <v>0.2</v>
      </c>
      <c r="F105" s="882">
        <v>30</v>
      </c>
    </row>
    <row r="106" spans="1:6" s="878" customFormat="1" ht="48">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48">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1" t="s">
        <v>724</v>
      </c>
      <c r="C111" s="882" t="s">
        <v>725</v>
      </c>
      <c r="D111" s="818" t="s">
        <v>726</v>
      </c>
      <c r="E111" s="895">
        <v>0.2</v>
      </c>
      <c r="F111" s="882">
        <v>30</v>
      </c>
    </row>
    <row r="112" spans="1:6" s="878" customFormat="1" ht="36">
      <c r="A112" s="882">
        <v>52</v>
      </c>
      <c r="B112" s="3261"/>
      <c r="C112" s="882" t="s">
        <v>727</v>
      </c>
      <c r="D112" s="818" t="s">
        <v>728</v>
      </c>
      <c r="E112" s="895">
        <v>0.2</v>
      </c>
      <c r="F112" s="882">
        <v>30</v>
      </c>
    </row>
    <row r="113" spans="1:6" s="878" customFormat="1" ht="36">
      <c r="A113" s="882">
        <v>53</v>
      </c>
      <c r="B113" s="326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1" t="s">
        <v>3000</v>
      </c>
    </row>
    <row r="2" spans="1:5" ht="15.6">
      <c r="A2" s="2902" t="s">
        <v>2992</v>
      </c>
      <c r="B2" s="2903" t="e">
        <f ca="1">SUMIF(B6:B13,"&lt;&gt;#ref!",B6:B13)</f>
        <v>#DIV/0!</v>
      </c>
      <c r="C2" s="2902" t="s">
        <v>2993</v>
      </c>
      <c r="D2" s="2902" t="s">
        <v>2994</v>
      </c>
      <c r="E2" s="2903">
        <f ca="1">SUMIF(E6:E13,"&lt;&gt;#ref!",E6:E13)</f>
        <v>0</v>
      </c>
    </row>
    <row r="3" spans="1:5" ht="15.6">
      <c r="A3" s="2902" t="s">
        <v>2995</v>
      </c>
      <c r="B3" s="2903" t="e">
        <f ca="1">ROUND(B2*10000/E2,0)</f>
        <v>#DIV/0!</v>
      </c>
      <c r="C3" s="2902" t="s">
        <v>3001</v>
      </c>
      <c r="D3" s="2904"/>
      <c r="E3" s="2904"/>
    </row>
    <row r="4" spans="1:5" ht="15.6">
      <c r="A4" s="2905"/>
      <c r="B4" s="2904"/>
      <c r="C4" s="2904"/>
      <c r="D4" s="2904"/>
      <c r="E4" s="2904"/>
    </row>
    <row r="5" spans="1:5" ht="31.2">
      <c r="A5" s="2906" t="s">
        <v>2996</v>
      </c>
      <c r="B5" s="2902" t="s">
        <v>2997</v>
      </c>
      <c r="C5" s="2903"/>
      <c r="D5" s="2904"/>
      <c r="E5" s="2902" t="s">
        <v>2998</v>
      </c>
    </row>
    <row r="6" spans="1:5" ht="15.6">
      <c r="A6" s="2907" t="s">
        <v>2999</v>
      </c>
      <c r="B6" s="2903" t="e">
        <f ca="1">SUMIF(INDIRECT("'"&amp;A6&amp;"'"&amp;"!A:A"),"总价",INDIRECT("'"&amp;A6&amp;"'"&amp;"!B:B"))</f>
        <v>#DIV/0!</v>
      </c>
      <c r="C6" s="2902" t="s">
        <v>2993</v>
      </c>
      <c r="D6" s="2904"/>
      <c r="E6" s="2575">
        <f ca="1">SUMIF(INDIRECT("'"&amp;A6&amp;"'"&amp;"!C:C"),"建筑面积",INDIRECT("'"&amp;A6&amp;"'"&amp;"!D:D"))</f>
        <v>0</v>
      </c>
    </row>
    <row r="7" spans="1:5" ht="15.6">
      <c r="A7" s="2907"/>
      <c r="B7" s="2903" t="e">
        <f ca="1">SUMIF(INDIRECT("'"&amp;A7&amp;"'"&amp;"!A:A"),"总价",INDIRECT("'"&amp;A7&amp;"'"&amp;"!B:B"))</f>
        <v>#REF!</v>
      </c>
      <c r="C7" s="2902" t="s">
        <v>2993</v>
      </c>
      <c r="D7" s="2904"/>
      <c r="E7" s="2575" t="e">
        <f t="shared" ref="E7:E13" ca="1" si="0">SUMIF(INDIRECT("'"&amp;A7&amp;"'"&amp;"!C:C"),"建筑面积",INDIRECT("'"&amp;A7&amp;"'"&amp;"!D:D"))</f>
        <v>#REF!</v>
      </c>
    </row>
    <row r="8" spans="1:5" ht="15.6">
      <c r="A8" s="2907"/>
      <c r="B8" s="2903" t="e">
        <f t="shared" ref="B8:B13" ca="1" si="1">SUMIF(INDIRECT("'"&amp;A8&amp;"'"&amp;"!A:A"),"总价",INDIRECT("'"&amp;A8&amp;"'"&amp;"!B:B"))</f>
        <v>#REF!</v>
      </c>
      <c r="C8" s="2902" t="s">
        <v>2993</v>
      </c>
      <c r="D8" s="2904"/>
      <c r="E8" s="2575" t="e">
        <f t="shared" ca="1" si="0"/>
        <v>#REF!</v>
      </c>
    </row>
    <row r="9" spans="1:5" ht="15.6">
      <c r="A9" s="2907"/>
      <c r="B9" s="2903" t="e">
        <f t="shared" ca="1" si="1"/>
        <v>#REF!</v>
      </c>
      <c r="C9" s="2902" t="s">
        <v>2993</v>
      </c>
      <c r="D9" s="2904"/>
      <c r="E9" s="2575" t="e">
        <f t="shared" ca="1" si="0"/>
        <v>#REF!</v>
      </c>
    </row>
    <row r="10" spans="1:5" ht="15.6">
      <c r="A10" s="2907"/>
      <c r="B10" s="2903" t="e">
        <f t="shared" ca="1" si="1"/>
        <v>#REF!</v>
      </c>
      <c r="C10" s="2902" t="s">
        <v>2993</v>
      </c>
      <c r="D10" s="2904"/>
      <c r="E10" s="2575" t="e">
        <f t="shared" ca="1" si="0"/>
        <v>#REF!</v>
      </c>
    </row>
    <row r="11" spans="1:5" ht="15.6">
      <c r="A11" s="2907"/>
      <c r="B11" s="2903" t="e">
        <f t="shared" ca="1" si="1"/>
        <v>#REF!</v>
      </c>
      <c r="C11" s="2902" t="s">
        <v>2993</v>
      </c>
      <c r="D11" s="2904"/>
      <c r="E11" s="2575" t="e">
        <f t="shared" ca="1" si="0"/>
        <v>#REF!</v>
      </c>
    </row>
    <row r="12" spans="1:5" ht="15.6">
      <c r="A12" s="2907"/>
      <c r="B12" s="2903" t="e">
        <f t="shared" ca="1" si="1"/>
        <v>#REF!</v>
      </c>
      <c r="C12" s="2902" t="s">
        <v>2993</v>
      </c>
      <c r="D12" s="2904"/>
      <c r="E12" s="2575" t="e">
        <f t="shared" ca="1" si="0"/>
        <v>#REF!</v>
      </c>
    </row>
    <row r="13" spans="1:5" ht="15.6">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19" sqref="H19"/>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67" t="s">
        <v>1145</v>
      </c>
      <c r="C1" s="3267"/>
      <c r="D1" s="3267"/>
      <c r="E1" s="3267"/>
      <c r="F1" s="3267"/>
      <c r="G1" s="3263" t="s">
        <v>1146</v>
      </c>
      <c r="H1" s="3263"/>
      <c r="I1" s="3263"/>
      <c r="J1" s="3263"/>
      <c r="K1" s="3263"/>
      <c r="L1" s="3263"/>
      <c r="N1" s="3263" t="s">
        <v>1147</v>
      </c>
      <c r="O1" s="3263"/>
      <c r="P1" s="3263"/>
      <c r="Q1" s="3263"/>
      <c r="R1" s="1446"/>
      <c r="S1" s="3263" t="s">
        <v>1148</v>
      </c>
      <c r="T1" s="3263"/>
      <c r="U1" s="3263"/>
      <c r="V1" s="3263"/>
      <c r="X1" s="3262" t="s">
        <v>1149</v>
      </c>
      <c r="Y1" s="3263"/>
      <c r="Z1" s="3263"/>
      <c r="AA1" s="3263"/>
      <c r="AB1" s="3263"/>
      <c r="AD1" s="3262" t="s">
        <v>1150</v>
      </c>
      <c r="AE1" s="3263"/>
      <c r="AF1" s="3263"/>
      <c r="AG1" s="3263"/>
      <c r="AH1" s="3263"/>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4">
      <c r="A3" s="2927" t="s">
        <v>3035</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3" customFormat="1" ht="14.4">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3050</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2019</v>
      </c>
      <c r="H5" s="1730">
        <v>4</v>
      </c>
      <c r="I5" s="2914">
        <v>0</v>
      </c>
      <c r="J5" s="2914">
        <v>0</v>
      </c>
      <c r="K5" s="2914">
        <v>0</v>
      </c>
      <c r="L5" s="2914">
        <v>0</v>
      </c>
      <c r="N5" s="1467">
        <f t="shared" ref="N5:N10" si="7">I5/100</f>
        <v>0</v>
      </c>
      <c r="O5" s="1467">
        <f t="shared" ref="O5" si="8">J5/100</f>
        <v>0</v>
      </c>
      <c r="P5" s="1467">
        <f t="shared" ref="P5" si="9">K5/100</f>
        <v>0</v>
      </c>
      <c r="Q5" s="1467">
        <f t="shared" ref="Q5" si="10">L5/100</f>
        <v>0</v>
      </c>
      <c r="R5" s="1732"/>
      <c r="S5" s="1733"/>
      <c r="T5" s="1732"/>
      <c r="U5" s="1732"/>
      <c r="V5" s="1732"/>
      <c r="W5" s="2917" t="s">
        <v>3036</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8" thickBot="1">
      <c r="A6" s="1461" t="s">
        <v>3049</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3047</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8" thickBot="1">
      <c r="A8" s="1461" t="s">
        <v>3045</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3048</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6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 customHeight="1">
      <c r="A10" s="1461" t="s">
        <v>3042</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 customHeight="1">
      <c r="A11" s="1461" t="s">
        <v>3041</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3034</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3031</v>
      </c>
      <c r="B13" s="1469">
        <v>439</v>
      </c>
      <c r="C13" s="1469">
        <v>327</v>
      </c>
      <c r="D13" s="1469">
        <f>C13</f>
        <v>327</v>
      </c>
      <c r="E13" s="1469">
        <v>627</v>
      </c>
      <c r="F13" s="1470">
        <v>283</v>
      </c>
      <c r="G13" s="326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 customHeight="1">
      <c r="A14" s="1461" t="s">
        <v>3032</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 customHeight="1">
      <c r="A15" s="1461" t="s">
        <v>1380</v>
      </c>
      <c r="B15" s="1477">
        <f t="shared" si="94"/>
        <v>419.31181600000002</v>
      </c>
      <c r="C15" s="1477">
        <f t="shared" si="95"/>
        <v>313.95436800000004</v>
      </c>
      <c r="D15" s="1477">
        <f t="shared" si="96"/>
        <v>313.95436800000004</v>
      </c>
      <c r="E15" s="1477">
        <f t="shared" si="97"/>
        <v>596.63028431999999</v>
      </c>
      <c r="F15" s="1477">
        <f t="shared" si="98"/>
        <v>274.74220703999998</v>
      </c>
      <c r="G15" s="326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1156</v>
      </c>
      <c r="B16" s="1477">
        <f>B17*(1+N16)</f>
        <v>405.524</v>
      </c>
      <c r="C16" s="1477">
        <f>C17*(1+O16)</f>
        <v>307.79840000000002</v>
      </c>
      <c r="D16" s="1477">
        <f>C16</f>
        <v>307.79840000000002</v>
      </c>
      <c r="E16" s="1477">
        <f>E17*(1+P16)</f>
        <v>574.67759999999998</v>
      </c>
      <c r="F16" s="1477">
        <f>F17*(1+Q16)</f>
        <v>270.20280000000002</v>
      </c>
      <c r="G16" s="327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6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8"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6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8" thickBot="1">
      <c r="A21" s="1461" t="s">
        <v>151</v>
      </c>
      <c r="B21" s="1469">
        <v>333</v>
      </c>
      <c r="C21" s="1469">
        <v>277</v>
      </c>
      <c r="D21" s="1469">
        <f t="shared" si="108"/>
        <v>277</v>
      </c>
      <c r="E21" s="1469">
        <v>459</v>
      </c>
      <c r="F21" s="1470">
        <v>249</v>
      </c>
      <c r="G21" s="326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6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8" thickBot="1">
      <c r="A25" s="1461" t="s">
        <v>147</v>
      </c>
      <c r="B25" s="1490">
        <v>318</v>
      </c>
      <c r="C25" s="1490">
        <v>268</v>
      </c>
      <c r="D25" s="1490">
        <f t="shared" si="108"/>
        <v>268</v>
      </c>
      <c r="E25" s="1490">
        <v>437</v>
      </c>
      <c r="F25" s="1491">
        <v>237</v>
      </c>
      <c r="G25" s="326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8"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8"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6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1157</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8" thickBot="1">
      <c r="A29" s="1461" t="s">
        <v>1158</v>
      </c>
      <c r="B29" s="1469">
        <v>299</v>
      </c>
      <c r="C29" s="1469">
        <v>252</v>
      </c>
      <c r="D29" s="1469">
        <f t="shared" si="108"/>
        <v>252</v>
      </c>
      <c r="E29" s="1469">
        <v>409</v>
      </c>
      <c r="F29" s="1470">
        <v>227</v>
      </c>
      <c r="G29" s="326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1159</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1160</v>
      </c>
      <c r="B31" s="1477">
        <f t="shared" si="117"/>
        <v>288.2649053828776</v>
      </c>
      <c r="C31" s="1477">
        <f t="shared" si="117"/>
        <v>243.64564425013293</v>
      </c>
      <c r="D31" s="1477">
        <f t="shared" si="108"/>
        <v>243.64564425013293</v>
      </c>
      <c r="E31" s="1477">
        <f t="shared" si="118"/>
        <v>393.31080825986544</v>
      </c>
      <c r="F31" s="1477">
        <f t="shared" si="118"/>
        <v>223.07903790551154</v>
      </c>
      <c r="G31" s="327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1161</v>
      </c>
      <c r="B32" s="1477">
        <f t="shared" si="117"/>
        <v>282.50186729015837</v>
      </c>
      <c r="C32" s="1477">
        <f t="shared" si="117"/>
        <v>238.09796174155468</v>
      </c>
      <c r="D32" s="1477">
        <f t="shared" si="108"/>
        <v>238.09796174155468</v>
      </c>
      <c r="E32" s="1477">
        <f t="shared" si="118"/>
        <v>385.33438646014054</v>
      </c>
      <c r="F32" s="1477">
        <f t="shared" si="118"/>
        <v>221.55034055567739</v>
      </c>
      <c r="G32" s="327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8" thickBot="1">
      <c r="A33" s="1461" t="s">
        <v>1162</v>
      </c>
      <c r="B33" s="1511">
        <v>278</v>
      </c>
      <c r="C33" s="1511">
        <v>234</v>
      </c>
      <c r="D33" s="1511">
        <f t="shared" si="108"/>
        <v>234</v>
      </c>
      <c r="E33" s="1511">
        <v>379</v>
      </c>
      <c r="F33" s="1512">
        <v>220</v>
      </c>
      <c r="G33" s="326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1163</v>
      </c>
      <c r="B34" s="1477">
        <f>B33/(1+N33)</f>
        <v>275.49301357645425</v>
      </c>
      <c r="C34" s="1477">
        <f>C33/(1+O33)</f>
        <v>232.41954707985698</v>
      </c>
      <c r="D34" s="1477">
        <f t="shared" si="108"/>
        <v>232.41954707985698</v>
      </c>
      <c r="E34" s="1477">
        <f t="shared" ref="E34:F36" si="119">E33/(1+P33)</f>
        <v>375.32184591008121</v>
      </c>
      <c r="F34" s="1477">
        <f t="shared" si="119"/>
        <v>218.03766105054513</v>
      </c>
      <c r="G34" s="326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1164</v>
      </c>
      <c r="B35" s="1477">
        <f>B34/(1+N34)</f>
        <v>275.24529281292263</v>
      </c>
      <c r="C35" s="1477">
        <f>C34/(1+O34)</f>
        <v>231.74747938962707</v>
      </c>
      <c r="D35" s="1477">
        <f t="shared" si="108"/>
        <v>231.74747938962707</v>
      </c>
      <c r="E35" s="1477">
        <f t="shared" si="119"/>
        <v>375.35938184826603</v>
      </c>
      <c r="F35" s="1477">
        <f t="shared" si="119"/>
        <v>216.78033510692495</v>
      </c>
      <c r="G35" s="326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8" thickBot="1">
      <c r="A36" s="1461" t="s">
        <v>1165</v>
      </c>
      <c r="B36" s="1477">
        <f>B35/(1+N35)</f>
        <v>275.19025476197027</v>
      </c>
      <c r="C36" s="1513">
        <v>232</v>
      </c>
      <c r="D36" s="1513">
        <f t="shared" si="108"/>
        <v>232</v>
      </c>
      <c r="E36" s="1477">
        <f t="shared" si="119"/>
        <v>375.65990977608692</v>
      </c>
      <c r="F36" s="1477">
        <f t="shared" si="119"/>
        <v>214.12518283971252</v>
      </c>
      <c r="G36" s="326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8" thickBot="1">
      <c r="A37" s="1461" t="s">
        <v>1166</v>
      </c>
      <c r="B37" s="1469">
        <v>275</v>
      </c>
      <c r="C37" s="1469">
        <v>232</v>
      </c>
      <c r="D37" s="1469">
        <f t="shared" si="108"/>
        <v>232</v>
      </c>
      <c r="E37" s="1469">
        <v>376</v>
      </c>
      <c r="F37" s="1470">
        <v>213</v>
      </c>
      <c r="G37" s="326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1167</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1168</v>
      </c>
      <c r="B39" s="1477">
        <f t="shared" si="120"/>
        <v>275.19335084830601</v>
      </c>
      <c r="C39" s="1477">
        <f t="shared" si="120"/>
        <v>230.18088050139744</v>
      </c>
      <c r="D39" s="1477">
        <f t="shared" si="108"/>
        <v>230.18088050139744</v>
      </c>
      <c r="E39" s="1477">
        <f t="shared" si="121"/>
        <v>377.58482925212331</v>
      </c>
      <c r="F39" s="1477">
        <f t="shared" si="121"/>
        <v>210.90687997847917</v>
      </c>
      <c r="G39" s="326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8" thickBot="1">
      <c r="A40" s="1461" t="s">
        <v>1169</v>
      </c>
      <c r="B40" s="1477">
        <f t="shared" si="120"/>
        <v>276.29854502841971</v>
      </c>
      <c r="C40" s="1477">
        <f t="shared" si="120"/>
        <v>229.79023709833027</v>
      </c>
      <c r="D40" s="1477">
        <f t="shared" si="108"/>
        <v>229.79023709833027</v>
      </c>
      <c r="E40" s="1477">
        <f t="shared" si="121"/>
        <v>379.78759731655936</v>
      </c>
      <c r="F40" s="1477">
        <f t="shared" si="121"/>
        <v>211.32953905659235</v>
      </c>
      <c r="G40" s="326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8" thickBot="1">
      <c r="A41" s="1461" t="s">
        <v>1170</v>
      </c>
      <c r="B41" s="1469">
        <v>269</v>
      </c>
      <c r="C41" s="1469">
        <v>221</v>
      </c>
      <c r="D41" s="1469">
        <f t="shared" si="108"/>
        <v>221</v>
      </c>
      <c r="E41" s="1469">
        <v>373</v>
      </c>
      <c r="F41" s="1470">
        <v>196</v>
      </c>
      <c r="G41" s="326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1171</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1172</v>
      </c>
      <c r="B43" s="1477">
        <f t="shared" si="122"/>
        <v>242.95398227588385</v>
      </c>
      <c r="C43" s="1477">
        <f t="shared" si="122"/>
        <v>199.59137053614126</v>
      </c>
      <c r="D43" s="1477">
        <f t="shared" si="108"/>
        <v>199.59137053614126</v>
      </c>
      <c r="E43" s="1477">
        <f t="shared" si="123"/>
        <v>335.92189522342125</v>
      </c>
      <c r="F43" s="1477">
        <f t="shared" si="123"/>
        <v>183.10139991109489</v>
      </c>
      <c r="G43" s="326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8" thickBot="1">
      <c r="A44" s="1461" t="s">
        <v>1173</v>
      </c>
      <c r="B44" s="1477">
        <f t="shared" si="122"/>
        <v>232.06990378821649</v>
      </c>
      <c r="C44" s="1477">
        <f t="shared" si="122"/>
        <v>192.74878854286936</v>
      </c>
      <c r="D44" s="1477">
        <f t="shared" si="108"/>
        <v>192.74878854286936</v>
      </c>
      <c r="E44" s="1477">
        <f t="shared" si="123"/>
        <v>319.71247284992984</v>
      </c>
      <c r="F44" s="1477">
        <f t="shared" si="123"/>
        <v>175.67053622862409</v>
      </c>
      <c r="G44" s="326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8" thickBot="1">
      <c r="A45" s="1461" t="s">
        <v>1174</v>
      </c>
      <c r="B45" s="1469">
        <v>220</v>
      </c>
      <c r="C45" s="1469">
        <v>187</v>
      </c>
      <c r="D45" s="1469">
        <f t="shared" si="108"/>
        <v>187</v>
      </c>
      <c r="E45" s="1469">
        <v>301</v>
      </c>
      <c r="F45" s="1470">
        <v>168</v>
      </c>
      <c r="G45" s="326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1175</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1176</v>
      </c>
      <c r="B47" s="1477">
        <f t="shared" si="124"/>
        <v>210.630522469011</v>
      </c>
      <c r="C47" s="1477">
        <f t="shared" si="124"/>
        <v>181.69567812247232</v>
      </c>
      <c r="D47" s="1477">
        <f t="shared" si="108"/>
        <v>181.69567812247232</v>
      </c>
      <c r="E47" s="1477">
        <f t="shared" si="125"/>
        <v>286.13517466736738</v>
      </c>
      <c r="F47" s="1477">
        <f t="shared" si="125"/>
        <v>165.47535084591149</v>
      </c>
      <c r="G47" s="326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1177</v>
      </c>
      <c r="B48" s="1477">
        <f t="shared" si="124"/>
        <v>208.83454537875372</v>
      </c>
      <c r="C48" s="1477">
        <f t="shared" si="124"/>
        <v>183.77230517090351</v>
      </c>
      <c r="D48" s="1477">
        <f t="shared" si="108"/>
        <v>183.77230517090351</v>
      </c>
      <c r="E48" s="1477">
        <f t="shared" si="125"/>
        <v>281.10342338870947</v>
      </c>
      <c r="F48" s="1477">
        <f t="shared" si="125"/>
        <v>168.97309388942256</v>
      </c>
      <c r="G48" s="326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8" thickBot="1">
      <c r="A49" s="1461" t="s">
        <v>1178</v>
      </c>
      <c r="B49" s="1511">
        <v>214</v>
      </c>
      <c r="C49" s="1511">
        <v>188</v>
      </c>
      <c r="D49" s="1511">
        <f t="shared" si="108"/>
        <v>188</v>
      </c>
      <c r="E49" s="1511">
        <v>289</v>
      </c>
      <c r="F49" s="1512">
        <v>166</v>
      </c>
      <c r="G49" s="326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1179</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1180</v>
      </c>
      <c r="B51" s="1477">
        <f t="shared" si="126"/>
        <v>206.31694671589116</v>
      </c>
      <c r="C51" s="1477">
        <f t="shared" si="126"/>
        <v>183.61041121036101</v>
      </c>
      <c r="D51" s="1477">
        <f t="shared" si="108"/>
        <v>183.61041121036101</v>
      </c>
      <c r="E51" s="1477">
        <f t="shared" si="127"/>
        <v>276.66850301795557</v>
      </c>
      <c r="F51" s="1477">
        <f t="shared" si="127"/>
        <v>165.1360938278614</v>
      </c>
      <c r="G51" s="326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8" thickBot="1">
      <c r="A52" s="1461" t="s">
        <v>1181</v>
      </c>
      <c r="B52" s="1514">
        <f t="shared" si="126"/>
        <v>196.62341248059772</v>
      </c>
      <c r="C52" s="1514">
        <f t="shared" si="126"/>
        <v>170.99125648199012</v>
      </c>
      <c r="D52" s="1514">
        <f t="shared" si="108"/>
        <v>170.99125648199012</v>
      </c>
      <c r="E52" s="1514">
        <f t="shared" si="127"/>
        <v>266.07857570490052</v>
      </c>
      <c r="F52" s="1514">
        <f t="shared" si="127"/>
        <v>154.53499328828505</v>
      </c>
      <c r="G52" s="326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8" thickBot="1">
      <c r="A53" s="1461" t="s">
        <v>1182</v>
      </c>
      <c r="B53" s="1469">
        <v>188</v>
      </c>
      <c r="C53" s="1469">
        <v>165</v>
      </c>
      <c r="D53" s="1469">
        <f t="shared" si="108"/>
        <v>165</v>
      </c>
      <c r="E53" s="1469">
        <v>254</v>
      </c>
      <c r="F53" s="1470">
        <v>148</v>
      </c>
      <c r="G53" s="326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1183</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1184</v>
      </c>
      <c r="B55" s="1477">
        <f t="shared" si="130"/>
        <v>168.82017748715555</v>
      </c>
      <c r="C55" s="1477">
        <f t="shared" si="130"/>
        <v>148.06267029972753</v>
      </c>
      <c r="D55" s="1477">
        <f t="shared" si="108"/>
        <v>148.06267029972753</v>
      </c>
      <c r="E55" s="1477">
        <f t="shared" si="131"/>
        <v>216.46288379323747</v>
      </c>
      <c r="F55" s="1477">
        <f t="shared" si="131"/>
        <v>134.23529411764704</v>
      </c>
      <c r="G55" s="326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1185</v>
      </c>
      <c r="B56" s="1477">
        <f t="shared" si="130"/>
        <v>163.84913591779542</v>
      </c>
      <c r="C56" s="1477">
        <f t="shared" si="130"/>
        <v>145.0283378746594</v>
      </c>
      <c r="D56" s="1477">
        <f t="shared" si="108"/>
        <v>145.0283378746594</v>
      </c>
      <c r="E56" s="1477">
        <f t="shared" si="131"/>
        <v>204.95180722891567</v>
      </c>
      <c r="F56" s="1477">
        <f t="shared" si="131"/>
        <v>125.95920303605313</v>
      </c>
      <c r="G56" s="326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8" thickBot="1">
      <c r="A57" s="1461" t="s">
        <v>1186</v>
      </c>
      <c r="B57" s="1490">
        <v>159</v>
      </c>
      <c r="C57" s="1490">
        <v>141</v>
      </c>
      <c r="D57" s="1490">
        <f t="shared" si="108"/>
        <v>141</v>
      </c>
      <c r="E57" s="1490">
        <v>195</v>
      </c>
      <c r="F57" s="1491">
        <v>122</v>
      </c>
      <c r="G57" s="326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1187</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1188</v>
      </c>
      <c r="B59" s="1477">
        <f t="shared" si="134"/>
        <v>146.57412060301507</v>
      </c>
      <c r="C59" s="1477">
        <f t="shared" si="134"/>
        <v>136.46831955922866</v>
      </c>
      <c r="D59" s="1477">
        <f t="shared" si="108"/>
        <v>136.46831955922866</v>
      </c>
      <c r="E59" s="1477">
        <f t="shared" si="135"/>
        <v>166.73864894795128</v>
      </c>
      <c r="F59" s="1477">
        <f t="shared" si="135"/>
        <v>115.05882352941177</v>
      </c>
      <c r="G59" s="326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1189</v>
      </c>
      <c r="B60" s="1477">
        <f t="shared" si="134"/>
        <v>144.04145728643215</v>
      </c>
      <c r="C60" s="1477">
        <f t="shared" si="134"/>
        <v>136.12396694214877</v>
      </c>
      <c r="D60" s="1477">
        <f t="shared" si="108"/>
        <v>136.12396694214877</v>
      </c>
      <c r="E60" s="1477">
        <f t="shared" si="135"/>
        <v>158.32225913621264</v>
      </c>
      <c r="F60" s="1477">
        <f t="shared" si="135"/>
        <v>114.04278074866311</v>
      </c>
      <c r="G60" s="326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8" thickBot="1">
      <c r="A61" s="1461" t="s">
        <v>1190</v>
      </c>
      <c r="B61" s="1490">
        <v>138</v>
      </c>
      <c r="C61" s="1490">
        <v>131</v>
      </c>
      <c r="D61" s="1490">
        <f t="shared" si="108"/>
        <v>131</v>
      </c>
      <c r="E61" s="1490">
        <v>155</v>
      </c>
      <c r="F61" s="1491">
        <v>114</v>
      </c>
      <c r="G61" s="326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1191</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1192</v>
      </c>
      <c r="B63" s="1477">
        <f t="shared" si="138"/>
        <v>124.29032258064517</v>
      </c>
      <c r="C63" s="1477">
        <f t="shared" si="138"/>
        <v>123.8968609865471</v>
      </c>
      <c r="D63" s="1477">
        <f t="shared" si="108"/>
        <v>123.8968609865471</v>
      </c>
      <c r="E63" s="1477">
        <f t="shared" si="139"/>
        <v>138.00507614213197</v>
      </c>
      <c r="F63" s="1477">
        <f t="shared" si="139"/>
        <v>107.96106557377048</v>
      </c>
      <c r="G63" s="326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1193</v>
      </c>
      <c r="B64" s="1477">
        <f t="shared" si="138"/>
        <v>122.57204301075269</v>
      </c>
      <c r="C64" s="1477">
        <f t="shared" si="138"/>
        <v>123.4932735426009</v>
      </c>
      <c r="D64" s="1477">
        <f t="shared" si="108"/>
        <v>123.4932735426009</v>
      </c>
      <c r="E64" s="1477">
        <f t="shared" si="139"/>
        <v>129.82233502538071</v>
      </c>
      <c r="F64" s="1477">
        <f t="shared" si="139"/>
        <v>107.39446721311475</v>
      </c>
      <c r="G64" s="326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8" thickBot="1">
      <c r="A65" s="1461" t="s">
        <v>1194</v>
      </c>
      <c r="B65" s="1511">
        <v>121</v>
      </c>
      <c r="C65" s="1511">
        <v>122</v>
      </c>
      <c r="D65" s="1511">
        <f t="shared" si="108"/>
        <v>122</v>
      </c>
      <c r="E65" s="1511">
        <v>124</v>
      </c>
      <c r="F65" s="1512">
        <v>107</v>
      </c>
      <c r="G65" s="326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1195</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1196</v>
      </c>
      <c r="B67" s="1477">
        <f t="shared" si="142"/>
        <v>116.99099099099099</v>
      </c>
      <c r="C67" s="1477">
        <f t="shared" si="142"/>
        <v>118.84848484848486</v>
      </c>
      <c r="D67" s="1477">
        <f t="shared" si="108"/>
        <v>118.84848484848486</v>
      </c>
      <c r="E67" s="1477">
        <f t="shared" si="143"/>
        <v>117.60960960960961</v>
      </c>
      <c r="F67" s="1477">
        <f t="shared" si="143"/>
        <v>104</v>
      </c>
      <c r="G67" s="326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8" thickBot="1">
      <c r="A68" s="1461" t="s">
        <v>1197</v>
      </c>
      <c r="B68" s="1514">
        <f t="shared" si="142"/>
        <v>112.48648648648648</v>
      </c>
      <c r="C68" s="1514">
        <f t="shared" si="142"/>
        <v>115.21212121212122</v>
      </c>
      <c r="D68" s="1514">
        <f t="shared" si="108"/>
        <v>115.21212121212122</v>
      </c>
      <c r="E68" s="1514">
        <f t="shared" si="143"/>
        <v>110.4024024024024</v>
      </c>
      <c r="F68" s="1514">
        <f t="shared" si="143"/>
        <v>104</v>
      </c>
      <c r="G68" s="326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8" thickBot="1">
      <c r="A69" s="1461" t="s">
        <v>1198</v>
      </c>
      <c r="B69" s="1532">
        <v>111</v>
      </c>
      <c r="C69" s="1532">
        <v>114</v>
      </c>
      <c r="D69" s="1532">
        <f t="shared" si="108"/>
        <v>114</v>
      </c>
      <c r="E69" s="1532">
        <v>108</v>
      </c>
      <c r="F69" s="1533">
        <v>104</v>
      </c>
      <c r="G69" s="3264">
        <v>2003</v>
      </c>
      <c r="H69" s="1522">
        <v>4</v>
      </c>
      <c r="I69" s="1534"/>
      <c r="J69" s="1534"/>
      <c r="K69" s="1534"/>
      <c r="L69" s="1534"/>
      <c r="N69" s="1535"/>
      <c r="O69" s="1534"/>
      <c r="P69" s="1534"/>
      <c r="Q69" s="1534"/>
      <c r="S69" s="1535"/>
      <c r="T69" s="1534"/>
      <c r="U69" s="1534"/>
      <c r="V69" s="1534"/>
      <c r="X69" s="1526"/>
      <c r="Y69" s="1526"/>
      <c r="Z69" s="1526"/>
    </row>
    <row r="70" spans="1:26">
      <c r="A70" s="1461" t="s">
        <v>1199</v>
      </c>
      <c r="B70" s="1536">
        <f t="shared" ref="B70:C72" si="144">B71+(B$69-B$73)/4</f>
        <v>109.75</v>
      </c>
      <c r="C70" s="1536">
        <f t="shared" si="144"/>
        <v>112.25</v>
      </c>
      <c r="D70" s="1536">
        <f t="shared" si="108"/>
        <v>112.25</v>
      </c>
      <c r="E70" s="1536">
        <f t="shared" ref="E70:F72" si="145">E71+(E$69-E$73)/4</f>
        <v>107.25</v>
      </c>
      <c r="F70" s="1536">
        <f t="shared" si="145"/>
        <v>103.5</v>
      </c>
      <c r="G70" s="3265">
        <v>2003</v>
      </c>
      <c r="H70" s="1487">
        <v>3</v>
      </c>
      <c r="I70" s="1534"/>
      <c r="J70" s="1534"/>
      <c r="K70" s="1534"/>
      <c r="L70" s="1534"/>
      <c r="X70" s="1526"/>
      <c r="Y70" s="1526"/>
      <c r="Z70" s="1526"/>
    </row>
    <row r="71" spans="1:26">
      <c r="A71" s="1461" t="s">
        <v>1200</v>
      </c>
      <c r="B71" s="1536">
        <f t="shared" si="144"/>
        <v>108.5</v>
      </c>
      <c r="C71" s="1536">
        <f t="shared" si="144"/>
        <v>110.5</v>
      </c>
      <c r="D71" s="1536">
        <f t="shared" si="108"/>
        <v>110.5</v>
      </c>
      <c r="E71" s="1536">
        <f t="shared" si="145"/>
        <v>106.5</v>
      </c>
      <c r="F71" s="1536">
        <f t="shared" si="145"/>
        <v>103</v>
      </c>
      <c r="G71" s="3265">
        <v>2003</v>
      </c>
      <c r="H71" s="1465">
        <v>2</v>
      </c>
      <c r="I71" s="1534"/>
      <c r="J71" s="1534"/>
      <c r="K71" s="1534"/>
      <c r="L71" s="1534"/>
      <c r="X71" s="1526"/>
      <c r="Y71" s="1526"/>
      <c r="Z71" s="1526"/>
    </row>
    <row r="72" spans="1:26" ht="13.8" thickBot="1">
      <c r="A72" s="1461" t="s">
        <v>1201</v>
      </c>
      <c r="B72" s="1536">
        <f t="shared" si="144"/>
        <v>107.25</v>
      </c>
      <c r="C72" s="1536">
        <f t="shared" si="144"/>
        <v>108.75</v>
      </c>
      <c r="D72" s="1536">
        <f t="shared" si="108"/>
        <v>108.75</v>
      </c>
      <c r="E72" s="1536">
        <f t="shared" si="145"/>
        <v>105.75</v>
      </c>
      <c r="F72" s="1536">
        <f t="shared" si="145"/>
        <v>102.5</v>
      </c>
      <c r="G72" s="3266">
        <v>2003</v>
      </c>
      <c r="H72" s="1537">
        <v>1</v>
      </c>
      <c r="I72" s="1534"/>
      <c r="J72" s="1534"/>
      <c r="K72" s="1534"/>
      <c r="L72" s="1534"/>
      <c r="S72" s="1472"/>
      <c r="T72" s="1473"/>
      <c r="U72" s="1473"/>
      <c r="X72" s="1526"/>
      <c r="Y72" s="1526"/>
      <c r="Z72" s="1526"/>
    </row>
    <row r="73" spans="1:26" ht="13.8" thickBot="1">
      <c r="A73" s="1461" t="s">
        <v>1202</v>
      </c>
      <c r="B73" s="1538">
        <v>106</v>
      </c>
      <c r="C73" s="1538">
        <v>107</v>
      </c>
      <c r="D73" s="1538">
        <f t="shared" si="108"/>
        <v>107</v>
      </c>
      <c r="E73" s="1538">
        <v>105</v>
      </c>
      <c r="F73" s="1539">
        <v>102</v>
      </c>
      <c r="G73" s="3264">
        <v>2002</v>
      </c>
      <c r="H73" s="1482">
        <v>4</v>
      </c>
      <c r="I73" s="1534"/>
      <c r="J73" s="1534"/>
      <c r="K73" s="1534"/>
      <c r="L73" s="1534"/>
      <c r="N73" s="1535"/>
      <c r="O73" s="1534"/>
      <c r="P73" s="1534"/>
      <c r="Q73" s="1534"/>
      <c r="S73" s="1535"/>
      <c r="T73" s="1534"/>
      <c r="U73" s="1534"/>
      <c r="V73" s="1534"/>
      <c r="X73" s="1526"/>
      <c r="Y73" s="1526"/>
      <c r="Z73" s="1526"/>
    </row>
    <row r="74" spans="1:26">
      <c r="A74" s="1461" t="s">
        <v>1203</v>
      </c>
      <c r="B74" s="1536">
        <f t="shared" ref="B74:C76" si="146">B75+(B$73-B$77)/4</f>
        <v>105</v>
      </c>
      <c r="C74" s="1536">
        <f t="shared" si="146"/>
        <v>106</v>
      </c>
      <c r="D74" s="1536">
        <f t="shared" si="108"/>
        <v>106</v>
      </c>
      <c r="E74" s="1536">
        <f t="shared" ref="E74:F76" si="147">E75+(E$73-E$77)/4</f>
        <v>104.5</v>
      </c>
      <c r="F74" s="1536">
        <f t="shared" si="147"/>
        <v>101.5</v>
      </c>
      <c r="G74" s="3265">
        <v>2002</v>
      </c>
      <c r="H74" s="1487">
        <v>3</v>
      </c>
      <c r="I74" s="1534"/>
      <c r="J74" s="1534"/>
      <c r="K74" s="1534"/>
      <c r="L74" s="1534"/>
      <c r="X74" s="1526"/>
      <c r="Y74" s="1526"/>
      <c r="Z74" s="1526"/>
    </row>
    <row r="75" spans="1:26">
      <c r="A75" s="1461" t="s">
        <v>1204</v>
      </c>
      <c r="B75" s="1536">
        <f t="shared" si="146"/>
        <v>104</v>
      </c>
      <c r="C75" s="1536">
        <f t="shared" si="146"/>
        <v>105</v>
      </c>
      <c r="D75" s="1536">
        <f t="shared" si="108"/>
        <v>105</v>
      </c>
      <c r="E75" s="1536">
        <f t="shared" si="147"/>
        <v>104</v>
      </c>
      <c r="F75" s="1536">
        <f t="shared" si="147"/>
        <v>101</v>
      </c>
      <c r="G75" s="3265">
        <v>2002</v>
      </c>
      <c r="H75" s="1465">
        <v>2</v>
      </c>
      <c r="I75" s="1534"/>
      <c r="J75" s="1534"/>
      <c r="K75" s="1534"/>
      <c r="L75" s="1534"/>
      <c r="X75" s="1526"/>
      <c r="Y75" s="1526"/>
      <c r="Z75" s="1526"/>
    </row>
    <row r="76" spans="1:26" s="1498" customFormat="1" ht="13.8" thickBot="1">
      <c r="A76" s="1494" t="s">
        <v>1205</v>
      </c>
      <c r="B76" s="1540">
        <f t="shared" si="146"/>
        <v>103</v>
      </c>
      <c r="C76" s="1540">
        <f t="shared" si="146"/>
        <v>104</v>
      </c>
      <c r="D76" s="1540">
        <f t="shared" si="108"/>
        <v>104</v>
      </c>
      <c r="E76" s="1540">
        <f t="shared" si="147"/>
        <v>103.5</v>
      </c>
      <c r="F76" s="1540">
        <f t="shared" si="147"/>
        <v>100.5</v>
      </c>
      <c r="G76" s="3266">
        <v>2002</v>
      </c>
      <c r="H76" s="1541">
        <v>1</v>
      </c>
      <c r="I76" s="1542"/>
      <c r="J76" s="1542"/>
      <c r="K76" s="1542"/>
      <c r="L76" s="1542"/>
      <c r="N76" s="1543"/>
      <c r="S76" s="1543"/>
      <c r="X76" s="1544"/>
      <c r="Y76" s="1544"/>
      <c r="Z76" s="1544"/>
    </row>
    <row r="77" spans="1:26" ht="13.8"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1206</v>
      </c>
      <c r="G79" s="1550"/>
      <c r="N79" s="1550"/>
      <c r="S79" s="1550"/>
    </row>
    <row r="80" spans="1:26" s="1549" customFormat="1">
      <c r="A80" s="1549" t="s">
        <v>1207</v>
      </c>
      <c r="G80" s="1550"/>
      <c r="N80" s="1550"/>
      <c r="S80" s="1550"/>
    </row>
    <row r="81" spans="1:22" s="1549" customFormat="1">
      <c r="A81" s="1549" t="s">
        <v>1208</v>
      </c>
      <c r="G81" s="1550"/>
      <c r="I81" s="1551"/>
      <c r="J81" s="1551"/>
      <c r="K81" s="1551"/>
      <c r="L81" s="1551"/>
      <c r="N81" s="1552"/>
      <c r="O81" s="1551"/>
      <c r="P81" s="1551"/>
      <c r="Q81" s="1551"/>
      <c r="S81" s="1552"/>
      <c r="T81" s="1551"/>
      <c r="U81" s="1551"/>
      <c r="V81" s="1551"/>
    </row>
    <row r="82" spans="1:22" s="1549" customFormat="1">
      <c r="A82" s="1549" t="s">
        <v>1209</v>
      </c>
      <c r="G82" s="1550"/>
      <c r="N82" s="1550"/>
      <c r="S82" s="1550"/>
    </row>
    <row r="89" spans="1:22" ht="13.8" thickBot="1"/>
    <row r="90" spans="1:22">
      <c r="G90" s="1471"/>
      <c r="S90" s="1553" t="s">
        <v>1210</v>
      </c>
      <c r="T90" s="1554" t="s">
        <v>1211</v>
      </c>
      <c r="U90" s="1554" t="s">
        <v>1212</v>
      </c>
      <c r="V90" s="1554" t="s">
        <v>1213</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8"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1615</v>
      </c>
      <c r="B1" s="1958"/>
      <c r="C1" s="1958"/>
      <c r="D1" s="1958"/>
      <c r="E1" s="1958"/>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7.399999999999999">
      <c r="A3" s="2958" t="str">
        <f>IF(项目基本情况!B9="房地产市场价值","估价结果一览表（市场价值不需“结果表-1”）","估价结果一览表")</f>
        <v>估价结果一览表</v>
      </c>
      <c r="B3" s="2958"/>
      <c r="C3" s="2958"/>
      <c r="D3" s="2958"/>
      <c r="E3" s="2958"/>
    </row>
    <row r="4" spans="1:5" ht="18" thickBot="1">
      <c r="A4" s="1960"/>
      <c r="B4" s="2956" t="s">
        <v>1624</v>
      </c>
      <c r="C4" s="2956"/>
      <c r="D4" s="2956"/>
      <c r="E4" s="1960"/>
    </row>
    <row r="5" spans="1:5" ht="16.2" thickTop="1">
      <c r="A5" s="1958"/>
      <c r="B5" s="2954" t="s">
        <v>1616</v>
      </c>
      <c r="C5" s="1961" t="s">
        <v>1617</v>
      </c>
      <c r="D5" s="1040">
        <f ca="1">结果表!H101</f>
        <v>2597</v>
      </c>
      <c r="E5" s="1958"/>
    </row>
    <row r="6" spans="1:5" ht="15.6">
      <c r="A6" s="1958"/>
      <c r="B6" s="2954"/>
      <c r="C6" s="1961" t="s">
        <v>1618</v>
      </c>
      <c r="D6" s="1040" t="str">
        <f ca="1">NUMBERSTRING(INT(D5*10000),2)&amp;"元整"</f>
        <v>贰仟伍佰玖拾柒万元整</v>
      </c>
      <c r="E6" s="1958"/>
    </row>
    <row r="7" spans="1:5" ht="15.6">
      <c r="A7" s="1958"/>
      <c r="B7" s="2959"/>
      <c r="C7" s="1962" t="s">
        <v>1619</v>
      </c>
      <c r="D7" s="1041">
        <f ca="1">结果表!H102</f>
        <v>4306</v>
      </c>
      <c r="E7" s="1958"/>
    </row>
    <row r="8" spans="1:5" ht="15.6">
      <c r="A8" s="1958"/>
      <c r="B8" s="2960" t="str">
        <f>结果表!E103</f>
        <v>2.估价师知悉的法定优先受偿款</v>
      </c>
      <c r="C8" s="1963" t="s">
        <v>1620</v>
      </c>
      <c r="D8" s="1041">
        <f>结果表!H103</f>
        <v>0</v>
      </c>
      <c r="E8" s="1958"/>
    </row>
    <row r="9" spans="1:5" ht="15.6">
      <c r="A9" s="1958"/>
      <c r="B9" s="2962"/>
      <c r="C9" s="1961" t="s">
        <v>1618</v>
      </c>
      <c r="D9" s="1040" t="str">
        <f>NUMBERSTRING(INT(D8*10000),2)&amp;"元整"</f>
        <v>零元整</v>
      </c>
      <c r="E9" s="1958"/>
    </row>
    <row r="10" spans="1:5" ht="15.6">
      <c r="A10" s="1958"/>
      <c r="B10" s="1964" t="s">
        <v>1623</v>
      </c>
      <c r="C10" s="1965" t="s">
        <v>1621</v>
      </c>
      <c r="D10" s="1042">
        <f>结果表!H104</f>
        <v>0</v>
      </c>
      <c r="E10" s="1958"/>
    </row>
    <row r="11" spans="1:5" ht="15.6">
      <c r="A11" s="1958"/>
      <c r="B11" s="1964" t="s">
        <v>1625</v>
      </c>
      <c r="C11" s="1965" t="s">
        <v>1626</v>
      </c>
      <c r="D11" s="1042">
        <f>结果表!H105</f>
        <v>0</v>
      </c>
      <c r="E11" s="1958"/>
    </row>
    <row r="12" spans="1:5" ht="15.6">
      <c r="A12" s="1958"/>
      <c r="B12" s="1964" t="s">
        <v>1627</v>
      </c>
      <c r="C12" s="1965" t="s">
        <v>1626</v>
      </c>
      <c r="D12" s="1042">
        <f>结果表!H106</f>
        <v>0</v>
      </c>
      <c r="E12" s="1958"/>
    </row>
    <row r="13" spans="1:5" ht="15.6">
      <c r="A13" s="1958"/>
      <c r="B13" s="2953" t="str">
        <f>结果表!E107</f>
        <v>3.房地产抵押价值</v>
      </c>
      <c r="C13" s="1966" t="s">
        <v>1617</v>
      </c>
      <c r="D13" s="1043">
        <f ca="1">结果表!H107</f>
        <v>2597</v>
      </c>
      <c r="E13" s="1958"/>
    </row>
    <row r="14" spans="1:5" ht="15.6">
      <c r="A14" s="1958"/>
      <c r="B14" s="2954"/>
      <c r="C14" s="1961" t="s">
        <v>1618</v>
      </c>
      <c r="D14" s="1040" t="str">
        <f ca="1">NUMBERSTRING(INT(D13*10000),2)&amp;"元整"</f>
        <v>贰仟伍佰玖拾柒万元整</v>
      </c>
      <c r="E14" s="1958"/>
    </row>
    <row r="15" spans="1:5" ht="15.6">
      <c r="A15" s="1958"/>
      <c r="B15" s="2959"/>
      <c r="C15" s="1962" t="s">
        <v>1628</v>
      </c>
      <c r="D15" s="1052">
        <f ca="1">结果表!H108</f>
        <v>4306</v>
      </c>
      <c r="E15" s="1958"/>
    </row>
    <row r="16" spans="1:5" ht="15.6">
      <c r="A16" s="1958"/>
      <c r="B16" s="2960" t="str">
        <f>结果表!E109</f>
        <v>——</v>
      </c>
      <c r="C16" s="1966" t="s">
        <v>1629</v>
      </c>
      <c r="D16" s="1967" t="str">
        <f>结果表!H109</f>
        <v>——</v>
      </c>
      <c r="E16" s="1958"/>
    </row>
    <row r="17" spans="1:5" ht="15.6">
      <c r="A17" s="1958"/>
      <c r="B17" s="2961"/>
      <c r="C17" s="1961" t="s">
        <v>1630</v>
      </c>
      <c r="D17" s="1040" t="e">
        <f>NUMBERSTRING(INT(D16*10000),2)&amp;"元整"</f>
        <v>#VALUE!</v>
      </c>
      <c r="E17" s="1958"/>
    </row>
    <row r="18" spans="1:5" ht="15.6">
      <c r="A18" s="1958"/>
      <c r="B18" s="2962"/>
      <c r="C18" s="1962" t="s">
        <v>1619</v>
      </c>
      <c r="D18" s="1052" t="str">
        <f>结果表!H110</f>
        <v>——</v>
      </c>
      <c r="E18" s="1958"/>
    </row>
    <row r="19" spans="1:5" ht="15.6">
      <c r="A19" s="1958"/>
      <c r="B19" s="2953" t="str">
        <f>结果表!E111</f>
        <v>——</v>
      </c>
      <c r="C19" s="1966" t="s">
        <v>1617</v>
      </c>
      <c r="D19" s="1041" t="str">
        <f>结果表!H111</f>
        <v>——</v>
      </c>
      <c r="E19" s="1958"/>
    </row>
    <row r="20" spans="1:5" ht="15.6">
      <c r="A20" s="1958"/>
      <c r="B20" s="2954"/>
      <c r="C20" s="1961" t="s">
        <v>1630</v>
      </c>
      <c r="D20" s="1040" t="e">
        <f>NUMBERSTRING(INT(D19*10000),2)&amp;"元整"</f>
        <v>#VALUE!</v>
      </c>
      <c r="E20" s="1958"/>
    </row>
    <row r="21" spans="1:5" ht="16.2" thickBot="1">
      <c r="A21" s="1958"/>
      <c r="B21" s="2955"/>
      <c r="C21" s="1968" t="s">
        <v>1628</v>
      </c>
      <c r="D21" s="1053" t="str">
        <f>结果表!H112</f>
        <v>——</v>
      </c>
      <c r="E21" s="1958"/>
    </row>
    <row r="22" spans="1:5" ht="14.4" thickTop="1">
      <c r="A22" s="1958"/>
      <c r="B22" s="1969" t="s">
        <v>1631</v>
      </c>
      <c r="C22" s="1958"/>
      <c r="D22" s="1958"/>
      <c r="E22" s="1958"/>
    </row>
    <row r="23" spans="1:5">
      <c r="A23" s="1958"/>
      <c r="B23" s="1958"/>
      <c r="C23" s="1958"/>
      <c r="D23" s="1958"/>
      <c r="E23" s="1958"/>
    </row>
    <row r="24" spans="1:5" ht="17.399999999999999">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19" sqref="H19"/>
      <selection pane="bottomLeft" activeCell="H19" sqref="H19"/>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74" t="s">
        <v>3003</v>
      </c>
      <c r="D1" s="3275"/>
      <c r="E1" s="3275"/>
      <c r="F1" s="3275"/>
      <c r="G1" s="3275"/>
      <c r="H1" s="3275"/>
      <c r="I1" s="3275"/>
      <c r="J1" s="3275"/>
      <c r="K1" s="3275"/>
      <c r="L1" s="3275"/>
      <c r="M1" s="3275"/>
      <c r="N1" s="3275"/>
      <c r="O1" s="3275"/>
      <c r="P1" s="3275"/>
      <c r="Q1" s="3275"/>
      <c r="R1" s="3275"/>
      <c r="S1" s="3276"/>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3012</v>
      </c>
      <c r="B17" s="2909"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3014</v>
      </c>
      <c r="E19" s="1792"/>
      <c r="F19" s="1792"/>
      <c r="G19" s="1792"/>
      <c r="H19" s="1280"/>
      <c r="I19" s="168"/>
      <c r="J19" s="168"/>
      <c r="K19" s="168"/>
      <c r="L19" s="168"/>
      <c r="M19" s="168"/>
      <c r="N19" s="168"/>
      <c r="O19" s="168"/>
      <c r="P19" s="168"/>
      <c r="Q19" s="168"/>
      <c r="R19" s="788"/>
      <c r="S19" s="138"/>
    </row>
    <row r="20" spans="1:45" ht="16.2" thickBot="1">
      <c r="A20" s="715" t="s">
        <v>3015</v>
      </c>
      <c r="B20" s="338" t="e">
        <f ca="1">IF(D20="——",S22,S22-F20)</f>
        <v>#REF!</v>
      </c>
      <c r="C20" s="168"/>
      <c r="D20" s="2911" t="s">
        <v>3016</v>
      </c>
      <c r="E20" s="1793"/>
      <c r="F20" s="1204" t="e">
        <f ca="1">SUMIF(INDIRECT("'"&amp;H20&amp;"'"&amp;"!A:A"),"承租人权益价值",INDIRECT("'"&amp;H20&amp;"'"&amp;"!c:c"))</f>
        <v>#REF!</v>
      </c>
      <c r="G20" s="1204" t="s">
        <v>3017</v>
      </c>
      <c r="H20" s="2912"/>
      <c r="I20" s="168"/>
      <c r="J20" s="168"/>
      <c r="K20" s="168"/>
      <c r="L20" s="168"/>
      <c r="M20" s="168"/>
      <c r="N20" s="168"/>
      <c r="O20" s="168"/>
      <c r="P20" s="168"/>
      <c r="Q20" s="168"/>
      <c r="R20" s="788"/>
      <c r="S20" s="138"/>
    </row>
    <row r="21" spans="1:45" ht="15.6">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53" t="s">
        <v>33</v>
      </c>
      <c r="D22" s="3054"/>
      <c r="E22" s="3054"/>
      <c r="F22" s="3054"/>
      <c r="G22" s="3054"/>
      <c r="H22" s="3054"/>
      <c r="I22" s="3054"/>
      <c r="J22" s="3054"/>
      <c r="K22" s="3054"/>
      <c r="L22" s="3054"/>
      <c r="M22" s="3054"/>
      <c r="N22" s="3054"/>
      <c r="O22" s="3054"/>
      <c r="P22" s="3054"/>
      <c r="Q22" s="3273"/>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26967</v>
      </c>
      <c r="C2" s="2" t="s">
        <v>133</v>
      </c>
      <c r="D2" s="243"/>
      <c r="E2" s="243"/>
      <c r="F2" s="243"/>
      <c r="G2" s="243"/>
    </row>
    <row r="3" spans="1:7" s="244" customFormat="1" ht="18" customHeight="1" thickBot="1">
      <c r="A3" s="247" t="s">
        <v>85</v>
      </c>
      <c r="B3" s="248">
        <f ca="1">ROUND(B2*10000/'数据-汇总表'!E3,0)</f>
        <v>44711</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90</v>
      </c>
      <c r="F9" s="265"/>
      <c r="G9" s="270"/>
    </row>
    <row r="10" spans="1:7" s="258" customFormat="1" ht="13.5" customHeight="1">
      <c r="A10" s="950" t="s">
        <v>801</v>
      </c>
      <c r="B10" s="268" t="s">
        <v>94</v>
      </c>
      <c r="C10" s="269">
        <f>ROUND(D10*E10/10000,0)</f>
        <v>54</v>
      </c>
      <c r="D10" s="1032">
        <f>'数据-汇总表'!E6</f>
        <v>6031.39</v>
      </c>
      <c r="E10" s="269">
        <f>'数据-取费表'!B28</f>
        <v>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90</v>
      </c>
      <c r="D19" s="1036">
        <f>'数据-汇总表'!E3</f>
        <v>6031.39</v>
      </c>
      <c r="E19" s="255">
        <f>'数据-取费表'!B31</f>
        <v>150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445</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439</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1054</v>
      </c>
      <c r="C25" s="1355">
        <f ca="1">ROUND(IF('数据-取费表'!B22&lt;=1,C20*F22*'数据-取费表'!B23/2,C20*(POWER((1+F22),'数据-取费表'!B23/2)-1)),0)</f>
        <v>4</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6.4">
      <c r="A27" s="948" t="s">
        <v>787</v>
      </c>
      <c r="B27" s="288" t="s">
        <v>112</v>
      </c>
      <c r="C27" s="289">
        <f>C28</f>
        <v>2069</v>
      </c>
      <c r="D27" s="279">
        <f>C29</f>
        <v>2E-3</v>
      </c>
      <c r="E27" s="280" t="s">
        <v>126</v>
      </c>
      <c r="F27" s="290">
        <f>'数据-取费表'!Q16</f>
        <v>0.1</v>
      </c>
      <c r="G27" s="291" t="s">
        <v>1065</v>
      </c>
    </row>
    <row r="28" spans="1:7" s="258" customFormat="1" ht="13.5" customHeight="1">
      <c r="A28" s="951" t="s">
        <v>794</v>
      </c>
      <c r="B28" s="292" t="s">
        <v>1058</v>
      </c>
      <c r="C28" s="293">
        <f>ROUND((C5+C19+C20)*F27*'数据-取费表'!B21/'数据-取费表'!B20,0)</f>
        <v>2069</v>
      </c>
      <c r="D28" s="279"/>
      <c r="E28" s="280"/>
      <c r="F28" s="290"/>
      <c r="G28" s="291"/>
    </row>
    <row r="29" spans="1:7" s="258" customFormat="1" ht="13.5" customHeight="1">
      <c r="A29" s="951" t="s">
        <v>792</v>
      </c>
      <c r="B29" s="292" t="s">
        <v>1059</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25559</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1150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1015</v>
      </c>
      <c r="D34" s="261"/>
      <c r="E34" s="264"/>
      <c r="F34" s="301">
        <f>IF('数据-取费表'!B24=0,1,'数据-取费表'!N16)</f>
        <v>0.99</v>
      </c>
      <c r="G34" s="263" t="s">
        <v>116</v>
      </c>
    </row>
    <row r="35" spans="1:7" ht="13.5" customHeight="1">
      <c r="A35" s="951" t="s">
        <v>796</v>
      </c>
      <c r="B35" s="259" t="s">
        <v>60</v>
      </c>
      <c r="C35" s="264">
        <f>ROUND(C34*F35,0)</f>
        <v>30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90</v>
      </c>
      <c r="D37" s="261">
        <f>'数据-汇总表'!E3</f>
        <v>6031.39</v>
      </c>
      <c r="E37" s="293">
        <f>'数据-取费表'!B35</f>
        <v>150</v>
      </c>
      <c r="F37" s="303"/>
      <c r="G37" s="305" t="s">
        <v>119</v>
      </c>
    </row>
    <row r="38" spans="1:7" ht="13.5" customHeight="1">
      <c r="A38" s="951" t="s">
        <v>799</v>
      </c>
      <c r="B38" s="259" t="s">
        <v>63</v>
      </c>
      <c r="C38" s="264">
        <f>ROUND(C34*F38,0)</f>
        <v>15</v>
      </c>
      <c r="D38" s="264"/>
      <c r="E38" s="264"/>
      <c r="F38" s="303">
        <f>'数据-取费表'!B36</f>
        <v>1.4999999999999999E-2</v>
      </c>
      <c r="G38" s="263" t="s">
        <v>117</v>
      </c>
    </row>
    <row r="39" spans="1:7" s="258" customFormat="1" ht="13.5" customHeight="1">
      <c r="A39" s="948" t="s">
        <v>783</v>
      </c>
      <c r="B39" s="254" t="s">
        <v>104</v>
      </c>
      <c r="C39" s="276">
        <f>ROUND(C33*F20,0)</f>
        <v>23</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12</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12</v>
      </c>
      <c r="D42" s="282"/>
      <c r="E42" s="282"/>
      <c r="F42" s="283"/>
      <c r="G42" s="3138" t="s">
        <v>121</v>
      </c>
    </row>
    <row r="43" spans="1:7" ht="13.5" customHeight="1">
      <c r="A43" s="951" t="s">
        <v>792</v>
      </c>
      <c r="B43" s="259" t="s">
        <v>1060</v>
      </c>
      <c r="C43" s="282">
        <f ca="1">ROUND(IF('数据-取费表'!B22&lt;=1,C39*F22*'数据-取费表'!B21/2,C39*(POWER((1+F22),'数据-取费表'!B21/2)-1)),0)</f>
        <v>0</v>
      </c>
      <c r="D43" s="282"/>
      <c r="E43" s="282"/>
      <c r="F43" s="283"/>
      <c r="G43" s="3139"/>
    </row>
    <row r="44" spans="1:7" ht="13.5" customHeight="1">
      <c r="A44" s="951" t="s">
        <v>793</v>
      </c>
      <c r="B44" s="259" t="s">
        <v>1062</v>
      </c>
      <c r="C44" s="282">
        <f ca="1">ROUND(IF('数据-取费表'!B22&lt;=1,C40*F22*'数据-取费表'!B21/2,C40*(POWER((1+F22),'数据-取费表'!B21/2)-1)),4)</f>
        <v>2.0000000000000001E-4</v>
      </c>
      <c r="D44" s="282"/>
      <c r="E44" s="282"/>
      <c r="F44" s="283"/>
      <c r="G44" s="3140"/>
    </row>
    <row r="45" spans="1:7" s="258" customFormat="1" ht="13.5" customHeight="1">
      <c r="A45" s="948" t="s">
        <v>786</v>
      </c>
      <c r="B45" s="288" t="s">
        <v>112</v>
      </c>
      <c r="C45" s="289">
        <f>C46</f>
        <v>117</v>
      </c>
      <c r="D45" s="279">
        <f>C47</f>
        <v>2E-3</v>
      </c>
      <c r="E45" s="280" t="s">
        <v>129</v>
      </c>
      <c r="F45" s="290"/>
      <c r="G45" s="291" t="s">
        <v>1068</v>
      </c>
    </row>
    <row r="46" spans="1:7" s="258" customFormat="1" ht="13.5" customHeight="1">
      <c r="A46" s="951" t="s">
        <v>794</v>
      </c>
      <c r="B46" s="292" t="s">
        <v>1061</v>
      </c>
      <c r="C46" s="293">
        <f>ROUND((C33+C39)*F27,0)</f>
        <v>117</v>
      </c>
      <c r="D46" s="307"/>
      <c r="E46" s="280"/>
      <c r="F46" s="290"/>
      <c r="G46" s="291"/>
    </row>
    <row r="47" spans="1:7" s="258" customFormat="1" ht="13.5" customHeight="1">
      <c r="A47" s="951" t="s">
        <v>792</v>
      </c>
      <c r="B47" s="292" t="s">
        <v>1063</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1408</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1408</v>
      </c>
      <c r="D51" s="276"/>
      <c r="E51" s="276"/>
      <c r="F51" s="308"/>
      <c r="G51" s="278" t="s">
        <v>64</v>
      </c>
    </row>
    <row r="52" spans="1:7" s="252" customFormat="1" ht="16.8" thickBot="1">
      <c r="A52" s="309" t="s">
        <v>65</v>
      </c>
      <c r="B52" s="310"/>
      <c r="C52" s="311">
        <f ca="1">C31+C51</f>
        <v>26967</v>
      </c>
      <c r="D52" s="310"/>
      <c r="E52" s="310"/>
      <c r="F52" s="310"/>
      <c r="G52" s="312"/>
    </row>
    <row r="55" spans="1:7" ht="15">
      <c r="B55" s="314" t="s">
        <v>66</v>
      </c>
      <c r="C55" s="315"/>
    </row>
    <row r="56" spans="1:7">
      <c r="B56" s="317" t="s">
        <v>67</v>
      </c>
      <c r="C56" s="318">
        <f ca="1">ROUND(C51/C52,3)</f>
        <v>5.1999999999999998E-2</v>
      </c>
    </row>
    <row r="57" spans="1:7">
      <c r="B57" s="317" t="s">
        <v>68</v>
      </c>
      <c r="C57" s="319">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7" t="s">
        <v>867</v>
      </c>
      <c r="B1" s="3277"/>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1295</v>
      </c>
      <c r="C1" s="1694">
        <f>项目基本情况!D3</f>
        <v>43819</v>
      </c>
      <c r="D1" s="1700" t="s">
        <v>1296</v>
      </c>
      <c r="E1" s="1695">
        <f>'数据-取费表'!B22</f>
        <v>0.5</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3</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1367</v>
      </c>
      <c r="E1" s="1776" t="s">
        <v>1371</v>
      </c>
      <c r="F1" s="1777" t="s">
        <v>1375</v>
      </c>
    </row>
    <row r="2" spans="1:13" ht="19.8">
      <c r="A2" s="1783" t="s">
        <v>1368</v>
      </c>
    </row>
    <row r="3" spans="1:13" ht="15.6">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63" t="str">
        <f>IF(项目基本情况!B9="房地产市场价值","估价结果一览表","结果表-2")</f>
        <v>结果表-2</v>
      </c>
      <c r="B1" s="2963"/>
      <c r="C1" s="2963"/>
      <c r="D1" s="2963"/>
      <c r="E1" s="2963"/>
      <c r="F1" s="2963"/>
      <c r="G1" s="2963"/>
      <c r="H1" s="2963"/>
      <c r="I1" s="2963"/>
    </row>
    <row r="2" spans="1:9" ht="30" customHeight="1" thickTop="1">
      <c r="A2" s="2964" t="s">
        <v>1635</v>
      </c>
      <c r="B2" s="2964" t="s">
        <v>1636</v>
      </c>
      <c r="C2" s="2964" t="s">
        <v>1637</v>
      </c>
      <c r="D2" s="2964" t="str">
        <f>结果表!D116</f>
        <v>出让国有建设用地使用权价值</v>
      </c>
      <c r="E2" s="2964"/>
      <c r="F2" s="2964" t="str">
        <f>结果表!F116</f>
        <v>在建建筑物价值</v>
      </c>
      <c r="G2" s="2964"/>
      <c r="H2" s="2964" t="str">
        <f>IF(项目基本情况!B9="房地产市场价值","房地产市场价值","房地产价值")</f>
        <v>房地产价值</v>
      </c>
      <c r="I2" s="2964"/>
    </row>
    <row r="3" spans="1:9" ht="15.6">
      <c r="A3" s="2965"/>
      <c r="B3" s="2965"/>
      <c r="C3" s="2965"/>
      <c r="D3" s="1044" t="s">
        <v>1632</v>
      </c>
      <c r="E3" s="1044" t="s">
        <v>1638</v>
      </c>
      <c r="F3" s="1044" t="s">
        <v>1632</v>
      </c>
      <c r="G3" s="1044" t="s">
        <v>1633</v>
      </c>
      <c r="H3" s="1044" t="s">
        <v>1632</v>
      </c>
      <c r="I3" s="1044" t="s">
        <v>1633</v>
      </c>
    </row>
    <row r="4" spans="1:9" ht="30">
      <c r="A4" s="1972" t="str">
        <f>项目基本情况!S2</f>
        <v>河北省沧州临港经济技术开发区西区出让国有建设用地使用权及在建建筑物房地产</v>
      </c>
      <c r="B4" s="1044">
        <f>项目基本情况!C17</f>
        <v>6031.39</v>
      </c>
      <c r="C4" s="1044">
        <f>项目基本情况!C18</f>
        <v>27999.91</v>
      </c>
      <c r="D4" s="1044" t="e">
        <f ca="1">结果表!D118</f>
        <v>#REF!</v>
      </c>
      <c r="E4" s="1044" t="e">
        <f ca="1">结果表!E118</f>
        <v>#REF!</v>
      </c>
      <c r="F4" s="1044" t="e">
        <f ca="1">结果表!F118</f>
        <v>#REF!</v>
      </c>
      <c r="G4" s="1044" t="e">
        <f ca="1">结果表!G118</f>
        <v>#REF!</v>
      </c>
      <c r="H4" s="1044">
        <f ca="1">结果表!H118</f>
        <v>2597</v>
      </c>
      <c r="I4" s="1044">
        <f ca="1">结果表!I118</f>
        <v>4306</v>
      </c>
    </row>
    <row r="5" spans="1:9" ht="30" customHeight="1">
      <c r="A5" s="2965" t="s">
        <v>1634</v>
      </c>
      <c r="B5" s="2965"/>
      <c r="C5" s="2965"/>
      <c r="D5" s="2966" t="e">
        <f ca="1">结果表!D119</f>
        <v>#REF!</v>
      </c>
      <c r="E5" s="2966"/>
      <c r="F5" s="2966" t="e">
        <f ca="1">结果表!F119</f>
        <v>#REF!</v>
      </c>
      <c r="G5" s="2966"/>
      <c r="H5" s="2966" t="str">
        <f ca="1">结果表!H119</f>
        <v>贰仟伍佰玖拾柒万元整</v>
      </c>
      <c r="I5" s="2966"/>
    </row>
    <row r="6" spans="1:9" ht="15.6">
      <c r="A6" s="2967" t="str">
        <f>结果表!A120</f>
        <v>估价师知悉的法定优先受偿款</v>
      </c>
      <c r="B6" s="2967"/>
      <c r="C6" s="2967"/>
      <c r="D6" s="2967">
        <f>结果表!D120</f>
        <v>0</v>
      </c>
      <c r="E6" s="2967"/>
      <c r="F6" s="2967"/>
      <c r="G6" s="2967"/>
      <c r="H6" s="2967"/>
      <c r="I6" s="2967"/>
    </row>
    <row r="7" spans="1:9" ht="15">
      <c r="A7" s="2965" t="s">
        <v>1634</v>
      </c>
      <c r="B7" s="2965"/>
      <c r="C7" s="2965"/>
      <c r="D7" s="2968" t="str">
        <f>结果表!D121</f>
        <v>零元整</v>
      </c>
      <c r="E7" s="2969"/>
      <c r="F7" s="2969"/>
      <c r="G7" s="2969"/>
      <c r="H7" s="2969"/>
      <c r="I7" s="2970"/>
    </row>
    <row r="8" spans="1:9" ht="15.6">
      <c r="A8" s="2967" t="str">
        <f>结果表!A122</f>
        <v>房地产抵押价值</v>
      </c>
      <c r="B8" s="2967"/>
      <c r="C8" s="2967"/>
      <c r="D8" s="2967">
        <f ca="1">结果表!D122</f>
        <v>2597</v>
      </c>
      <c r="E8" s="2967"/>
      <c r="F8" s="2967"/>
      <c r="G8" s="2967"/>
      <c r="H8" s="2967"/>
      <c r="I8" s="2967"/>
    </row>
    <row r="9" spans="1:9" ht="15">
      <c r="A9" s="2965" t="s">
        <v>1634</v>
      </c>
      <c r="B9" s="2965"/>
      <c r="C9" s="2965"/>
      <c r="D9" s="2966" t="str">
        <f ca="1">结果表!D123</f>
        <v>贰仟伍佰玖拾柒万元整</v>
      </c>
      <c r="E9" s="2966"/>
      <c r="F9" s="2966"/>
      <c r="G9" s="2966"/>
      <c r="H9" s="2966"/>
      <c r="I9" s="2966"/>
    </row>
    <row r="10" spans="1:9" ht="15.6">
      <c r="A10" s="2967" t="str">
        <f>结果表!A124</f>
        <v/>
      </c>
      <c r="B10" s="2967"/>
      <c r="C10" s="2967"/>
      <c r="D10" s="2967" t="str">
        <f>结果表!D124</f>
        <v>——</v>
      </c>
      <c r="E10" s="2967"/>
      <c r="F10" s="2967"/>
      <c r="G10" s="2967"/>
      <c r="H10" s="2967"/>
      <c r="I10" s="2967"/>
    </row>
    <row r="11" spans="1:9" ht="15">
      <c r="A11" s="2965" t="s">
        <v>1634</v>
      </c>
      <c r="B11" s="2965"/>
      <c r="C11" s="2965"/>
      <c r="D11" s="2966" t="e">
        <f>结果表!D125</f>
        <v>#VALUE!</v>
      </c>
      <c r="E11" s="2966"/>
      <c r="F11" s="2966"/>
      <c r="G11" s="2966"/>
      <c r="H11" s="2966"/>
      <c r="I11" s="2966"/>
    </row>
    <row r="12" spans="1:9" ht="15.6">
      <c r="A12" s="2967" t="str">
        <f>结果表!A126</f>
        <v/>
      </c>
      <c r="B12" s="2967"/>
      <c r="C12" s="2967"/>
      <c r="D12" s="2967" t="str">
        <f>结果表!D126</f>
        <v>——</v>
      </c>
      <c r="E12" s="2967"/>
      <c r="F12" s="2967"/>
      <c r="G12" s="2967"/>
      <c r="H12" s="2967"/>
      <c r="I12" s="2967"/>
    </row>
    <row r="13" spans="1:9" ht="15.6" thickBot="1">
      <c r="A13" s="2971" t="s">
        <v>1634</v>
      </c>
      <c r="B13" s="2971"/>
      <c r="C13" s="2971"/>
      <c r="D13" s="2972" t="e">
        <f>结果表!D127</f>
        <v>#VALUE!</v>
      </c>
      <c r="E13" s="2972"/>
      <c r="F13" s="2972"/>
      <c r="G13" s="2972"/>
      <c r="H13" s="2972"/>
      <c r="I13" s="2972"/>
    </row>
    <row r="14" spans="1:9" ht="14.4" thickTop="1">
      <c r="A14" s="2973" t="s">
        <v>1639</v>
      </c>
      <c r="B14" s="2973"/>
      <c r="C14" s="2973"/>
      <c r="D14" s="2973"/>
      <c r="E14" s="2973"/>
      <c r="F14" s="2973"/>
      <c r="G14" s="2973"/>
      <c r="H14" s="2973"/>
      <c r="I14" s="2973"/>
    </row>
    <row r="16" spans="1:9" ht="17.399999999999999">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74" t="s">
        <v>1656</v>
      </c>
      <c r="B1" s="2974"/>
      <c r="C1" s="2974"/>
      <c r="D1" s="2974"/>
    </row>
    <row r="2" spans="1:4" ht="17.399999999999999">
      <c r="A2" s="2975" t="s">
        <v>1640</v>
      </c>
      <c r="B2" s="2975"/>
      <c r="C2" s="2975"/>
      <c r="D2" s="2975"/>
    </row>
    <row r="3" spans="1:4" ht="17.399999999999999">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7.399999999999999">
      <c r="A6" s="2975" t="s">
        <v>1646</v>
      </c>
      <c r="B6" s="2975"/>
      <c r="C6" s="2975"/>
      <c r="D6" s="2975"/>
    </row>
    <row r="7" spans="1:4" ht="17.399999999999999">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7.399999999999999">
      <c r="A10" s="1983" t="s">
        <v>1648</v>
      </c>
      <c r="B10" s="728"/>
      <c r="C10" s="728"/>
      <c r="D10" s="728"/>
    </row>
    <row r="11" spans="1:4" ht="30" customHeight="1">
      <c r="A11" s="2976" t="s">
        <v>1649</v>
      </c>
      <c r="B11" s="2977"/>
      <c r="C11" s="2977"/>
      <c r="D11" s="2977"/>
    </row>
    <row r="12" spans="1:4" ht="15.6">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7" t="str">
        <f>IF(项目基本情况!B8="抵押","4.本次评估估价师所知悉的法定优先受偿款情况说明如下：","——")</f>
        <v>4.本次评估估价师所知悉的法定优先受偿款情况说明如下：</v>
      </c>
      <c r="B14" s="2978"/>
      <c r="C14" s="2978"/>
      <c r="D14" s="2978"/>
    </row>
    <row r="15" spans="1:4" ht="42" customHeight="1">
      <c r="A15" s="29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7"/>
      <c r="C15" s="2977"/>
      <c r="D15" s="2977"/>
    </row>
    <row r="16" spans="1:4" ht="30" customHeight="1">
      <c r="A16" s="2980" t="s">
        <v>1650</v>
      </c>
      <c r="B16" s="2980"/>
      <c r="C16" s="2980"/>
      <c r="D16" s="2980"/>
    </row>
    <row r="17" spans="1:4" ht="144" customHeight="1">
      <c r="A17" s="2980" t="s">
        <v>1651</v>
      </c>
      <c r="B17" s="2980"/>
      <c r="C17" s="2980"/>
      <c r="D17" s="2980"/>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7"/>
      <c r="C20" s="2977"/>
      <c r="D20" s="2977"/>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1"/>
      <c r="C21" s="2981"/>
      <c r="D21" s="2981"/>
    </row>
    <row r="22" spans="1:4" ht="18.75" customHeight="1">
      <c r="A22" s="2982" t="s">
        <v>1652</v>
      </c>
      <c r="B22" s="2982"/>
      <c r="C22" s="2982"/>
      <c r="D22" s="2982"/>
    </row>
    <row r="23" spans="1:4">
      <c r="A23" s="1984"/>
      <c r="B23" s="1956"/>
      <c r="C23" s="1956"/>
      <c r="D23" s="1956"/>
    </row>
    <row r="24" spans="1:4">
      <c r="A24" s="1984"/>
      <c r="B24" s="1956"/>
      <c r="C24" s="1956"/>
      <c r="D24" s="1956"/>
    </row>
    <row r="25" spans="1:4" ht="17.399999999999999">
      <c r="A25" s="1985" t="s">
        <v>1653</v>
      </c>
    </row>
    <row r="26" spans="1:4" ht="17.399999999999999">
      <c r="A26" s="1954"/>
    </row>
    <row r="27" spans="1:4" ht="17.399999999999999">
      <c r="A27" s="1954" t="s">
        <v>1654</v>
      </c>
    </row>
    <row r="30" spans="1:4" ht="17.399999999999999">
      <c r="D30" s="1985" t="s">
        <v>1655</v>
      </c>
    </row>
    <row r="31" spans="1:4" ht="13.5" customHeight="1">
      <c r="C31" s="2979">
        <v>42551</v>
      </c>
      <c r="D31" s="29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4">
      <c r="A15" s="2988" t="s">
        <v>1663</v>
      </c>
      <c r="B15" s="2983" t="s">
        <v>136</v>
      </c>
      <c r="C15" s="2984"/>
    </row>
    <row r="16" spans="1:7" ht="14.4">
      <c r="A16" s="2989"/>
      <c r="B16" s="2983" t="s">
        <v>69</v>
      </c>
      <c r="C16" s="2984"/>
    </row>
    <row r="17" spans="1:3" ht="14.4">
      <c r="A17" s="2989"/>
      <c r="B17" s="2986" t="s">
        <v>1664</v>
      </c>
      <c r="C17" s="1999" t="s">
        <v>1663</v>
      </c>
    </row>
    <row r="18" spans="1:3" ht="14.4">
      <c r="A18" s="2989"/>
      <c r="B18" s="2986"/>
      <c r="C18" s="1999" t="s">
        <v>1665</v>
      </c>
    </row>
    <row r="19" spans="1:3" ht="14.4">
      <c r="A19" s="2989"/>
      <c r="B19" s="2986"/>
      <c r="C19" s="1999" t="s">
        <v>1666</v>
      </c>
    </row>
    <row r="20" spans="1:3" ht="14.4">
      <c r="A20" s="2990"/>
      <c r="B20" s="2985" t="s">
        <v>1667</v>
      </c>
      <c r="C20" s="2984"/>
    </row>
    <row r="21" spans="1:3" ht="14.4">
      <c r="A21" s="2000" t="s">
        <v>1668</v>
      </c>
      <c r="B21" s="2001"/>
      <c r="C21" s="2002"/>
    </row>
    <row r="22" spans="1:3" ht="14.4">
      <c r="A22" s="2987" t="s">
        <v>1669</v>
      </c>
      <c r="B22" s="2985" t="s">
        <v>1670</v>
      </c>
      <c r="C22" s="2984"/>
    </row>
    <row r="23" spans="1:3" ht="14.4">
      <c r="A23" s="2987"/>
      <c r="B23" s="2985" t="s">
        <v>1671</v>
      </c>
      <c r="C23" s="2984"/>
    </row>
    <row r="24" spans="1:3" ht="14.4">
      <c r="A24" s="2987"/>
      <c r="B24" s="2985" t="s">
        <v>1672</v>
      </c>
      <c r="C24" s="2984"/>
    </row>
    <row r="25" spans="1:3" ht="14.4">
      <c r="A25" s="2987"/>
      <c r="B25" s="2986" t="s">
        <v>1673</v>
      </c>
      <c r="C25" s="1999" t="s">
        <v>1674</v>
      </c>
    </row>
    <row r="26" spans="1:3" ht="14.4">
      <c r="A26" s="2987"/>
      <c r="B26" s="2986"/>
      <c r="C26" s="1999" t="s">
        <v>1675</v>
      </c>
    </row>
    <row r="27" spans="1:3" ht="14.4">
      <c r="A27" s="2987"/>
      <c r="B27" s="2986"/>
      <c r="C27" s="1999" t="s">
        <v>1676</v>
      </c>
    </row>
    <row r="28" spans="1:3" ht="14.4">
      <c r="A28" s="2987"/>
      <c r="B28" s="2986"/>
      <c r="C28" s="1999" t="s">
        <v>1677</v>
      </c>
    </row>
    <row r="29" spans="1:3" ht="14.4">
      <c r="A29" s="2987"/>
      <c r="B29" s="2986"/>
      <c r="C29" s="1999" t="s">
        <v>1678</v>
      </c>
    </row>
    <row r="30" spans="1:3" ht="14.4">
      <c r="A30" s="2987"/>
      <c r="B30" s="2986"/>
      <c r="C30" s="1999" t="s">
        <v>1679</v>
      </c>
    </row>
    <row r="31" spans="1:3" ht="14.4">
      <c r="A31" s="2987"/>
      <c r="B31" s="2986"/>
      <c r="C31" s="1999" t="s">
        <v>1680</v>
      </c>
    </row>
    <row r="32" spans="1:3" ht="14.4">
      <c r="A32" s="2987"/>
      <c r="B32" s="2986"/>
      <c r="C32" s="1999" t="s">
        <v>1681</v>
      </c>
    </row>
    <row r="33" spans="1:3" ht="14.4">
      <c r="A33" s="2987"/>
      <c r="B33" s="2986"/>
      <c r="C33" s="1999" t="s">
        <v>1682</v>
      </c>
    </row>
    <row r="34" spans="1:3">
      <c r="A34" s="2003" t="s">
        <v>76</v>
      </c>
    </row>
    <row r="37" spans="1:3">
      <c r="A37" s="2003" t="s">
        <v>1683</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43819</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f ca="1">IF(C8&lt;B2,"已过期",1120000080)</f>
        <v>1120000080</v>
      </c>
      <c r="C8" s="2346">
        <v>43849</v>
      </c>
      <c r="D8" s="2349" t="s">
        <v>835</v>
      </c>
      <c r="E8" s="1022">
        <f ca="1">IF(F8&lt;B2,"已过期",2000110082)</f>
        <v>2000110082</v>
      </c>
      <c r="F8" s="1030">
        <v>46387</v>
      </c>
    </row>
    <row r="9" spans="1:6" ht="24" customHeight="1">
      <c r="A9" s="1702" t="s">
        <v>836</v>
      </c>
      <c r="B9" s="1022">
        <f ca="1">IF(C9&lt;B2,"已过期",1419970001)</f>
        <v>1419970001</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3043</v>
      </c>
      <c r="B14" s="1022">
        <f ca="1">IF(C14&lt;B2,"已过期",1120040230)</f>
        <v>1120040230</v>
      </c>
      <c r="C14" s="2346">
        <v>44864</v>
      </c>
      <c r="D14" s="2349" t="s">
        <v>3043</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3051</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3053</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2991" t="s">
        <v>842</v>
      </c>
      <c r="B25" s="2991"/>
      <c r="C25" s="2991"/>
      <c r="D25" s="2991"/>
      <c r="E25" s="2991"/>
      <c r="F25" s="2991"/>
      <c r="G25" s="2991"/>
    </row>
    <row r="26" spans="1:7" s="1025" customFormat="1" ht="24" customHeight="1">
      <c r="A26" s="2992" t="s">
        <v>843</v>
      </c>
      <c r="B26" s="2992"/>
      <c r="C26" s="2993"/>
      <c r="D26" s="2994" t="s">
        <v>844</v>
      </c>
      <c r="E26" s="2992"/>
      <c r="F26" s="2992"/>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2019-12-20T07:58:03Z</dcterms:modified>
</cp:coreProperties>
</file>