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1" sheetId="15" r:id="rId23"/>
    <sheet name="收益法2" sheetId="79" r:id="rId24"/>
    <sheet name="收益法3" sheetId="80" r:id="rId25"/>
    <sheet name="收益法4" sheetId="81"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state="hidden" r:id="rId48"/>
    <sheet name="Sheet2" sheetId="78"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7">'收益法（汇总）'!$A$1:$F$9</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13">'数据-汇总表'!$A$1:$P$32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B7" i="1"/>
  <c r="AA9" i="1"/>
  <c r="AA8" i="1"/>
  <c r="AA7" i="1"/>
  <c r="F22" i="6"/>
  <c r="F21" i="6"/>
  <c r="F20" i="6"/>
  <c r="F19" i="6"/>
  <c r="D22" i="81" l="1"/>
  <c r="D23" i="81"/>
  <c r="P61" i="81"/>
  <c r="D24" i="80"/>
  <c r="P61" i="80"/>
  <c r="D22" i="80"/>
  <c r="D24" i="79"/>
  <c r="P61" i="79"/>
  <c r="D22" i="79"/>
  <c r="K10" i="6"/>
  <c r="I7" i="6" s="1"/>
  <c r="K9" i="6"/>
  <c r="Y6" i="1" l="1"/>
  <c r="I13" i="3"/>
  <c r="D29" i="43" s="1"/>
  <c r="D30" i="43" s="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13" i="76"/>
  <c r="B12" i="76"/>
  <c r="B9" i="76"/>
  <c r="E13" i="76"/>
  <c r="B11" i="76"/>
  <c r="E11" i="76"/>
  <c r="E10" i="76"/>
  <c r="B10" i="76"/>
  <c r="E12" i="76"/>
  <c r="E8" i="76"/>
  <c r="B7" i="76"/>
  <c r="E9" i="76"/>
  <c r="E7"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D6" i="73"/>
  <c r="F4" i="73"/>
  <c r="F3" i="73"/>
  <c r="I1" i="73" l="1"/>
  <c r="B39" i="1" s="1"/>
  <c r="D5" i="73"/>
  <c r="D7" i="73"/>
  <c r="D3" i="73"/>
  <c r="D4" i="73"/>
  <c r="F11" i="81" l="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198" i="3"/>
  <c r="AZ500"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3" i="3" s="1"/>
  <c r="AZ491" i="3"/>
  <c r="AZ376" i="3"/>
  <c r="AZ382" i="3"/>
  <c r="U36" i="40"/>
  <c r="N4" i="43"/>
  <c r="F36" i="43"/>
  <c r="F81" i="43"/>
  <c r="H83" i="43" s="1"/>
  <c r="H113" i="43"/>
  <c r="F70" i="43"/>
  <c r="H73" i="43" s="1"/>
  <c r="E17" i="43"/>
  <c r="F39" i="43"/>
  <c r="I17" i="43"/>
  <c r="F35" i="43"/>
  <c r="J17" i="43"/>
  <c r="U17" i="39"/>
  <c r="S14" i="35"/>
  <c r="U43" i="21"/>
  <c r="U35" i="21"/>
  <c r="AC35" i="21"/>
  <c r="U10" i="2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F23" i="39"/>
  <c r="AA23" i="39" s="1"/>
  <c r="H27" i="36"/>
  <c r="U27" i="36" s="1"/>
  <c r="F27" i="36"/>
  <c r="AA27" i="36" s="1"/>
  <c r="H33" i="34"/>
  <c r="U33" i="34" s="1"/>
  <c r="F32" i="37"/>
  <c r="AA32" i="37" s="1"/>
  <c r="F20" i="36"/>
  <c r="AA20" i="36" s="1"/>
  <c r="J33" i="34"/>
  <c r="AC33" i="34" s="1"/>
  <c r="H23" i="39"/>
  <c r="U23" i="39" s="1"/>
  <c r="D48" i="9"/>
  <c r="M52" i="9" s="1"/>
  <c r="F7" i="1" l="1"/>
  <c r="G7" i="1" s="1"/>
  <c r="J51" i="15"/>
  <c r="AZ131" i="3"/>
  <c r="AZ124" i="3"/>
  <c r="AB14" i="37"/>
  <c r="U14" i="37"/>
  <c r="AB26" i="37"/>
  <c r="U26" i="37"/>
  <c r="AC32" i="40"/>
  <c r="W32" i="40"/>
  <c r="G28" i="6"/>
  <c r="AZ365" i="3"/>
  <c r="AZ326" i="3"/>
  <c r="AZ372" i="3"/>
  <c r="AZ347" i="3"/>
  <c r="AZ344" i="3"/>
  <c r="AZ337" i="3"/>
  <c r="AZ313" i="3"/>
  <c r="AZ305" i="3"/>
  <c r="AZ393"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BL125" i="3"/>
  <c r="AZ125" i="3" s="1"/>
  <c r="BA126" i="3"/>
  <c r="AZ126" i="3" s="1"/>
  <c r="BL127" i="3"/>
  <c r="AZ127" i="3" s="1"/>
  <c r="BA129" i="3"/>
  <c r="AZ129" i="3" s="1"/>
  <c r="BA130" i="3"/>
  <c r="AZ130" i="3" s="1"/>
  <c r="BL131" i="3"/>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AZ153" i="3"/>
  <c r="AZ169" i="3"/>
  <c r="AZ185"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C107" i="43"/>
  <c r="I117" i="43"/>
  <c r="J117" i="43" s="1"/>
  <c r="K117" i="43" s="1"/>
  <c r="L117" i="43" s="1"/>
  <c r="M117" i="43" s="1"/>
  <c r="E57" i="40"/>
  <c r="B117" i="43"/>
  <c r="C117" i="43" s="1"/>
  <c r="K105" i="43"/>
  <c r="E56" i="40"/>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M29" i="81"/>
  <c r="F6" i="67"/>
  <c r="F40" i="67"/>
  <c r="M28" i="67"/>
  <c r="F40" i="15"/>
  <c r="M22" i="15"/>
  <c r="F13" i="15"/>
  <c r="F38" i="15"/>
  <c r="F43" i="79"/>
  <c r="F38" i="67"/>
  <c r="F7" i="79"/>
  <c r="F13" i="67"/>
  <c r="M22" i="67"/>
  <c r="M29" i="79"/>
  <c r="M23" i="15"/>
  <c r="M28" i="15"/>
  <c r="F7" i="67"/>
  <c r="J15" i="15"/>
  <c r="M26" i="67"/>
  <c r="F16" i="67"/>
  <c r="M8" i="15"/>
  <c r="M26" i="15"/>
  <c r="M24" i="15"/>
  <c r="M24" i="67"/>
  <c r="F37" i="67"/>
  <c r="C76" i="67"/>
  <c r="F9" i="15"/>
  <c r="F7" i="81"/>
  <c r="M8" i="67"/>
  <c r="G1" i="73"/>
  <c r="L48" i="67"/>
  <c r="C76" i="15"/>
  <c r="F36" i="15"/>
  <c r="M23" i="67"/>
  <c r="F26" i="67"/>
  <c r="F36" i="67"/>
  <c r="F42" i="15"/>
  <c r="F42" i="67"/>
  <c r="F8" i="15"/>
  <c r="F9" i="67"/>
  <c r="L47" i="67"/>
  <c r="M6" i="67"/>
  <c r="F8" i="67"/>
  <c r="F7" i="15"/>
  <c r="F43" i="81"/>
  <c r="L48" i="15"/>
  <c r="M6" i="15"/>
  <c r="F37" i="15"/>
  <c r="F16" i="15"/>
  <c r="L47" i="15"/>
  <c r="M9" i="15"/>
  <c r="M29" i="67"/>
  <c r="F6" i="15"/>
  <c r="F43" i="15"/>
  <c r="F43" i="67"/>
  <c r="F26" i="15"/>
  <c r="M29" i="15"/>
  <c r="J15" i="67"/>
  <c r="M9" i="67"/>
  <c r="I20" i="43" l="1"/>
  <c r="AB38" i="40"/>
  <c r="U38" i="40"/>
  <c r="T10" i="1"/>
  <c r="F53" i="9"/>
  <c r="F32" i="80"/>
  <c r="F60" i="80" s="1"/>
  <c r="F28" i="80"/>
  <c r="C28" i="80" s="1"/>
  <c r="M18" i="80"/>
  <c r="F32" i="81"/>
  <c r="F60" i="81" s="1"/>
  <c r="F28" i="81"/>
  <c r="C28" i="81" s="1"/>
  <c r="M18" i="81"/>
  <c r="F32" i="79"/>
  <c r="F60" i="79" s="1"/>
  <c r="F28" i="79"/>
  <c r="C28" i="79" s="1"/>
  <c r="M18" i="79"/>
  <c r="AA40" i="40"/>
  <c r="S40" i="40"/>
  <c r="AC25" i="37"/>
  <c r="W25" i="37"/>
  <c r="AR10" i="1"/>
  <c r="D118" i="43"/>
  <c r="E118" i="43" s="1"/>
  <c r="F118" i="43" s="1"/>
  <c r="E65" i="39"/>
  <c r="F50" i="79"/>
  <c r="M7" i="79"/>
  <c r="F71" i="79"/>
  <c r="M7" i="81"/>
  <c r="F50" i="81"/>
  <c r="F71" i="81"/>
  <c r="M9" i="1"/>
  <c r="C20" i="43"/>
  <c r="AQ12" i="1"/>
  <c r="J106" i="43"/>
  <c r="G107" i="43"/>
  <c r="J107" i="43"/>
  <c r="T12" i="1"/>
  <c r="F103" i="43"/>
  <c r="D115" i="43"/>
  <c r="E115" i="43" s="1"/>
  <c r="F115" i="43" s="1"/>
  <c r="G115" i="43" s="1"/>
  <c r="H115" i="43" s="1"/>
  <c r="B116" i="43"/>
  <c r="C116" i="43" s="1"/>
  <c r="I118" i="43"/>
  <c r="J118" i="43" s="1"/>
  <c r="K118" i="43" s="1"/>
  <c r="L118" i="43" s="1"/>
  <c r="M118" i="43" s="1"/>
  <c r="C103" i="43"/>
  <c r="F102" i="43"/>
  <c r="N107" i="43"/>
  <c r="G106" i="43"/>
  <c r="G104" i="43"/>
  <c r="K102" i="43"/>
  <c r="J102" i="43"/>
  <c r="N105" i="43"/>
  <c r="D22" i="43"/>
  <c r="C109" i="43"/>
  <c r="F105" i="43"/>
  <c r="C102" i="43"/>
  <c r="S2" i="43" s="1"/>
  <c r="I116" i="43"/>
  <c r="J116" i="43" s="1"/>
  <c r="K116" i="43" s="1"/>
  <c r="L116" i="43" s="1"/>
  <c r="M116" i="43" s="1"/>
  <c r="B118" i="43"/>
  <c r="C118" i="43" s="1"/>
  <c r="G118" i="43"/>
  <c r="H118" i="43" s="1"/>
  <c r="D116" i="43"/>
  <c r="E116" i="43" s="1"/>
  <c r="F116" i="43" s="1"/>
  <c r="G116" i="43" s="1"/>
  <c r="H116" i="43" s="1"/>
  <c r="C105" i="43"/>
  <c r="F106" i="43"/>
  <c r="F107" i="43"/>
  <c r="N109" i="43"/>
  <c r="K109" i="43"/>
  <c r="J109" i="43"/>
  <c r="N104" i="43"/>
  <c r="K106" i="43"/>
  <c r="G103" i="43"/>
  <c r="K104" i="43"/>
  <c r="K107" i="43"/>
  <c r="J103" i="43"/>
  <c r="N106" i="43"/>
  <c r="N103"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B29" i="1" s="1"/>
  <c r="C8" i="68" s="1"/>
  <c r="AB45" i="21"/>
  <c r="AC33" i="21"/>
  <c r="W33" i="21"/>
  <c r="S33" i="21"/>
  <c r="AA33" i="21"/>
  <c r="W32" i="21"/>
  <c r="AC32" i="21"/>
  <c r="AB9" i="21"/>
  <c r="U9" i="21"/>
  <c r="AA32" i="21"/>
  <c r="S32" i="21"/>
  <c r="W9" i="21"/>
  <c r="AC9" i="21"/>
  <c r="AB32" i="21"/>
  <c r="U32" i="21"/>
  <c r="AA10" i="21"/>
  <c r="S10" i="21"/>
  <c r="C36" i="69"/>
  <c r="M17" i="15"/>
  <c r="F59" i="67"/>
  <c r="M17" i="67"/>
  <c r="F31" i="67"/>
  <c r="F31" i="15"/>
  <c r="F59" i="15"/>
  <c r="L47" i="81"/>
  <c r="F41" i="79"/>
  <c r="M22" i="81"/>
  <c r="M28" i="79"/>
  <c r="F38" i="80"/>
  <c r="F9" i="81"/>
  <c r="C16" i="67"/>
  <c r="M8" i="81"/>
  <c r="L48" i="79"/>
  <c r="C76" i="79"/>
  <c r="M9" i="79"/>
  <c r="F36" i="80"/>
  <c r="M6" i="80"/>
  <c r="F26" i="81"/>
  <c r="F8" i="81"/>
  <c r="M23" i="81"/>
  <c r="F9" i="79"/>
  <c r="M22" i="80"/>
  <c r="F8" i="79"/>
  <c r="F40" i="80"/>
  <c r="C76" i="81"/>
  <c r="C17" i="15"/>
  <c r="F6" i="81"/>
  <c r="M22" i="79"/>
  <c r="F26" i="80"/>
  <c r="F42" i="79"/>
  <c r="C76" i="80"/>
  <c r="M23" i="79"/>
  <c r="L47" i="80"/>
  <c r="J15" i="81"/>
  <c r="C17" i="79"/>
  <c r="F37" i="81"/>
  <c r="J15" i="79"/>
  <c r="M9" i="80"/>
  <c r="F26" i="79"/>
  <c r="M23" i="80"/>
  <c r="M28" i="81"/>
  <c r="F37" i="80"/>
  <c r="F6" i="80"/>
  <c r="F16" i="79"/>
  <c r="L48" i="80"/>
  <c r="F38" i="81"/>
  <c r="F43" i="80"/>
  <c r="M26" i="81"/>
  <c r="F13" i="79"/>
  <c r="F13" i="80"/>
  <c r="M8" i="79"/>
  <c r="F16" i="81"/>
  <c r="F16" i="80"/>
  <c r="F41" i="80"/>
  <c r="F41" i="81"/>
  <c r="F42" i="80"/>
  <c r="F7" i="80"/>
  <c r="M26" i="80"/>
  <c r="F40" i="79"/>
  <c r="F9" i="80"/>
  <c r="F36" i="81"/>
  <c r="C16" i="15"/>
  <c r="F6" i="79"/>
  <c r="M6" i="79"/>
  <c r="M24" i="80"/>
  <c r="M24" i="79"/>
  <c r="J15" i="80"/>
  <c r="F42" i="81"/>
  <c r="M8" i="80"/>
  <c r="F40" i="81"/>
  <c r="L47" i="79"/>
  <c r="F8" i="80"/>
  <c r="F38" i="79"/>
  <c r="F13" i="81"/>
  <c r="L48" i="81"/>
  <c r="M29" i="80"/>
  <c r="M9" i="81"/>
  <c r="M24" i="81"/>
  <c r="F37" i="79"/>
  <c r="F36" i="79"/>
  <c r="M6" i="81"/>
  <c r="M28" i="80"/>
  <c r="M26" i="79"/>
  <c r="F71" i="80" l="1"/>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AY6" i="3"/>
  <c r="E3" i="6"/>
  <c r="B14" i="74" s="1"/>
  <c r="B1" i="74" s="1"/>
  <c r="C21" i="43"/>
  <c r="O7" i="1"/>
  <c r="O9" i="1"/>
  <c r="P9" i="1" s="1"/>
  <c r="E7" i="70"/>
  <c r="C33" i="81"/>
  <c r="C24" i="81"/>
  <c r="F24" i="79"/>
  <c r="F24" i="80"/>
  <c r="C24" i="79"/>
  <c r="M19" i="6"/>
  <c r="M22" i="6"/>
  <c r="I22" i="6" s="1"/>
  <c r="S22" i="6" s="1"/>
  <c r="S9" i="1"/>
  <c r="M21" i="6"/>
  <c r="I21" i="6" s="1"/>
  <c r="S21" i="6" s="1"/>
  <c r="S8" i="1"/>
  <c r="AQ7" i="1"/>
  <c r="AR6" i="1"/>
  <c r="D113" i="43"/>
  <c r="J22" i="43" s="1"/>
  <c r="C5" i="43"/>
  <c r="C29" i="43" s="1"/>
  <c r="D5" i="43"/>
  <c r="C33" i="43" s="1"/>
  <c r="G33" i="43" s="1"/>
  <c r="I33" i="43" s="1"/>
  <c r="C30" i="69"/>
  <c r="M20" i="6"/>
  <c r="I20" i="6" s="1"/>
  <c r="S20" i="6" s="1"/>
  <c r="B4" i="62"/>
  <c r="B71" i="72" s="1"/>
  <c r="T7" i="1"/>
  <c r="AR7" i="1"/>
  <c r="L59" i="15"/>
  <c r="Q74" i="15" s="1"/>
  <c r="C30" i="11"/>
  <c r="E6" i="70"/>
  <c r="K27" i="6"/>
  <c r="A18" i="62"/>
  <c r="B64" i="72" s="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F24" i="15"/>
  <c r="C24" i="15" s="1"/>
  <c r="F22" i="11"/>
  <c r="F25" i="12"/>
  <c r="F22" i="69"/>
  <c r="F24" i="67"/>
  <c r="C24" i="67" s="1"/>
  <c r="F22" i="68"/>
  <c r="T14" i="43"/>
  <c r="V14" i="43" s="1"/>
  <c r="T7" i="43"/>
  <c r="V7" i="43" s="1"/>
  <c r="T13" i="43"/>
  <c r="V13" i="43" s="1"/>
  <c r="T4" i="43"/>
  <c r="V4" i="43" s="1"/>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6" i="81"/>
  <c r="C16" i="79"/>
  <c r="C14" i="79"/>
  <c r="C17" i="81"/>
  <c r="C16" i="80"/>
  <c r="C17" i="80"/>
  <c r="C38" i="81" l="1"/>
  <c r="C33" i="79"/>
  <c r="C38" i="79"/>
  <c r="C66" i="79"/>
  <c r="C66" i="81"/>
  <c r="J19" i="79"/>
  <c r="J19" i="81"/>
  <c r="C60" i="79"/>
  <c r="C60" i="81"/>
  <c r="J18" i="79"/>
  <c r="J18" i="81"/>
  <c r="O16" i="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M18" i="9"/>
  <c r="B118" i="9" s="1"/>
  <c r="D14" i="12"/>
  <c r="D17" i="12" s="1"/>
  <c r="C17" i="12" s="1"/>
  <c r="D37" i="11"/>
  <c r="D19" i="11"/>
  <c r="C19" i="11" s="1"/>
  <c r="C20" i="11" s="1"/>
  <c r="D3" i="21"/>
  <c r="C18" i="79"/>
  <c r="C15" i="79"/>
  <c r="E8" i="70"/>
  <c r="E9" i="70"/>
  <c r="M27" i="6"/>
  <c r="C24" i="80"/>
  <c r="C37" i="43"/>
  <c r="G37" i="43" s="1"/>
  <c r="I37" i="43" s="1"/>
  <c r="T5" i="43"/>
  <c r="V5" i="43" s="1"/>
  <c r="T8" i="43"/>
  <c r="V8" i="43" s="1"/>
  <c r="T9" i="43"/>
  <c r="V9" i="43" s="1"/>
  <c r="C38" i="43"/>
  <c r="G38" i="43" s="1"/>
  <c r="I38" i="43" s="1"/>
  <c r="AR9" i="1"/>
  <c r="AQ9" i="1"/>
  <c r="T9" i="1"/>
  <c r="AR8" i="1"/>
  <c r="T8" i="1"/>
  <c r="AQ8" i="1"/>
  <c r="C35" i="43"/>
  <c r="G35" i="43" s="1"/>
  <c r="I35" i="43" s="1"/>
  <c r="T11" i="43"/>
  <c r="V11" i="43" s="1"/>
  <c r="C39" i="43"/>
  <c r="E39" i="43" s="1"/>
  <c r="T6" i="43"/>
  <c r="V6" i="43" s="1"/>
  <c r="T10" i="43"/>
  <c r="V10" i="43" s="1"/>
  <c r="T15" i="43"/>
  <c r="V15" i="43" s="1"/>
  <c r="T2" i="43"/>
  <c r="V2" i="43" s="1"/>
  <c r="T3" i="43"/>
  <c r="V3"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1"/>
  <c r="AE9" i="1"/>
  <c r="C14" i="80"/>
  <c r="C6" i="68" l="1"/>
  <c r="AG9" i="1"/>
  <c r="C19" i="79"/>
  <c r="C20" i="79" s="1"/>
  <c r="C26" i="79" s="1"/>
  <c r="C18" i="80"/>
  <c r="C15" i="80"/>
  <c r="C15" i="81"/>
  <c r="C18" i="81"/>
  <c r="E38" i="43"/>
  <c r="E37" i="43"/>
  <c r="R20" i="6"/>
  <c r="R7" i="1" s="1"/>
  <c r="C7" i="68"/>
  <c r="C5" i="68" s="1"/>
  <c r="C23" i="68" s="1"/>
  <c r="E35" i="43"/>
  <c r="E34" i="43"/>
  <c r="G36" i="43"/>
  <c r="I36" i="43" s="1"/>
  <c r="C27" i="43"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9"/>
  <c r="F35" i="79"/>
  <c r="M21" i="81"/>
  <c r="M27" i="81"/>
  <c r="F35" i="80"/>
  <c r="M21" i="80"/>
  <c r="F35" i="81"/>
  <c r="C19" i="80" l="1"/>
  <c r="C23" i="79"/>
  <c r="C29" i="79" s="1"/>
  <c r="C36" i="79" s="1"/>
  <c r="C19" i="81"/>
  <c r="C20" i="81" s="1"/>
  <c r="J14" i="79"/>
  <c r="J22" i="79" s="1"/>
  <c r="C20" i="80"/>
  <c r="C26" i="80" s="1"/>
  <c r="J20" i="81"/>
  <c r="J17" i="81" s="1"/>
  <c r="C34" i="81"/>
  <c r="C31" i="81" s="1"/>
  <c r="F63" i="81"/>
  <c r="C62" i="81" s="1"/>
  <c r="C34" i="80"/>
  <c r="C31" i="80" s="1"/>
  <c r="F63" i="80"/>
  <c r="C62" i="80" s="1"/>
  <c r="J20" i="80"/>
  <c r="J17" i="80" s="1"/>
  <c r="J20" i="79"/>
  <c r="J17" i="79" s="1"/>
  <c r="F63" i="79"/>
  <c r="C62" i="79" s="1"/>
  <c r="C34" i="79"/>
  <c r="C31" i="79" s="1"/>
  <c r="C26" i="43"/>
  <c r="B2" i="43" s="1"/>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B6" i="76"/>
  <c r="M21" i="67"/>
  <c r="E6" i="76"/>
  <c r="F35" i="67"/>
  <c r="J13" i="79" l="1"/>
  <c r="J23" i="79" s="1"/>
  <c r="J16" i="79" s="1"/>
  <c r="J25" i="79" s="1"/>
  <c r="C57" i="79"/>
  <c r="C26" i="81"/>
  <c r="C23" i="81"/>
  <c r="C13" i="79"/>
  <c r="Q49" i="79"/>
  <c r="C23" i="80"/>
  <c r="C29" i="80" s="1"/>
  <c r="E2" i="76"/>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1" l="1"/>
  <c r="C57" i="81" s="1"/>
  <c r="C64" i="81" s="1"/>
  <c r="C61" i="79"/>
  <c r="C59" i="79" s="1"/>
  <c r="C64" i="79"/>
  <c r="C75" i="79"/>
  <c r="C37" i="79"/>
  <c r="C30" i="79" s="1"/>
  <c r="C39" i="79" s="1"/>
  <c r="Q70" i="79"/>
  <c r="C56" i="79"/>
  <c r="C65" i="79" s="1"/>
  <c r="C36" i="80"/>
  <c r="J14" i="80"/>
  <c r="C57" i="80"/>
  <c r="C13" i="80"/>
  <c r="Q49" i="80"/>
  <c r="C25" i="68"/>
  <c r="C22" i="68" s="1"/>
  <c r="C31" i="68" s="1"/>
  <c r="C27" i="12"/>
  <c r="C25" i="12" s="1"/>
  <c r="C32" i="12" s="1"/>
  <c r="B2" i="12" s="1"/>
  <c r="B3" i="12" s="1"/>
  <c r="C39" i="68"/>
  <c r="C43" i="68" s="1"/>
  <c r="C42" i="68"/>
  <c r="J63" i="40"/>
  <c r="I65" i="40"/>
  <c r="C46" i="11"/>
  <c r="C45" i="11" s="1"/>
  <c r="C49" i="11" s="1"/>
  <c r="C51" i="11" s="1"/>
  <c r="C52" i="11" s="1"/>
  <c r="B2" i="11" s="1"/>
  <c r="B3" i="11" s="1"/>
  <c r="J70" i="39"/>
  <c r="L51" i="79"/>
  <c r="C61" i="81" l="1"/>
  <c r="C59" i="81" s="1"/>
  <c r="C58" i="79"/>
  <c r="C67" i="79" s="1"/>
  <c r="C68" i="79" s="1"/>
  <c r="C71" i="79" s="1"/>
  <c r="Q49" i="81"/>
  <c r="C13" i="81"/>
  <c r="C37" i="81" s="1"/>
  <c r="C80" i="79"/>
  <c r="C79" i="79" s="1"/>
  <c r="J14" i="81"/>
  <c r="C36" i="81"/>
  <c r="Q67" i="79"/>
  <c r="C40" i="79"/>
  <c r="Q69" i="79"/>
  <c r="Q68" i="79" s="1"/>
  <c r="C75" i="80"/>
  <c r="C37" i="80"/>
  <c r="C30" i="80" s="1"/>
  <c r="C39" i="80" s="1"/>
  <c r="Q70" i="80"/>
  <c r="C56" i="80"/>
  <c r="C65" i="80" s="1"/>
  <c r="J13" i="80"/>
  <c r="J23" i="80" s="1"/>
  <c r="J22" i="80"/>
  <c r="C61" i="80"/>
  <c r="C59" i="80" s="1"/>
  <c r="C64" i="80"/>
  <c r="C41" i="68"/>
  <c r="C46" i="68"/>
  <c r="C45" i="68" s="1"/>
  <c r="K63" i="40"/>
  <c r="J65" i="40"/>
  <c r="K70" i="39"/>
  <c r="C56" i="11"/>
  <c r="C57" i="11" s="1"/>
  <c r="L51" i="80"/>
  <c r="C75" i="81" l="1"/>
  <c r="C56" i="81"/>
  <c r="C65" i="81" s="1"/>
  <c r="C58" i="81" s="1"/>
  <c r="C67" i="81" s="1"/>
  <c r="C68" i="81" s="1"/>
  <c r="C71" i="81" s="1"/>
  <c r="Q70" i="81"/>
  <c r="C30" i="81"/>
  <c r="C39" i="81" s="1"/>
  <c r="Q69" i="81" s="1"/>
  <c r="J22" i="81"/>
  <c r="J13" i="81"/>
  <c r="J23" i="81" s="1"/>
  <c r="C43" i="79"/>
  <c r="C83" i="79"/>
  <c r="C82" i="79" s="1"/>
  <c r="C46" i="79"/>
  <c r="J16" i="80"/>
  <c r="J25" i="80" s="1"/>
  <c r="Q67" i="80"/>
  <c r="C80" i="80"/>
  <c r="C79" i="80" s="1"/>
  <c r="C58" i="80"/>
  <c r="C67" i="80" s="1"/>
  <c r="C68" i="80" s="1"/>
  <c r="Q69" i="80"/>
  <c r="Q68" i="80" s="1"/>
  <c r="C40" i="80"/>
  <c r="C49" i="68"/>
  <c r="C51" i="68" s="1"/>
  <c r="C52" i="68" s="1"/>
  <c r="C57" i="68" s="1"/>
  <c r="C56" i="68" s="1"/>
  <c r="L63" i="40"/>
  <c r="K65" i="40"/>
  <c r="L70" i="39"/>
  <c r="E2" i="70"/>
  <c r="C34" i="69"/>
  <c r="C17" i="67"/>
  <c r="L51" i="81"/>
  <c r="Q68" i="81" l="1"/>
  <c r="C80" i="81"/>
  <c r="C79" i="81" s="1"/>
  <c r="Q67" i="81"/>
  <c r="C40" i="81"/>
  <c r="J16" i="81"/>
  <c r="J25" i="81" s="1"/>
  <c r="J26" i="81" s="1"/>
  <c r="J29" i="81" s="1"/>
  <c r="C43" i="80"/>
  <c r="C83" i="80"/>
  <c r="C82" i="80" s="1"/>
  <c r="C71" i="80"/>
  <c r="C46" i="80"/>
  <c r="M63" i="40"/>
  <c r="L65" i="40"/>
  <c r="M70" i="39"/>
  <c r="C35" i="69"/>
  <c r="C38" i="69"/>
  <c r="D10" i="69"/>
  <c r="C46" i="81" l="1"/>
  <c r="C83" i="81"/>
  <c r="C82" i="81" s="1"/>
  <c r="C43" i="81"/>
  <c r="Q56" i="81"/>
  <c r="Q62" i="81" s="1"/>
  <c r="Q65" i="81"/>
  <c r="Q75" i="81" s="1"/>
  <c r="Q47" i="81"/>
  <c r="Q53" i="81" s="1"/>
  <c r="B2" i="81"/>
  <c r="N63" i="40"/>
  <c r="M65" i="40"/>
  <c r="O70" i="39"/>
  <c r="N70" i="39"/>
  <c r="D19" i="69"/>
  <c r="C10" i="69"/>
  <c r="C8" i="69" s="1"/>
  <c r="C5" i="69" s="1"/>
  <c r="AO9" i="1"/>
  <c r="B9" i="70" l="1"/>
  <c r="B3" i="8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M27" i="79"/>
  <c r="J26" i="79" l="1"/>
  <c r="J29" i="79" s="1"/>
  <c r="B2" i="79" s="1"/>
  <c r="B3" i="79" s="1"/>
  <c r="Q66" i="67"/>
  <c r="Q57" i="67"/>
  <c r="C58" i="67"/>
  <c r="C67" i="67" s="1"/>
  <c r="C19" i="15"/>
  <c r="Q65" i="79" l="1"/>
  <c r="Q75" i="79" s="1"/>
  <c r="Q56" i="79"/>
  <c r="Q62" i="79" s="1"/>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AG8" i="1" l="1"/>
  <c r="C66" i="15"/>
  <c r="C60" i="15"/>
  <c r="C59" i="15" s="1"/>
  <c r="AG6" i="1"/>
  <c r="C80" i="15"/>
  <c r="C79" i="15" s="1"/>
  <c r="C65" i="15"/>
  <c r="Q68" i="15"/>
  <c r="L57" i="15"/>
  <c r="L60" i="15" s="1"/>
  <c r="Q67" i="15"/>
  <c r="F41" i="67"/>
  <c r="M27" i="80"/>
  <c r="F41" i="15"/>
  <c r="M27" i="67"/>
  <c r="M27" i="15"/>
  <c r="J26" i="80" l="1"/>
  <c r="J29" i="80" s="1"/>
  <c r="B2" i="80" s="1"/>
  <c r="B3" i="80" s="1"/>
  <c r="J26" i="15"/>
  <c r="J29" i="15" s="1"/>
  <c r="J26" i="67"/>
  <c r="J29" i="67" s="1"/>
  <c r="C58" i="15"/>
  <c r="C67" i="15" s="1"/>
  <c r="F69" i="15"/>
  <c r="C40" i="15"/>
  <c r="C43" i="15" s="1"/>
  <c r="L46" i="15"/>
  <c r="Q57" i="15"/>
  <c r="Q66" i="15"/>
  <c r="F69" i="67"/>
  <c r="C68" i="67" s="1"/>
  <c r="C71" i="67" s="1"/>
  <c r="C40" i="67"/>
  <c r="C83" i="67" s="1"/>
  <c r="C82" i="67" s="1"/>
  <c r="Q65" i="80" l="1"/>
  <c r="Q75" i="80" s="1"/>
  <c r="Q56" i="80"/>
  <c r="Q62" i="80" s="1"/>
  <c r="Q47" i="80"/>
  <c r="Q53"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D2" i="33"/>
  <c r="D2" i="35"/>
  <c r="C19" i="9"/>
  <c r="E2" i="68"/>
  <c r="D2" i="36"/>
  <c r="D2" i="37"/>
  <c r="D2" i="21"/>
  <c r="F20" i="31"/>
  <c r="D2" i="34"/>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<sst xmlns="http://schemas.openxmlformats.org/spreadsheetml/2006/main" count="8542" uniqueCount="3105">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</sst>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2" fontId="47" fillId="0" borderId="1" xfId="0" applyNumberFormat="1" applyFont="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0" fontId="80" fillId="8" borderId="0" xfId="0" applyFont="1" applyFill="1" applyAlignment="1" applyProtection="1">
      <alignment vertical="center"/>
      <protection locked="0"/>
    </xf>
    <xf numFmtId="0" fontId="50" fillId="8" borderId="0" xfId="0" applyFont="1" applyFill="1" applyAlignment="1" applyProtection="1">
      <alignment vertical="center"/>
      <protection locked="0"/>
    </xf>
    <xf numFmtId="177" fontId="54" fillId="8" borderId="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北京市预评估</v>
      </c>
    </row>
    <row r="3" spans="1:2" s="1593" customFormat="1">
      <c r="A3" s="1591" t="s">
        <v>1222</v>
      </c>
      <c r="B3" s="1592" t="str">
        <f>'预评函-封皮'!B40</f>
        <v>北京六合天地置业有限责任公司</v>
      </c>
    </row>
    <row r="4" spans="1:2" s="1593" customFormat="1">
      <c r="A4" s="1591" t="s">
        <v>1223</v>
      </c>
      <c r="B4" s="1592" t="str">
        <f ca="1">'预评函-封皮'!B46</f>
        <v>欧红伟（注册号：1120000080)、李立（注册号：1119970074)</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受贵公司委托，我公司对北京市进行了预评估。</v>
      </c>
    </row>
    <row r="7" spans="1:2" s="1593" customFormat="1">
      <c r="A7" s="1591" t="s">
        <v>1265</v>
      </c>
      <c r="B7" s="1592" t="str">
        <f>'预评函-1'!A7</f>
        <v>估价对象为北京市房地产，为所有。根据，估价对象（分摊）出让国有建设用地使用权面积为0平方米，建筑面积为43696.25平方米。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估价对象为北京市房地产,属开发建设的，该项目尚在开发建设中。根据，估价对象（分摊）出让国有建设用地使用权面积为0平方米，规划建筑面积为43696.25平方米。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2017年10月31日（评估专业人员实地查勘之日）</v>
      </c>
    </row>
    <row r="13" spans="1:2" s="1593" customFormat="1">
      <c r="A13" s="1591" t="s">
        <v>1228</v>
      </c>
      <c r="B13" s="1592"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本次评估采用的主估价方法为成本法和收益法。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44104</v>
      </c>
    </row>
    <row r="21" spans="1:2" s="1593" customFormat="1">
      <c r="A21" s="1591" t="s">
        <v>1236</v>
      </c>
      <c r="B21" s="1592">
        <f ca="1">'预评函-2'!D7</f>
        <v>10093</v>
      </c>
    </row>
    <row r="22" spans="1:2" s="1593" customFormat="1">
      <c r="A22" s="1591" t="s">
        <v>1237</v>
      </c>
      <c r="B22" s="1592" t="str">
        <f ca="1">'预评函-2'!D6</f>
        <v>肆亿肆仟壹佰零肆万元整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44104</v>
      </c>
    </row>
    <row r="31" spans="1:2" s="1593" customFormat="1">
      <c r="A31" s="1591" t="s">
        <v>1275</v>
      </c>
      <c r="B31" s="1592">
        <f ca="1">'预评函-2'!D15</f>
        <v>10093</v>
      </c>
    </row>
    <row r="32" spans="1:2" s="1593" customFormat="1">
      <c r="A32" s="1591" t="s">
        <v>1242</v>
      </c>
      <c r="B32" s="1592" t="str">
        <f ca="1">'预评函-2'!D14</f>
        <v>肆亿肆仟壹佰零肆万元整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北京市房地产</v>
      </c>
    </row>
    <row r="42" spans="1:2" s="1593" customFormat="1">
      <c r="A42" s="1591" t="s">
        <v>1289</v>
      </c>
      <c r="B42" s="1592" t="str">
        <f>'预评函-3'!B2</f>
        <v>建筑面积</v>
      </c>
    </row>
    <row r="43" spans="1:2" s="1593" customFormat="1">
      <c r="A43" s="1591" t="s">
        <v>1290</v>
      </c>
      <c r="B43" s="1592">
        <f>'预评函-3'!B4</f>
        <v>43696.250000000007</v>
      </c>
    </row>
    <row r="44" spans="1:2" s="1593" customFormat="1">
      <c r="A44" s="1591" t="s">
        <v>1274</v>
      </c>
      <c r="B44" s="1592" t="str">
        <f>'预评函-3'!C2</f>
        <v>(分摊)土地面积</v>
      </c>
    </row>
    <row r="45" spans="1:2" s="1593" customFormat="1">
      <c r="A45" s="1591" t="s">
        <v>1246</v>
      </c>
      <c r="B45" s="1592">
        <f>'预评函-3'!C4</f>
        <v>0</v>
      </c>
    </row>
    <row r="46" spans="1:2" s="1593" customFormat="1">
      <c r="A46" s="1591" t="s">
        <v>1272</v>
      </c>
      <c r="B46" s="1592" t="str">
        <f>'预评函-3'!D2</f>
        <v>出让国有建设用地使用权价值</v>
      </c>
    </row>
    <row r="47" spans="1:2" s="1593" customFormat="1">
      <c r="A47" s="1591" t="s">
        <v>1247</v>
      </c>
      <c r="B47" s="1592">
        <f ca="1">'预评函-3'!D4</f>
        <v>34313</v>
      </c>
    </row>
    <row r="48" spans="1:2" s="1593" customFormat="1">
      <c r="A48" s="1591" t="s">
        <v>1248</v>
      </c>
      <c r="B48" s="1592">
        <f ca="1">'预评函-3'!E4</f>
        <v>7852</v>
      </c>
    </row>
    <row r="49" spans="1:2" s="1593" customFormat="1">
      <c r="A49" s="1591" t="s">
        <v>1249</v>
      </c>
      <c r="B49" s="1592" t="str">
        <f ca="1">'预评函-3'!D5</f>
        <v>叁亿肆仟叁佰壹拾叁万元整</v>
      </c>
    </row>
    <row r="50" spans="1:2" s="1593" customFormat="1">
      <c r="A50" s="1591" t="s">
        <v>1273</v>
      </c>
      <c r="B50" s="1592" t="str">
        <f>'预评函-3'!F2</f>
        <v>在建建筑物价值</v>
      </c>
    </row>
    <row r="51" spans="1:2" s="1593" customFormat="1">
      <c r="A51" s="1591" t="s">
        <v>1250</v>
      </c>
      <c r="B51" s="1592">
        <f ca="1">'预评函-3'!F4</f>
        <v>9791</v>
      </c>
    </row>
    <row r="52" spans="1:2" s="1593" customFormat="1">
      <c r="A52" s="1591" t="s">
        <v>1251</v>
      </c>
      <c r="B52" s="1592">
        <f ca="1">'预评函-3'!G4</f>
        <v>2241</v>
      </c>
    </row>
    <row r="53" spans="1:2" s="1593" customFormat="1">
      <c r="A53" s="1591" t="s">
        <v>1279</v>
      </c>
      <c r="B53" s="1592" t="str">
        <f ca="1">'预评函-3'!F5</f>
        <v>玖仟柒佰玖拾壹万元整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欧红伟</v>
      </c>
    </row>
    <row r="71" spans="1:2">
      <c r="A71" s="1591" t="s">
        <v>1262</v>
      </c>
      <c r="B71" s="1592">
        <f ca="1">'预评函-4'!B4</f>
        <v>1120000080</v>
      </c>
    </row>
    <row r="72" spans="1:2">
      <c r="A72" s="1591" t="s">
        <v>1263</v>
      </c>
      <c r="B72" s="1600" t="str">
        <f>'预评函-4'!A5</f>
        <v>李立</v>
      </c>
    </row>
    <row r="73" spans="1:2" s="1587" customFormat="1" ht="15" thickBot="1">
      <c r="A73" s="1594" t="s">
        <v>1264</v>
      </c>
      <c r="B73" s="1595">
        <f ca="1">'预评函-4'!B5</f>
        <v>1119970074</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7" t="s">
        <v>3094</v>
      </c>
      <c r="C17" s="2015"/>
    </row>
    <row r="18" spans="1:3">
      <c r="A18" s="2014" t="s">
        <v>1768</v>
      </c>
      <c r="B18" s="2017" t="s">
        <v>3095</v>
      </c>
      <c r="C18" s="2015"/>
    </row>
    <row r="19" spans="1:3">
      <c r="A19" s="2014" t="s">
        <v>1769</v>
      </c>
      <c r="B19" s="2017" t="s">
        <v>3096</v>
      </c>
      <c r="C19" s="2015"/>
    </row>
    <row r="20" spans="1:3">
      <c r="A20" s="2014" t="s">
        <v>1770</v>
      </c>
      <c r="B20" s="2017" t="s">
        <v>3097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299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1"/>
      <c r="B54" s="2022" t="s">
        <v>864</v>
      </c>
      <c r="C54" s="2019" t="s">
        <v>1282</v>
      </c>
    </row>
    <row r="55" spans="1:4">
      <c r="A55" s="2991"/>
      <c r="B55" s="2022" t="s">
        <v>865</v>
      </c>
      <c r="C55" s="2019" t="s">
        <v>1283</v>
      </c>
    </row>
    <row r="56" spans="1:4">
      <c r="A56" s="2991"/>
      <c r="B56" s="2022" t="s">
        <v>866</v>
      </c>
      <c r="C56" s="2019" t="s">
        <v>1287</v>
      </c>
    </row>
    <row r="57" spans="1:4">
      <c r="A57" s="299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2" customWidth="1"/>
    <col min="2" max="2" width="13.125" style="2032" customWidth="1"/>
    <col min="3" max="3" width="11.5" style="2032" customWidth="1"/>
    <col min="4" max="4" width="15" style="2032" customWidth="1"/>
    <col min="5" max="6" width="10" style="2032" customWidth="1"/>
    <col min="7" max="7" width="14.62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1777</v>
      </c>
      <c r="B1" s="2992" t="str">
        <f>IF(B10="北京市","北京市",C10)&amp;F10&amp;IF(结果表!G1="在建","出让国有建设用地使用权及在建建筑物",IF(结果表!G1="土地","出让国有建设用地使用权",))&amp;B9&amp;"预评估"</f>
        <v>北京市预评估</v>
      </c>
      <c r="C1" s="2993"/>
      <c r="D1" s="2993"/>
      <c r="E1" s="2993"/>
      <c r="F1" s="2993"/>
      <c r="G1" s="2993"/>
      <c r="H1" s="2993"/>
      <c r="I1" s="299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1779</v>
      </c>
      <c r="B3" s="2036">
        <v>43039</v>
      </c>
      <c r="C3" s="2037" t="s">
        <v>1780</v>
      </c>
      <c r="D3" s="2036">
        <f>B3</f>
        <v>43039</v>
      </c>
      <c r="E3" s="2026"/>
      <c r="F3" s="2026"/>
      <c r="G3" s="2026"/>
      <c r="H3" s="2026"/>
      <c r="I3" s="2026"/>
      <c r="J3" s="2026"/>
      <c r="K3" s="2027"/>
      <c r="L3" s="2028"/>
      <c r="M3" s="2028"/>
      <c r="N3" s="2029"/>
      <c r="O3" s="2030"/>
      <c r="P3" s="2029"/>
      <c r="Q3" s="2029"/>
      <c r="R3" s="2029"/>
      <c r="S3" s="2031"/>
    </row>
    <row r="4" spans="1:19" ht="18" customHeight="1" thickBot="1">
      <c r="A4" s="2038" t="s">
        <v>1781</v>
      </c>
      <c r="B4" s="2039" t="s">
        <v>3044</v>
      </c>
      <c r="C4" s="1036">
        <f ca="1">SUMIF(注册房地产估价师,B4,估价师及机构信息!B3:B24)</f>
        <v>1120000080</v>
      </c>
      <c r="D4" s="2039" t="s">
        <v>3045</v>
      </c>
      <c r="E4" s="1037">
        <f ca="1">SUMIF(注册房地产估价师,D4,估价师及机构信息!B3:B24)</f>
        <v>1119970074</v>
      </c>
      <c r="F4" s="2039" t="s">
        <v>3046</v>
      </c>
      <c r="G4" s="2040">
        <f ca="1">SUMIF(注册房地产估价师,F4,估价师及机构信息!B3:B24)</f>
        <v>1119970066</v>
      </c>
      <c r="H4" s="2039" t="s">
        <v>70</v>
      </c>
      <c r="I4" s="2041">
        <f>SUMIF(注册房地产估价师,H4,估价师及机构信息!B3:B24)</f>
        <v>0</v>
      </c>
      <c r="J4" s="2042"/>
      <c r="K4" s="2043" t="str">
        <f ca="1">CONCATENATE(B4,"（注册号：",C4,")、",D4,"（注册号：",E4,")")</f>
        <v>欧红伟（注册号：1120000080)、李立（注册号：1119970074)</v>
      </c>
      <c r="L4" s="2028"/>
      <c r="M4" s="2028"/>
      <c r="N4" s="2029"/>
      <c r="O4" s="2030"/>
      <c r="P4" s="2029"/>
      <c r="Q4" s="2029"/>
      <c r="R4" s="2029"/>
      <c r="S4" s="2031"/>
    </row>
    <row r="5" spans="1:19" ht="18" customHeight="1" thickTop="1">
      <c r="A5" s="2044" t="s">
        <v>1782</v>
      </c>
      <c r="B5" s="2941" t="s">
        <v>3047</v>
      </c>
      <c r="C5" s="2045"/>
      <c r="D5" s="2046"/>
      <c r="E5" s="2042"/>
      <c r="F5" s="2042"/>
      <c r="G5" s="2042"/>
      <c r="H5" s="2042"/>
      <c r="I5" s="2042"/>
      <c r="J5" s="2042"/>
      <c r="K5" s="2043" t="str">
        <f ca="1">IF(F4="——","",IF(H4="——",F4&amp;"（注册号："&amp;G4&amp;")",CONCATENATE(F4,"（注册号：",G4,")、",H4,"（注册号：",I4,")")))</f>
        <v>梁津（注册号：1119970066)</v>
      </c>
      <c r="L5" s="2028"/>
      <c r="M5" s="2028"/>
      <c r="N5" s="2029"/>
      <c r="O5" s="2030"/>
      <c r="P5" s="2029"/>
      <c r="Q5" s="2029"/>
      <c r="R5" s="2029"/>
    </row>
    <row r="6" spans="1:19" ht="18" customHeight="1">
      <c r="A6" s="2047" t="s">
        <v>1783</v>
      </c>
      <c r="B6" s="2927"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942" t="str">
        <f>B5</f>
        <v>北京六合天地置业有限责任公司</v>
      </c>
      <c r="C7" s="2048"/>
      <c r="D7" s="2049"/>
      <c r="E7" s="2034"/>
      <c r="F7" s="2042"/>
      <c r="G7" s="2042"/>
      <c r="H7" s="2042"/>
      <c r="I7" s="2042"/>
      <c r="J7" s="2042"/>
      <c r="K7" s="2051"/>
      <c r="L7" s="2028"/>
      <c r="M7" s="2028"/>
      <c r="N7" s="2029"/>
      <c r="O7" s="2030"/>
      <c r="P7" s="2029"/>
      <c r="Q7" s="2029"/>
      <c r="R7" s="2029"/>
    </row>
    <row r="8" spans="1:19" ht="18" customHeight="1">
      <c r="A8" s="2047" t="s">
        <v>1785</v>
      </c>
      <c r="B8" s="2052"/>
      <c r="C8" s="2053"/>
      <c r="D8" s="2995" t="s">
        <v>1786</v>
      </c>
      <c r="E8" s="2054"/>
      <c r="F8" s="2055"/>
      <c r="G8" s="2026"/>
      <c r="H8" s="2026"/>
      <c r="I8" s="2026"/>
      <c r="J8" s="2042"/>
      <c r="K8" s="2043"/>
      <c r="L8" s="2028"/>
      <c r="M8" s="2028"/>
      <c r="N8" s="2029"/>
      <c r="O8" s="2030"/>
      <c r="P8" s="2029"/>
      <c r="Q8" s="2029"/>
      <c r="R8" s="2029"/>
    </row>
    <row r="9" spans="1:19" ht="18" customHeight="1" thickBot="1">
      <c r="A9" s="2040" t="s">
        <v>1787</v>
      </c>
      <c r="B9" s="2056"/>
      <c r="C9" s="2057"/>
      <c r="D9" s="2996"/>
      <c r="E9" s="2056"/>
      <c r="F9" s="2058"/>
      <c r="G9" s="2059"/>
      <c r="H9" s="2059"/>
      <c r="I9" s="2059"/>
      <c r="J9" s="2042"/>
      <c r="K9" s="2051"/>
      <c r="L9" s="2028"/>
      <c r="M9" s="2028"/>
      <c r="N9" s="2029"/>
      <c r="O9" s="2030"/>
      <c r="P9" s="2029"/>
      <c r="Q9" s="2029"/>
      <c r="R9" s="2029"/>
    </row>
    <row r="10" spans="1:19" ht="18" customHeight="1" thickTop="1">
      <c r="A10" s="2060" t="s">
        <v>1788</v>
      </c>
      <c r="B10" s="2061" t="s">
        <v>3049</v>
      </c>
      <c r="C10" s="2062"/>
      <c r="D10" s="2046"/>
      <c r="E10" s="2063" t="s">
        <v>1789</v>
      </c>
      <c r="F10" s="2064"/>
      <c r="G10" s="2065"/>
      <c r="H10" s="2066"/>
      <c r="I10" s="2046"/>
      <c r="J10" s="2042"/>
      <c r="K10" s="2051"/>
      <c r="L10" s="2028"/>
      <c r="M10" s="2028"/>
      <c r="N10" s="2029"/>
      <c r="O10" s="2030"/>
      <c r="P10" s="2029"/>
      <c r="Q10" s="2029"/>
      <c r="R10" s="2029"/>
    </row>
    <row r="11" spans="1:19" ht="18" customHeight="1">
      <c r="A11" s="2067" t="s">
        <v>1790</v>
      </c>
      <c r="B11" s="2068" t="s">
        <v>3050</v>
      </c>
      <c r="C11" s="2069"/>
      <c r="D11" s="2070"/>
      <c r="E11" s="2042"/>
      <c r="F11" s="2042"/>
      <c r="G11" s="2042"/>
      <c r="H11" s="2042"/>
      <c r="I11" s="2042"/>
      <c r="J11" s="2042"/>
      <c r="K11" s="2051"/>
      <c r="L11" s="2028"/>
      <c r="M11" s="2028"/>
      <c r="N11" s="2029"/>
      <c r="O11" s="2030"/>
      <c r="P11" s="2029"/>
      <c r="Q11" s="2029"/>
      <c r="R11" s="2029"/>
    </row>
    <row r="12" spans="1:19" ht="18" customHeight="1">
      <c r="A12" s="2071" t="s">
        <v>1791</v>
      </c>
      <c r="B12" s="2068" t="s">
        <v>3101</v>
      </c>
      <c r="C12" s="2072" t="s">
        <v>1792</v>
      </c>
      <c r="D12" s="2073" t="s">
        <v>1793</v>
      </c>
      <c r="E12" s="2073" t="s">
        <v>1794</v>
      </c>
      <c r="F12" s="2073" t="s">
        <v>1795</v>
      </c>
      <c r="G12" s="2073" t="s">
        <v>1796</v>
      </c>
      <c r="H12" s="2073" t="s">
        <v>1797</v>
      </c>
      <c r="I12" s="2073" t="s">
        <v>1798</v>
      </c>
      <c r="J12" s="2042"/>
      <c r="K12" s="2051"/>
      <c r="L12" s="2028"/>
      <c r="M12" s="2028"/>
      <c r="N12" s="2029"/>
      <c r="O12" s="2030"/>
      <c r="P12" s="2029"/>
      <c r="Q12" s="2029"/>
      <c r="R12" s="2029"/>
    </row>
    <row r="13" spans="1:19" ht="18" customHeight="1">
      <c r="A13" s="2074"/>
      <c r="B13" s="2075"/>
      <c r="C13" s="2076" t="s">
        <v>1799</v>
      </c>
      <c r="D13" s="2077"/>
      <c r="E13" s="2077">
        <v>50340</v>
      </c>
      <c r="F13" s="2077"/>
      <c r="G13" s="2077"/>
      <c r="H13" s="2077"/>
      <c r="I13" s="1046"/>
      <c r="J13" s="2042"/>
      <c r="K13" s="2051"/>
      <c r="L13" s="2028"/>
      <c r="M13" s="2028"/>
      <c r="N13" s="2029"/>
      <c r="O13" s="2030"/>
      <c r="P13" s="2029"/>
      <c r="Q13" s="2029"/>
      <c r="R13" s="2029"/>
    </row>
    <row r="14" spans="1:19" ht="18" customHeight="1">
      <c r="A14" s="2074"/>
      <c r="B14" s="2075"/>
      <c r="C14" s="2076" t="s">
        <v>1800</v>
      </c>
      <c r="D14" s="1049"/>
      <c r="E14" s="1049">
        <v>40</v>
      </c>
      <c r="F14" s="1049"/>
      <c r="G14" s="1049"/>
      <c r="H14" s="1049"/>
      <c r="I14" s="1049"/>
      <c r="J14" s="2042"/>
      <c r="K14" s="2078"/>
      <c r="L14" s="2028"/>
      <c r="M14" s="2028"/>
      <c r="N14" s="2029"/>
      <c r="O14" s="2030"/>
      <c r="P14" s="2029"/>
      <c r="Q14" s="2029"/>
      <c r="R14" s="2029"/>
    </row>
    <row r="15" spans="1:19" ht="18" customHeight="1">
      <c r="A15" s="2060"/>
      <c r="B15" s="2079"/>
      <c r="C15" s="2076" t="s">
        <v>1801</v>
      </c>
      <c r="D15" s="1048" t="str">
        <f>IF(B12="出让",IF(D13="","",ROUNDDOWN(MIN((D13-$D$3)/365,D14),2)),D14)</f>
        <v/>
      </c>
      <c r="E15" s="1048">
        <f>IF(B12="出让",IF(E13="","",ROUNDDOWN(MIN((E13-$D$3)/365,E14),2)),E14)</f>
        <v>20</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2"/>
      <c r="K15" s="2080"/>
      <c r="L15" s="2081"/>
      <c r="M15" s="2081"/>
      <c r="N15" s="2082"/>
      <c r="O15" s="2081"/>
      <c r="P15" s="2082"/>
      <c r="Q15" s="2029"/>
      <c r="R15" s="2029"/>
    </row>
    <row r="16" spans="1:19" ht="30.75" customHeight="1">
      <c r="A16" s="2063" t="s">
        <v>1802</v>
      </c>
      <c r="B16" s="3002" t="s">
        <v>3051</v>
      </c>
      <c r="C16" s="3003"/>
      <c r="D16" s="3004"/>
      <c r="E16" s="2083" t="s">
        <v>1803</v>
      </c>
      <c r="F16" s="3005"/>
      <c r="G16" s="3006"/>
      <c r="H16" s="3006"/>
      <c r="I16" s="3007"/>
      <c r="J16" s="2029"/>
      <c r="K16" s="2080"/>
      <c r="L16" s="2081"/>
      <c r="M16" s="2081"/>
      <c r="N16" s="2082"/>
      <c r="O16" s="2081"/>
      <c r="P16" s="2082"/>
      <c r="Q16" s="2029"/>
      <c r="R16" s="2029"/>
    </row>
    <row r="17" spans="1:22" ht="18" customHeight="1">
      <c r="A17" s="2084" t="s">
        <v>1804</v>
      </c>
      <c r="B17" s="2035" t="s">
        <v>1805</v>
      </c>
      <c r="C17" s="1053">
        <f>'数据-汇总表'!E3</f>
        <v>43696.250000000007</v>
      </c>
      <c r="D17" s="2085" t="s">
        <v>1806</v>
      </c>
      <c r="E17" s="3008" t="s">
        <v>3052</v>
      </c>
      <c r="F17" s="3009"/>
      <c r="G17" s="3009"/>
      <c r="H17" s="3009"/>
      <c r="I17" s="3010"/>
      <c r="J17" s="2029"/>
      <c r="K17" s="2086"/>
      <c r="L17" s="2081"/>
      <c r="M17" s="2081"/>
      <c r="N17" s="2082"/>
      <c r="O17" s="2081"/>
      <c r="P17" s="2082"/>
      <c r="Q17" s="2029"/>
      <c r="R17" s="2029"/>
      <c r="S17" s="2029"/>
      <c r="T17" s="2029"/>
      <c r="U17" s="2029"/>
      <c r="V17" s="2029"/>
    </row>
    <row r="18" spans="1:22" ht="36" customHeight="1" thickBot="1">
      <c r="A18" s="2087" t="s">
        <v>1807</v>
      </c>
      <c r="B18" s="2038" t="s">
        <v>1808</v>
      </c>
      <c r="C18" s="1443">
        <f>'数据-汇总表'!D3</f>
        <v>0</v>
      </c>
      <c r="D18" s="2088" t="s">
        <v>1806</v>
      </c>
      <c r="E18" s="3011"/>
      <c r="F18" s="3012"/>
      <c r="G18" s="3012"/>
      <c r="H18" s="3012"/>
      <c r="I18" s="3013"/>
      <c r="J18" s="2029"/>
      <c r="K18" s="2086"/>
      <c r="L18" s="2081"/>
      <c r="M18" s="2081"/>
      <c r="N18" s="2082"/>
      <c r="O18" s="2081"/>
      <c r="P18" s="2082"/>
      <c r="Q18" s="2029"/>
      <c r="R18" s="2029"/>
      <c r="S18" s="2029"/>
      <c r="T18" s="2029"/>
      <c r="U18" s="2029"/>
      <c r="V18" s="2029"/>
    </row>
    <row r="19" spans="1:22" ht="37.5" customHeight="1" thickTop="1" thickBot="1">
      <c r="A19" s="373" t="s">
        <v>1809</v>
      </c>
      <c r="B19" s="352" t="s">
        <v>1810</v>
      </c>
      <c r="C19" s="2089"/>
      <c r="D19" s="2090" t="s">
        <v>1811</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1812</v>
      </c>
      <c r="B20" s="2998" t="s">
        <v>1813</v>
      </c>
      <c r="C20" s="2999"/>
      <c r="D20" s="3000" t="s">
        <v>1814</v>
      </c>
      <c r="E20" s="3001"/>
      <c r="F20" s="2095" t="s">
        <v>1815</v>
      </c>
      <c r="G20" s="2042"/>
      <c r="H20" s="2042"/>
      <c r="I20" s="2042"/>
      <c r="J20" s="2042"/>
      <c r="K20" s="2997" t="s">
        <v>1816</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1817</v>
      </c>
      <c r="C21" s="2097"/>
      <c r="D21" s="2098" t="s">
        <v>1819</v>
      </c>
      <c r="E21" s="2099" t="s">
        <v>1818</v>
      </c>
      <c r="F21" s="2100"/>
      <c r="G21" s="2042"/>
      <c r="H21" s="2042"/>
      <c r="I21" s="2042"/>
      <c r="J21" s="2042"/>
      <c r="K21" s="299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1820</v>
      </c>
      <c r="C22" s="2097" t="s">
        <v>1821</v>
      </c>
      <c r="D22" s="2026"/>
      <c r="E22" s="2026"/>
      <c r="F22" s="2102"/>
      <c r="G22" s="2042"/>
      <c r="H22" s="2042"/>
      <c r="I22" s="2042"/>
      <c r="J22" s="2042"/>
      <c r="K22" s="299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1822</v>
      </c>
      <c r="B23" s="183" t="s">
        <v>1823</v>
      </c>
      <c r="C23" s="2104"/>
      <c r="D23" s="2105" t="s">
        <v>1823</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1824</v>
      </c>
      <c r="C24" s="2109"/>
      <c r="D24" s="2103" t="s">
        <v>1824</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1825</v>
      </c>
      <c r="C25" s="2109"/>
      <c r="D25" s="2103" t="s">
        <v>1825</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1826</v>
      </c>
      <c r="C26" s="2113"/>
      <c r="D26" s="2114" t="s">
        <v>1827</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15" t="s">
        <v>1828</v>
      </c>
      <c r="B27" s="2060" t="s">
        <v>1829</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15"/>
      <c r="B28" s="2035" t="s">
        <v>1830</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15"/>
      <c r="B29" s="2035" t="s">
        <v>1831</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16"/>
      <c r="B30" s="2035" t="s">
        <v>1832</v>
      </c>
      <c r="C30" s="3017"/>
      <c r="D30" s="3018"/>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19" t="s">
        <v>1833</v>
      </c>
      <c r="B31" s="2124" t="s">
        <v>3053</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20"/>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20"/>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1834</v>
      </c>
      <c r="B34" s="2131" t="s">
        <v>3054</v>
      </c>
      <c r="C34" s="2131" t="s">
        <v>3055</v>
      </c>
      <c r="D34" s="2131" t="s">
        <v>3056</v>
      </c>
      <c r="E34" s="2131" t="s">
        <v>3057</v>
      </c>
      <c r="F34" s="2131" t="s">
        <v>3058</v>
      </c>
      <c r="G34" s="2131" t="s">
        <v>3059</v>
      </c>
      <c r="H34" s="2131" t="s">
        <v>3060</v>
      </c>
      <c r="I34" s="2042"/>
      <c r="J34" s="2042"/>
      <c r="K34" s="1795">
        <f>COUNTIF(B34:H34,"——")</f>
        <v>0</v>
      </c>
      <c r="L34" s="2072" t="s">
        <v>1835</v>
      </c>
      <c r="M34" s="2072" t="s">
        <v>1836</v>
      </c>
      <c r="N34" s="2072" t="s">
        <v>1837</v>
      </c>
      <c r="O34" s="2072" t="s">
        <v>1838</v>
      </c>
      <c r="P34" s="2072" t="s">
        <v>1839</v>
      </c>
      <c r="Q34" s="2072" t="s">
        <v>1840</v>
      </c>
      <c r="R34" s="2072" t="s">
        <v>1841</v>
      </c>
      <c r="S34" s="3014" t="s">
        <v>1842</v>
      </c>
      <c r="T34" s="2132" t="str">
        <f>NUMBERSTRING(7-K34,1)&amp;"通"</f>
        <v>七通</v>
      </c>
      <c r="U34" s="2029"/>
      <c r="V34" s="2029"/>
    </row>
    <row r="35" spans="1:22" ht="18" customHeight="1">
      <c r="A35" s="2133"/>
      <c r="B35" s="3021" t="s">
        <v>1843</v>
      </c>
      <c r="C35" s="3021"/>
      <c r="D35" s="3021"/>
      <c r="E35" s="3021"/>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14"/>
      <c r="T35" s="48" t="str">
        <f>IF(T34="一通",L35,IF(T34="二通",M35,IF(T34="三通",N35,IF(T34="四通",O35,IF(T34="五通",P35,IF(T34="六通",Q35,R35))))))</f>
        <v>通路、通电、通讯、通上水、通下水、燃气、通热</v>
      </c>
      <c r="U35" s="2029"/>
      <c r="V35" s="2029"/>
    </row>
    <row r="36" spans="1:22" ht="18" customHeight="1">
      <c r="A36" s="2135"/>
      <c r="B36" s="2134" t="s">
        <v>1844</v>
      </c>
      <c r="C36" s="2134" t="s">
        <v>1845</v>
      </c>
      <c r="D36" s="2134" t="s">
        <v>1846</v>
      </c>
      <c r="E36" s="2134" t="s">
        <v>1847</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1848</v>
      </c>
      <c r="B37" s="2138" t="s">
        <v>523</v>
      </c>
      <c r="C37" s="2138"/>
      <c r="D37" s="2138"/>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1849</v>
      </c>
      <c r="B38" s="2140" t="s">
        <v>416</v>
      </c>
      <c r="C38" s="2140"/>
      <c r="D38" s="2140"/>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1851</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1852</v>
      </c>
      <c r="B42" s="1795" t="s">
        <v>1853</v>
      </c>
      <c r="C42" s="1795" t="s">
        <v>1854</v>
      </c>
      <c r="D42" s="1795" t="s">
        <v>1855</v>
      </c>
      <c r="E42" s="1795" t="s">
        <v>1856</v>
      </c>
      <c r="F42" s="1795" t="s">
        <v>1857</v>
      </c>
      <c r="G42" s="1795" t="s">
        <v>1858</v>
      </c>
      <c r="H42" s="1795" t="s">
        <v>1859</v>
      </c>
      <c r="I42" s="1795" t="s">
        <v>1860</v>
      </c>
      <c r="J42" s="2150" t="s">
        <v>1861</v>
      </c>
      <c r="K42" s="2073" t="s">
        <v>1862</v>
      </c>
      <c r="L42" s="2073" t="s">
        <v>1863</v>
      </c>
      <c r="M42" s="2073" t="s">
        <v>1864</v>
      </c>
      <c r="N42" s="1795" t="s">
        <v>1865</v>
      </c>
      <c r="O42" s="1795" t="s">
        <v>1866</v>
      </c>
      <c r="P42" s="1795" t="s">
        <v>1867</v>
      </c>
      <c r="Q42" s="2072" t="s">
        <v>1868</v>
      </c>
      <c r="R42" s="2072" t="s">
        <v>1869</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BA21" sqref="BA2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1875</v>
      </c>
      <c r="AZ2" s="1269"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43696.250000000007</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3"/>
      <c r="C5" s="1803"/>
      <c r="D5" s="1806"/>
      <c r="E5" s="16" t="s">
        <v>1</v>
      </c>
      <c r="F5" s="16">
        <f>SUM(F13:F587)</f>
        <v>0</v>
      </c>
      <c r="G5" s="16">
        <f>SUM(G13:G587)</f>
        <v>43696.250000000007</v>
      </c>
      <c r="H5" s="16">
        <f t="shared" ref="H5:AT5" si="0">SUM(H13:H656)</f>
        <v>43696.250000000007</v>
      </c>
      <c r="I5" s="16">
        <f t="shared" si="0"/>
        <v>43696.250000000007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43696.250000000007</v>
      </c>
      <c r="BA5" s="18">
        <f t="shared" si="1"/>
        <v>43696.250000000007</v>
      </c>
      <c r="BB5" s="18">
        <f t="shared" si="1"/>
        <v>43696.250000000007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1888</v>
      </c>
      <c r="AV7" s="23" t="s">
        <v>1889</v>
      </c>
      <c r="AW7" s="2164" t="s">
        <v>1890</v>
      </c>
      <c r="AX7" s="23" t="s">
        <v>1883</v>
      </c>
      <c r="AY7" s="1803"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8"/>
      <c r="K8" s="1818"/>
      <c r="L8" s="1818"/>
      <c r="M8" s="1818"/>
      <c r="N8" s="1818"/>
      <c r="O8" s="1818"/>
      <c r="P8" s="1818"/>
      <c r="Q8" s="1818"/>
      <c r="R8" s="1818"/>
      <c r="S8" s="1818"/>
      <c r="T8" s="1818"/>
      <c r="U8" s="1818"/>
      <c r="V8" s="2184"/>
      <c r="W8" s="1818"/>
      <c r="X8" s="1818"/>
      <c r="Y8" s="1818"/>
      <c r="Z8" s="1818"/>
      <c r="AA8" s="2184"/>
      <c r="AB8" s="2185"/>
      <c r="AC8" s="980" t="s">
        <v>1894</v>
      </c>
      <c r="AD8" s="2186"/>
      <c r="AE8" s="2178"/>
      <c r="AF8" s="1818"/>
      <c r="AG8" s="1818"/>
      <c r="AH8" s="1818"/>
      <c r="AI8" s="1818"/>
      <c r="AJ8" s="1818"/>
      <c r="AK8" s="1818"/>
      <c r="AL8" s="1818"/>
      <c r="AM8" s="1818"/>
      <c r="AN8" s="1818"/>
      <c r="AO8" s="1818"/>
      <c r="AP8" s="1818"/>
      <c r="AQ8" s="1818"/>
      <c r="AR8" s="1818"/>
      <c r="AS8" s="1818"/>
      <c r="AT8" s="1291" t="s">
        <v>1895</v>
      </c>
      <c r="AU8" s="2180" t="s">
        <v>1896</v>
      </c>
      <c r="AV8" s="1291"/>
      <c r="AW8" s="2163"/>
      <c r="AX8" s="1291"/>
      <c r="AY8" s="2164"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1899</v>
      </c>
      <c r="I9" s="2189" t="s">
        <v>3062</v>
      </c>
      <c r="J9" s="980"/>
      <c r="K9" s="2189"/>
      <c r="L9" s="980"/>
      <c r="M9" s="2189"/>
      <c r="N9" s="980"/>
      <c r="O9" s="2189"/>
      <c r="P9" s="980"/>
      <c r="Q9" s="2189"/>
      <c r="R9" s="980"/>
      <c r="S9" s="2189"/>
      <c r="T9" s="980"/>
      <c r="U9" s="2189"/>
      <c r="V9" s="980"/>
      <c r="W9" s="2189"/>
      <c r="X9" s="2190"/>
      <c r="Y9" s="2189"/>
      <c r="Z9" s="980"/>
      <c r="AA9" s="2189"/>
      <c r="AB9" s="980"/>
      <c r="AC9" s="2181"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1"/>
      <c r="AT9" s="2180"/>
      <c r="AU9" s="2180" t="s">
        <v>1902</v>
      </c>
      <c r="AV9" s="1291"/>
      <c r="AW9" s="2163"/>
      <c r="AX9" s="1291"/>
      <c r="AY9" s="28"/>
      <c r="AZ9" s="28" t="s">
        <v>1892</v>
      </c>
      <c r="BA9" s="2192" t="s">
        <v>1903</v>
      </c>
      <c r="BB9" s="2193"/>
      <c r="BC9" s="1337"/>
      <c r="BD9" s="1337"/>
      <c r="BE9" s="1337"/>
      <c r="BF9" s="1337"/>
      <c r="BG9" s="1337"/>
      <c r="BH9" s="1337"/>
      <c r="BI9" s="1337"/>
      <c r="BJ9" s="1337"/>
      <c r="BK9" s="2194"/>
      <c r="BL9" s="15" t="s">
        <v>1904</v>
      </c>
      <c r="BM9" s="1818"/>
      <c r="BN9" s="2183"/>
      <c r="BO9" s="1818"/>
      <c r="BP9" s="1818"/>
      <c r="BQ9" s="1818"/>
      <c r="BR9" s="1818"/>
      <c r="BS9" s="1818"/>
      <c r="BT9" s="26"/>
    </row>
    <row r="10" spans="1:72" s="2187" customFormat="1" ht="12.75">
      <c r="A10" s="2180"/>
      <c r="B10" s="2180"/>
      <c r="C10" s="2180"/>
      <c r="D10" s="2180"/>
      <c r="E10" s="2180"/>
      <c r="F10" s="2180"/>
      <c r="G10" s="1291"/>
      <c r="H10" s="28"/>
      <c r="I10" s="2189" t="s">
        <v>1378</v>
      </c>
      <c r="J10" s="980"/>
      <c r="K10" s="2195"/>
      <c r="L10" s="980"/>
      <c r="M10" s="2195"/>
      <c r="N10" s="980"/>
      <c r="O10" s="2195"/>
      <c r="P10" s="980"/>
      <c r="Q10" s="2195"/>
      <c r="R10" s="980"/>
      <c r="S10" s="2195"/>
      <c r="T10" s="980"/>
      <c r="U10" s="2195"/>
      <c r="V10" s="980"/>
      <c r="W10" s="2195"/>
      <c r="X10" s="980"/>
      <c r="Y10" s="2195"/>
      <c r="Z10" s="980"/>
      <c r="AA10" s="2195"/>
      <c r="AB10" s="980"/>
      <c r="AC10" s="1291"/>
      <c r="AD10" s="15" t="s">
        <v>1905</v>
      </c>
      <c r="AE10" s="2196"/>
      <c r="AF10" s="15" t="s">
        <v>1905</v>
      </c>
      <c r="AG10" s="2196"/>
      <c r="AH10" s="15" t="s">
        <v>1906</v>
      </c>
      <c r="AI10" s="2196"/>
      <c r="AJ10" s="15" t="s">
        <v>1906</v>
      </c>
      <c r="AK10" s="2196"/>
      <c r="AL10" s="15" t="s">
        <v>1907</v>
      </c>
      <c r="AM10" s="1297"/>
      <c r="AN10" s="15" t="s">
        <v>1907</v>
      </c>
      <c r="AO10" s="1297"/>
      <c r="AP10" s="15" t="s">
        <v>1908</v>
      </c>
      <c r="AQ10" s="1297"/>
      <c r="AR10" s="15" t="s">
        <v>1908</v>
      </c>
      <c r="AS10" s="1297"/>
      <c r="AT10" s="2180"/>
      <c r="AU10" s="2180"/>
      <c r="AV10" s="1291"/>
      <c r="AW10" s="2163"/>
      <c r="AX10" s="1291"/>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t="s">
        <v>3063</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1909</v>
      </c>
      <c r="AE11" s="1819"/>
      <c r="AF11" s="2202" t="s">
        <v>1909</v>
      </c>
      <c r="AG11" s="1819"/>
      <c r="AH11" s="2202" t="s">
        <v>1910</v>
      </c>
      <c r="AI11" s="2203"/>
      <c r="AJ11" s="2202" t="s">
        <v>1910</v>
      </c>
      <c r="AK11" s="1819"/>
      <c r="AL11" s="1817"/>
      <c r="AM11" s="1819"/>
      <c r="AN11" s="1817"/>
      <c r="AO11" s="1819"/>
      <c r="AP11" s="1817"/>
      <c r="AQ11" s="1819"/>
      <c r="AR11" s="1817"/>
      <c r="AS11" s="1819"/>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7"/>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底商</v>
      </c>
      <c r="BC12" s="2210">
        <f>K11</f>
        <v>0</v>
      </c>
      <c r="BD12" s="2210">
        <f>M11</f>
        <v>0</v>
      </c>
      <c r="BE12" s="2185">
        <f>O11</f>
        <v>0</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1271"/>
      <c r="D13" s="2211" t="s">
        <v>3061</v>
      </c>
      <c r="E13" s="16">
        <f>IF($C$3="是",ROUND($A$3*G13/$B$3,2),ROUND($A$3*(G13-AT13)/$B$3,2))</f>
        <v>0</v>
      </c>
      <c r="F13" s="32"/>
      <c r="G13" s="33">
        <f>H13+AC13+AT13</f>
        <v>43696.250000000007</v>
      </c>
      <c r="H13" s="20">
        <f>SUMIF(I$12:AB$12,"总值",I13:AB13)</f>
        <v>43696.250000000007</v>
      </c>
      <c r="I13" s="2212">
        <f>[1]Sheet1!$J$142</f>
        <v>43696.250000000007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0</v>
      </c>
      <c r="AZ13" s="16">
        <f>BA13+BL13</f>
        <v>43696.250000000007</v>
      </c>
      <c r="BA13" s="16">
        <f>SUM(BB13:BK13)</f>
        <v>43696.250000000007</v>
      </c>
      <c r="BB13" s="16">
        <f>IF($D13="是",I13-J13,0)</f>
        <v>43696.250000000007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2" sqref="F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1"/>
      <c r="C1" s="1391"/>
      <c r="D1" s="1391"/>
      <c r="E1" s="1391"/>
      <c r="F1" s="1391"/>
      <c r="G1" s="1391"/>
      <c r="H1" s="1391"/>
      <c r="I1" s="1391"/>
      <c r="J1" s="1391"/>
      <c r="K1" s="1391"/>
      <c r="L1" s="1391"/>
      <c r="M1" s="1391"/>
      <c r="N1" s="1391"/>
      <c r="O1" s="1391"/>
      <c r="P1" s="1391"/>
    </row>
    <row r="2" spans="1:16" ht="15">
      <c r="A2" s="3033" t="s">
        <v>1939</v>
      </c>
      <c r="B2" s="3033"/>
      <c r="C2" s="3033"/>
      <c r="D2" s="966" t="s">
        <v>1915</v>
      </c>
      <c r="E2" s="2225" t="s">
        <v>1916</v>
      </c>
      <c r="F2" s="1391"/>
      <c r="G2" s="2226"/>
      <c r="H2" s="2227"/>
      <c r="I2" s="2228" t="s">
        <v>1940</v>
      </c>
      <c r="J2" s="1391"/>
      <c r="K2" s="1391"/>
      <c r="L2" s="1391"/>
      <c r="M2" s="1391"/>
      <c r="N2" s="1426"/>
      <c r="O2" s="1391"/>
      <c r="P2" s="1391"/>
    </row>
    <row r="3" spans="1:16" ht="15.75" thickBot="1">
      <c r="A3" s="3034" t="s">
        <v>1913</v>
      </c>
      <c r="B3" s="3034"/>
      <c r="C3" s="3034"/>
      <c r="D3" s="46">
        <f>'数据-基础表'!AY6</f>
        <v>0</v>
      </c>
      <c r="E3" s="46">
        <f>'数据-基础表'!AZ5</f>
        <v>43696.250000000007</v>
      </c>
      <c r="F3" s="1391"/>
      <c r="G3" s="1398"/>
      <c r="H3" s="1246" t="s">
        <v>1914</v>
      </c>
      <c r="I3" s="55" t="e">
        <f>ROUND('数据-基础表'!B3/'数据-基础表'!A3,2)</f>
        <v>#DIV/0!</v>
      </c>
      <c r="J3" s="1391"/>
      <c r="K3" s="1391"/>
      <c r="L3" s="1391"/>
      <c r="M3" s="1391"/>
      <c r="N3" s="1426"/>
      <c r="O3" s="1391"/>
      <c r="P3" s="1391"/>
    </row>
    <row r="4" spans="1:16" ht="15">
      <c r="A4" s="3035"/>
      <c r="B4" s="3036"/>
      <c r="C4" s="3037"/>
      <c r="D4" s="2229" t="s">
        <v>1915</v>
      </c>
      <c r="E4" s="2230" t="s">
        <v>1916</v>
      </c>
      <c r="F4" s="1391"/>
      <c r="G4" s="2231" t="s">
        <v>1941</v>
      </c>
      <c r="H4" s="1246" t="s">
        <v>1921</v>
      </c>
      <c r="I4" s="55" t="e">
        <f>ROUND(SUMIF('数据-基础表'!I9:AS9,"地上",'数据-基础表'!I5:AS5)/'数据-基础表'!A3,2)</f>
        <v>#DIV/0!</v>
      </c>
      <c r="J4" s="1391"/>
      <c r="K4" s="1391"/>
      <c r="L4" s="1391"/>
      <c r="M4" s="1391"/>
      <c r="N4" s="1426"/>
      <c r="O4" s="1391"/>
      <c r="P4" s="1391"/>
    </row>
    <row r="5" spans="1:16">
      <c r="A5" s="47" t="s">
        <v>1917</v>
      </c>
      <c r="B5" s="3038" t="s">
        <v>1918</v>
      </c>
      <c r="C5" s="3038"/>
      <c r="D5" s="48">
        <f>ROUND($D$3*E5/$E$3,2)</f>
        <v>0</v>
      </c>
      <c r="E5" s="49">
        <f>SUMIF('数据-基础表'!$11:$11,"住宅",'数据-基础表'!$5:$5)</f>
        <v>0</v>
      </c>
      <c r="F5" s="1391"/>
      <c r="G5" s="1398"/>
      <c r="H5" s="1246" t="s">
        <v>1914</v>
      </c>
      <c r="I5" s="55" t="e">
        <f>ROUND(E31/D31,2)</f>
        <v>#DIV/0!</v>
      </c>
      <c r="J5" s="1391"/>
      <c r="K5" s="1391"/>
      <c r="L5" s="1391"/>
      <c r="M5" s="1391"/>
      <c r="N5" s="1391"/>
      <c r="O5" s="1391"/>
      <c r="P5" s="1391"/>
    </row>
    <row r="6" spans="1:16" ht="15" thickBot="1">
      <c r="A6" s="2232"/>
      <c r="B6" s="3038" t="s">
        <v>1919</v>
      </c>
      <c r="C6" s="3038"/>
      <c r="D6" s="48">
        <f>ROUND($D$3*E6/$E$3,2)</f>
        <v>0</v>
      </c>
      <c r="E6" s="49">
        <f>E3-E5</f>
        <v>43696.250000000007</v>
      </c>
      <c r="F6" s="1391"/>
      <c r="G6" s="2233" t="s">
        <v>1920</v>
      </c>
      <c r="H6" s="1398" t="s">
        <v>1921</v>
      </c>
      <c r="I6" s="939" t="e">
        <f>ROUND(F31/D31,2)</f>
        <v>#DIV/0!</v>
      </c>
      <c r="J6" s="1391"/>
      <c r="K6" s="1391"/>
      <c r="L6" s="1391"/>
      <c r="M6" s="1391"/>
      <c r="N6" s="1391"/>
      <c r="O6" s="1391"/>
      <c r="P6" s="1391"/>
    </row>
    <row r="7" spans="1:16" ht="15">
      <c r="A7" s="3030"/>
      <c r="B7" s="3031"/>
      <c r="C7" s="3032"/>
      <c r="D7" s="2229" t="s">
        <v>1915</v>
      </c>
      <c r="E7" s="2234" t="s">
        <v>1922</v>
      </c>
      <c r="F7" s="1391"/>
      <c r="G7" s="2226" t="s">
        <v>1923</v>
      </c>
      <c r="H7" s="63"/>
      <c r="I7" s="420">
        <f>ROUND(K10/K9,2)</f>
        <v>2.38</v>
      </c>
      <c r="J7" s="1391"/>
      <c r="K7" s="1391"/>
      <c r="L7" s="1391"/>
      <c r="M7" s="1391"/>
      <c r="N7" s="1391"/>
      <c r="O7" s="1391"/>
      <c r="P7" s="1391"/>
    </row>
    <row r="8" spans="1:16">
      <c r="A8" s="47" t="s">
        <v>1924</v>
      </c>
      <c r="B8" s="50" t="s">
        <v>1925</v>
      </c>
      <c r="C8" s="48" t="s">
        <v>1926</v>
      </c>
      <c r="D8" s="48">
        <f t="shared" ref="D8:D15" si="0">ROUND($D$3*E8/$E$3,2)</f>
        <v>0</v>
      </c>
      <c r="E8" s="51">
        <f>SUMIF('数据-基础表'!BB10:BK10,"地上",'数据-基础表'!BB5:BK5)</f>
        <v>43696.250000000007</v>
      </c>
      <c r="F8" s="1391"/>
      <c r="G8" s="2235"/>
      <c r="H8" s="2235"/>
      <c r="I8" s="1391"/>
      <c r="J8" s="1391"/>
      <c r="K8" s="1391"/>
      <c r="L8" s="1391"/>
      <c r="M8" s="1391"/>
      <c r="N8" s="1391"/>
      <c r="O8" s="1391"/>
      <c r="P8" s="1391"/>
    </row>
    <row r="9" spans="1:16">
      <c r="A9" s="2236"/>
      <c r="B9" s="2237"/>
      <c r="C9" s="48" t="s">
        <v>1927</v>
      </c>
      <c r="D9" s="48">
        <f t="shared" si="0"/>
        <v>0</v>
      </c>
      <c r="E9" s="52">
        <v>0</v>
      </c>
      <c r="F9" s="1391"/>
      <c r="G9" s="2235"/>
      <c r="H9" s="2235"/>
      <c r="I9" s="2938" t="s">
        <v>3070</v>
      </c>
      <c r="J9" s="1391"/>
      <c r="K9" s="1391">
        <f>42169.22+45573.15+38874.15+48728.23</f>
        <v>175344.75</v>
      </c>
      <c r="L9" s="1391"/>
      <c r="M9" s="1391"/>
      <c r="N9" s="1391"/>
      <c r="O9" s="1391"/>
      <c r="P9" s="1391"/>
    </row>
    <row r="10" spans="1:16">
      <c r="A10" s="2236"/>
      <c r="B10" s="2237"/>
      <c r="C10" s="48" t="s">
        <v>1936</v>
      </c>
      <c r="D10" s="48">
        <f t="shared" si="0"/>
        <v>0</v>
      </c>
      <c r="E10" s="51">
        <f>SUMPRODUCT(('数据-基础表'!BB10:BK10="地下")*('数据-基础表'!BB11:BK11="商业")*('数据-基础表'!BB5:BK5))</f>
        <v>0</v>
      </c>
      <c r="F10" s="1391"/>
      <c r="G10" s="2235"/>
      <c r="H10" s="2235"/>
      <c r="I10" s="2938" t="s">
        <v>3071</v>
      </c>
      <c r="J10" s="1391"/>
      <c r="K10" s="1391">
        <f>81783+113267+221463</f>
        <v>416513</v>
      </c>
      <c r="L10" s="1391"/>
      <c r="M10" s="1391"/>
      <c r="N10" s="1391"/>
      <c r="O10" s="1391"/>
      <c r="P10" s="1391"/>
    </row>
    <row r="11" spans="1:16">
      <c r="A11" s="2236"/>
      <c r="B11" s="2237"/>
      <c r="C11" s="48" t="s">
        <v>1928</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1929</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1930</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1942</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1937</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1931</v>
      </c>
      <c r="D16" s="50">
        <f>SUM(D8:D15)</f>
        <v>0</v>
      </c>
      <c r="E16" s="53">
        <f>SUM(E8:E15)</f>
        <v>43696.250000000007</v>
      </c>
      <c r="F16" s="1391"/>
      <c r="G16" s="2235"/>
      <c r="H16" s="2238" t="s">
        <v>1943</v>
      </c>
      <c r="I16" s="2239"/>
      <c r="J16" s="1391"/>
      <c r="K16" s="3027" t="s">
        <v>1943</v>
      </c>
      <c r="L16" s="3028"/>
      <c r="M16" s="3028"/>
      <c r="N16" s="3028"/>
      <c r="O16" s="3028"/>
      <c r="P16" s="3029"/>
    </row>
    <row r="17" spans="1:19" ht="15">
      <c r="A17" s="2240" t="s">
        <v>1944</v>
      </c>
      <c r="B17" s="2241" t="s">
        <v>1945</v>
      </c>
      <c r="C17" s="2242" t="s">
        <v>1946</v>
      </c>
      <c r="D17" s="2243" t="s">
        <v>1934</v>
      </c>
      <c r="E17" s="2244" t="s">
        <v>1935</v>
      </c>
      <c r="F17" s="2245"/>
      <c r="G17" s="2246"/>
      <c r="H17" s="2247" t="s">
        <v>1947</v>
      </c>
      <c r="I17" s="2248" t="s">
        <v>1932</v>
      </c>
      <c r="J17" s="1391"/>
      <c r="K17" s="3024" t="s">
        <v>1948</v>
      </c>
      <c r="L17" s="3025"/>
      <c r="M17" s="3026"/>
      <c r="N17" s="3024" t="s">
        <v>1949</v>
      </c>
      <c r="O17" s="3025"/>
      <c r="P17" s="3026"/>
      <c r="R17" s="2226" t="s">
        <v>1950</v>
      </c>
      <c r="S17" s="63"/>
    </row>
    <row r="18" spans="1:19" ht="15">
      <c r="A18" s="2236"/>
      <c r="B18" s="2249"/>
      <c r="C18" s="2250"/>
      <c r="D18" s="2251"/>
      <c r="E18" s="2252" t="s">
        <v>1951</v>
      </c>
      <c r="F18" s="2253" t="s">
        <v>1952</v>
      </c>
      <c r="G18" s="2254" t="s">
        <v>1953</v>
      </c>
      <c r="H18" s="1261" t="s">
        <v>1954</v>
      </c>
      <c r="I18" s="2255" t="s">
        <v>1955</v>
      </c>
      <c r="J18" s="1391"/>
      <c r="K18" s="1261" t="s">
        <v>1956</v>
      </c>
      <c r="L18" s="2256" t="s">
        <v>1957</v>
      </c>
      <c r="M18" s="1045" t="s">
        <v>1958</v>
      </c>
      <c r="N18" s="1261" t="s">
        <v>1956</v>
      </c>
      <c r="O18" s="2256" t="s">
        <v>1957</v>
      </c>
      <c r="P18" s="1045" t="s">
        <v>1958</v>
      </c>
      <c r="R18" s="1246" t="s">
        <v>1959</v>
      </c>
      <c r="S18" s="1246" t="s">
        <v>1960</v>
      </c>
    </row>
    <row r="19" spans="1:19">
      <c r="A19" s="2257"/>
      <c r="B19" s="50" t="s">
        <v>1933</v>
      </c>
      <c r="C19" s="2937" t="s">
        <v>3086</v>
      </c>
      <c r="D19" s="48">
        <f>ROUND($D$3*E19/$E$3,2)</f>
        <v>0</v>
      </c>
      <c r="E19" s="56">
        <f t="shared" ref="E19:E26" si="1">SUM(F19:G19)</f>
        <v>579</v>
      </c>
      <c r="F19" s="2939">
        <f>[1]Sheet2!$T$2</f>
        <v>579</v>
      </c>
      <c r="G19" s="57"/>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579</v>
      </c>
    </row>
    <row r="20" spans="1:19">
      <c r="A20" s="2261"/>
      <c r="B20" s="50" t="s">
        <v>1961</v>
      </c>
      <c r="C20" s="2258" t="s">
        <v>3087</v>
      </c>
      <c r="D20" s="48">
        <f t="shared" ref="D20:D26" si="6">ROUND($D$3*E20/$E$3,2)</f>
        <v>0</v>
      </c>
      <c r="E20" s="56">
        <f t="shared" si="1"/>
        <v>5300.34</v>
      </c>
      <c r="F20" s="2939">
        <f>[1]Sheet2!$T$3</f>
        <v>5300.34</v>
      </c>
      <c r="G20" s="57"/>
      <c r="H20" s="723">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5300.34</v>
      </c>
    </row>
    <row r="21" spans="1:19">
      <c r="A21" s="2261"/>
      <c r="B21" s="50" t="s">
        <v>1961</v>
      </c>
      <c r="C21" s="2258" t="s">
        <v>3088</v>
      </c>
      <c r="D21" s="48">
        <f t="shared" si="6"/>
        <v>0</v>
      </c>
      <c r="E21" s="56">
        <f t="shared" si="1"/>
        <v>3165.6</v>
      </c>
      <c r="F21" s="2939">
        <f>[1]Sheet2!$T$4</f>
        <v>3165.6</v>
      </c>
      <c r="G21" s="57"/>
      <c r="H21" s="723">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3165.6</v>
      </c>
    </row>
    <row r="22" spans="1:19">
      <c r="A22" s="2261"/>
      <c r="B22" s="50" t="s">
        <v>1961</v>
      </c>
      <c r="C22" s="59" t="s">
        <v>3089</v>
      </c>
      <c r="D22" s="48">
        <f t="shared" si="6"/>
        <v>0</v>
      </c>
      <c r="E22" s="56">
        <f t="shared" si="1"/>
        <v>34651.310000000005</v>
      </c>
      <c r="F22" s="2939">
        <f>[1]Sheet2!$T$5</f>
        <v>34651.310000000005</v>
      </c>
      <c r="G22" s="61"/>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34651.310000000005</v>
      </c>
    </row>
    <row r="23" spans="1:19">
      <c r="A23" s="2261"/>
      <c r="B23" s="50" t="s">
        <v>1961</v>
      </c>
      <c r="C23" s="59"/>
      <c r="D23" s="48">
        <f>ROUND($D$3*E23/$E$3,2)</f>
        <v>0</v>
      </c>
      <c r="E23" s="56">
        <f>SUM(F23:G23)</f>
        <v>0</v>
      </c>
      <c r="F23" s="60"/>
      <c r="G23" s="61"/>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1961</v>
      </c>
      <c r="C24" s="59"/>
      <c r="D24" s="48">
        <f>ROUND($D$3*E24/$E$3,2)</f>
        <v>0</v>
      </c>
      <c r="E24" s="56">
        <f>SUM(F24:G24)</f>
        <v>0</v>
      </c>
      <c r="F24" s="60"/>
      <c r="G24" s="61"/>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1961</v>
      </c>
      <c r="C25" s="59"/>
      <c r="D25" s="48">
        <f t="shared" si="6"/>
        <v>0</v>
      </c>
      <c r="E25" s="56">
        <f t="shared" si="1"/>
        <v>0</v>
      </c>
      <c r="F25" s="60"/>
      <c r="G25" s="61"/>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1961</v>
      </c>
      <c r="C26" s="62"/>
      <c r="D26" s="48">
        <f t="shared" si="6"/>
        <v>0</v>
      </c>
      <c r="E26" s="56">
        <f t="shared" si="1"/>
        <v>0</v>
      </c>
      <c r="F26" s="60"/>
      <c r="G26" s="61"/>
      <c r="H26" s="47">
        <f t="shared" si="7"/>
        <v>0</v>
      </c>
      <c r="I26" s="51">
        <f t="shared" si="2"/>
        <v>0</v>
      </c>
      <c r="J26" s="1391"/>
      <c r="K26" s="1397">
        <f t="shared" si="3"/>
        <v>0</v>
      </c>
      <c r="L26" s="1398">
        <f t="shared" si="4"/>
        <v>0</v>
      </c>
      <c r="M26" s="66">
        <f t="shared" si="8"/>
        <v>0</v>
      </c>
      <c r="N26" s="2262"/>
      <c r="O26" s="2263"/>
      <c r="P26" s="66">
        <f t="shared" si="9"/>
        <v>0</v>
      </c>
      <c r="R26" s="1246">
        <f t="shared" si="5"/>
        <v>0</v>
      </c>
      <c r="S26" s="1247">
        <f t="shared" si="5"/>
        <v>0</v>
      </c>
    </row>
    <row r="27" spans="1:19" ht="15.75" thickBot="1">
      <c r="A27" s="2261"/>
      <c r="B27" s="48"/>
      <c r="C27" s="2264" t="s">
        <v>1962</v>
      </c>
      <c r="D27" s="1392">
        <f>SUM(D19:D26)</f>
        <v>0</v>
      </c>
      <c r="E27" s="1393">
        <f>IF(SUM(E19:E26)='数据-基础表'!BA5,SUM(E19:E26),IF(F27="地上面积有误","面积有误","地下面积有误"))</f>
        <v>43696.250000000007</v>
      </c>
      <c r="F27" s="1392">
        <f>IF(SUM(F19:F26)=E8,SUM(F19:F26),"地上面积有误")</f>
        <v>43696.250000000007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43696.250000000007</v>
      </c>
    </row>
    <row r="28" spans="1:19">
      <c r="A28" s="2261"/>
      <c r="B28" s="50" t="s">
        <v>1963</v>
      </c>
      <c r="C28" s="1258" t="s">
        <v>1964</v>
      </c>
      <c r="D28" s="48">
        <f>ROUND($D$3*E28/$E$3,2)</f>
        <v>0</v>
      </c>
      <c r="E28" s="56">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1"/>
      <c r="B29" s="50" t="s">
        <v>1963</v>
      </c>
      <c r="C29" s="2265" t="s">
        <v>1965</v>
      </c>
      <c r="D29" s="48">
        <f>ROUND($D$3*E29/$E$3,2)</f>
        <v>0</v>
      </c>
      <c r="E29" s="56">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50"/>
      <c r="C30" s="2266" t="s">
        <v>1962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1966</v>
      </c>
      <c r="D31" s="729">
        <f>D27+D30</f>
        <v>0</v>
      </c>
      <c r="E31" s="729">
        <f>E27+E30</f>
        <v>43696.250000000007</v>
      </c>
      <c r="F31" s="730">
        <f>F27+F30</f>
        <v>43696.250000000007</v>
      </c>
      <c r="G31" s="731">
        <f>G27+G30</f>
        <v>0</v>
      </c>
      <c r="H31" s="1391"/>
      <c r="I31" s="1391"/>
      <c r="J31" s="1391"/>
      <c r="K31" s="1391"/>
      <c r="L31" s="1391"/>
      <c r="M31" s="1391"/>
      <c r="N31" s="1391"/>
      <c r="O31" s="1391"/>
      <c r="P31" s="1391"/>
    </row>
    <row r="32" spans="1:19">
      <c r="A32" s="2231"/>
      <c r="B32" s="2231" t="s">
        <v>1967</v>
      </c>
      <c r="C32" s="2231"/>
      <c r="D32" s="2231"/>
      <c r="E32" s="1273">
        <f>SUMIF(C19:C26,"*住宅*",E19:E26)</f>
        <v>0</v>
      </c>
      <c r="F32" s="2231"/>
      <c r="G32" s="2231"/>
      <c r="H32" s="1391"/>
      <c r="I32" s="1391"/>
      <c r="J32" s="1391"/>
      <c r="K32" s="1391"/>
      <c r="L32" s="1391"/>
      <c r="M32" s="1391"/>
      <c r="N32" s="1391"/>
      <c r="O32" s="1391"/>
      <c r="P32" s="1391"/>
    </row>
    <row r="33" spans="3:6">
      <c r="D33" s="2269"/>
    </row>
    <row r="35" spans="3:6">
      <c r="C35" s="2937" t="s">
        <v>3086</v>
      </c>
      <c r="F35" s="2943">
        <v>579</v>
      </c>
    </row>
    <row r="36" spans="3:6">
      <c r="C36" s="2258" t="s">
        <v>3087</v>
      </c>
      <c r="F36" s="2943">
        <v>5300.34</v>
      </c>
    </row>
    <row r="37" spans="3:6">
      <c r="C37" s="2258" t="s">
        <v>3088</v>
      </c>
      <c r="F37" s="2943">
        <v>3165.6</v>
      </c>
    </row>
    <row r="38" spans="3:6">
      <c r="C38" s="59" t="s">
        <v>3089</v>
      </c>
      <c r="F38" s="2943">
        <v>34651.31</v>
      </c>
    </row>
    <row r="39" spans="3:6">
      <c r="C39" s="2944" t="s">
        <v>3099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N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43" customWidth="1"/>
    <col min="2" max="2" width="12" style="2273" customWidth="1"/>
    <col min="3" max="3" width="14.2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hidden="1" customWidth="1"/>
    <col min="16" max="16" width="10.875" style="2273" hidden="1" customWidth="1"/>
    <col min="17" max="17" width="10.875" style="2273" customWidth="1"/>
    <col min="18" max="19" width="12.5" style="2273" hidden="1" customWidth="1"/>
    <col min="20" max="20" width="12.125" style="2273" hidden="1" customWidth="1"/>
    <col min="21" max="21" width="7.5" style="2273" customWidth="1"/>
    <col min="22" max="22" width="6.375" style="2273" customWidth="1"/>
    <col min="23" max="23" width="6.75" style="2273" customWidth="1"/>
    <col min="24" max="24" width="6.75" style="2273" hidden="1" customWidth="1"/>
    <col min="25" max="28" width="6.75" style="2273" customWidth="1"/>
    <col min="29" max="29" width="6.75" style="2273" hidden="1" customWidth="1"/>
    <col min="30"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5">
        <f>项目基本情况!D3</f>
        <v>43039</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7"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7" t="s">
        <v>1980</v>
      </c>
      <c r="F5" s="2291" t="s">
        <v>1981</v>
      </c>
      <c r="G5" s="1267" t="s">
        <v>1982</v>
      </c>
      <c r="H5" s="1267" t="s">
        <v>1983</v>
      </c>
      <c r="I5" s="1267" t="s">
        <v>1984</v>
      </c>
      <c r="J5" s="2292" t="s">
        <v>1985</v>
      </c>
      <c r="K5" s="2293" t="s">
        <v>1986</v>
      </c>
      <c r="L5" s="2294" t="s">
        <v>1987</v>
      </c>
      <c r="M5" s="2295" t="s">
        <v>1988</v>
      </c>
      <c r="N5" s="2296" t="s">
        <v>3064</v>
      </c>
      <c r="O5" s="2294" t="s">
        <v>1989</v>
      </c>
      <c r="P5" s="2297" t="s">
        <v>1990</v>
      </c>
      <c r="Q5" s="68" t="s">
        <v>1991</v>
      </c>
      <c r="R5" s="2298" t="s">
        <v>1992</v>
      </c>
      <c r="S5" s="2299" t="s">
        <v>1993</v>
      </c>
      <c r="T5" s="2300" t="s">
        <v>1994</v>
      </c>
      <c r="U5" s="1266" t="s">
        <v>1995</v>
      </c>
      <c r="V5" s="1267" t="s">
        <v>1996</v>
      </c>
      <c r="W5" s="1267" t="s">
        <v>1997</v>
      </c>
      <c r="X5" s="70"/>
      <c r="Y5" s="69" t="s">
        <v>1998</v>
      </c>
      <c r="Z5" s="2301" t="s">
        <v>1995</v>
      </c>
      <c r="AA5" s="1267" t="s">
        <v>1996</v>
      </c>
      <c r="AB5" s="1267" t="s">
        <v>1997</v>
      </c>
      <c r="AC5" s="70"/>
      <c r="AD5" s="70" t="s">
        <v>1998</v>
      </c>
      <c r="AE5" s="1266" t="s">
        <v>1999</v>
      </c>
      <c r="AF5" s="1267" t="s">
        <v>2000</v>
      </c>
      <c r="AG5" s="69" t="s">
        <v>2001</v>
      </c>
      <c r="AH5" s="1266" t="s">
        <v>2002</v>
      </c>
      <c r="AI5" s="2301" t="s">
        <v>2003</v>
      </c>
      <c r="AJ5" s="2301" t="s">
        <v>2004</v>
      </c>
      <c r="AK5" s="1267" t="s">
        <v>2005</v>
      </c>
      <c r="AL5" s="1267" t="s">
        <v>2006</v>
      </c>
      <c r="AM5" s="69" t="s">
        <v>2007</v>
      </c>
      <c r="AN5" s="2302" t="s">
        <v>2008</v>
      </c>
      <c r="AO5" s="2072" t="s">
        <v>2009</v>
      </c>
      <c r="AP5" s="1248"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租约1</v>
      </c>
      <c r="B6" s="2305" t="str">
        <f>IF(A6=0,"","经营性")</f>
        <v>经营性</v>
      </c>
      <c r="C6" s="2306" t="s">
        <v>1378</v>
      </c>
      <c r="D6" s="1050">
        <f>SUMIF(项目基本情况!D$12:I$12,C6,项目基本情况!D$14:I$14)</f>
        <v>40</v>
      </c>
      <c r="E6" s="1047">
        <f>IF(B6="","",SUMIF(项目基本情况!D$12:I$12,C6,项目基本情况!D$13:I$13))</f>
        <v>50340</v>
      </c>
      <c r="F6" s="71">
        <f>SUMIF(项目基本情况!D$12:I$12,C6,项目基本情况!D$15:I$15)</f>
        <v>20</v>
      </c>
      <c r="G6" s="72">
        <f>IF(ISERROR(ROUND(POWER(1+H6,D6-F6)*(POWER(1+H6,F6)-1)/(POWER(1+H6,D6)-1),3)),0,ROUND(POWER(1+H6,D6-F6)*(POWER(1+H6,F6)-1)/(POWER(1+H6,D6)-1),3))</f>
        <v>0.72599999999999998</v>
      </c>
      <c r="H6" s="802">
        <v>0.05</v>
      </c>
      <c r="I6" s="802">
        <v>5.5E-2</v>
      </c>
      <c r="J6" s="73">
        <v>0.08</v>
      </c>
      <c r="K6" s="1250">
        <f>SUMIF('数据-汇总表'!C$19:C$33,A6,'数据-汇总表'!E$19:E$33)</f>
        <v>579</v>
      </c>
      <c r="L6" s="803">
        <v>2500</v>
      </c>
      <c r="M6" s="74">
        <f t="shared" ref="M6:M14" si="0">ROUND(K6*L6/10000,0)</f>
        <v>145</v>
      </c>
      <c r="N6" s="801">
        <v>0.9</v>
      </c>
      <c r="O6" s="74" t="str">
        <f>IF($N$5="成新度","——",ROUND(M6*N6,0))</f>
        <v>——</v>
      </c>
      <c r="P6" s="75" t="str">
        <f>IF($N$5="成新度","——",M6-O6)</f>
        <v>——</v>
      </c>
      <c r="Q6" s="804">
        <v>0.25</v>
      </c>
      <c r="R6" s="76">
        <f ca="1">SUMIF('数据-汇总表'!C$19:C$33,A6,'数据-汇总表'!R$19:R$27)</f>
        <v>0</v>
      </c>
      <c r="S6" s="54">
        <f>IF('数据-汇总表'!$I$17="按面积比例",SUMIF('数据-汇总表'!C$19:C$33,A6,'数据-汇总表'!K$19:K$33),SUMIF('数据-汇总表'!C$19:C$33,A6,'数据-汇总表'!N$19:N$33))</f>
        <v>0</v>
      </c>
      <c r="T6" s="1442">
        <f>ROUND($L$14*S6/10000,0)</f>
        <v>0</v>
      </c>
      <c r="U6" s="77">
        <v>3.05</v>
      </c>
      <c r="V6" s="78">
        <v>0.01</v>
      </c>
      <c r="W6" s="78">
        <v>0</v>
      </c>
      <c r="X6" s="1260"/>
      <c r="Y6" s="79">
        <f>N6</f>
        <v>0.9</v>
      </c>
      <c r="Z6" s="80">
        <v>3.77</v>
      </c>
      <c r="AA6" s="73">
        <v>0.03</v>
      </c>
      <c r="AB6" s="73">
        <v>0.05</v>
      </c>
      <c r="AC6" s="1260"/>
      <c r="AD6" s="81">
        <v>0.86</v>
      </c>
      <c r="AE6" s="1261">
        <f ca="1">IF(AN6="",0,SUMIF(INDIRECT("'"&amp;AN6&amp;"'"&amp;"!E:E"),$AE$5,INDIRECT("'"&amp;AN6&amp;"'"&amp;"!F:F")))</f>
        <v>20</v>
      </c>
      <c r="AF6" s="1804">
        <f>[1]Sheet2!$Y$2</f>
        <v>2.48</v>
      </c>
      <c r="AG6" s="146">
        <f ca="1">IF(AF6="",0,AE6-AF6)</f>
        <v>17.52</v>
      </c>
      <c r="AH6" s="82"/>
      <c r="AI6" s="84">
        <v>365</v>
      </c>
      <c r="AJ6" s="85"/>
      <c r="AK6" s="86">
        <v>1.4999999999999999E-2</v>
      </c>
      <c r="AL6" s="87">
        <v>1.5E-3</v>
      </c>
      <c r="AM6" s="88">
        <v>1E-3</v>
      </c>
      <c r="AN6" s="2307" t="s">
        <v>3093</v>
      </c>
      <c r="AO6" s="55">
        <f ca="1">SUMIF(INDIRECT("'"&amp;AN6&amp;"'"&amp;"!A:A"),"总价",INDIRECT("'"&amp;AN6&amp;"'"&amp;"!B:B"))</f>
        <v>821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租约2</v>
      </c>
      <c r="B7" s="2305" t="str">
        <f t="shared" ref="B7:B13" si="1">IF(A7=0,"","经营性")</f>
        <v>经营性</v>
      </c>
      <c r="C7" s="2306" t="s">
        <v>1378</v>
      </c>
      <c r="D7" s="1050">
        <f>SUMIF(项目基本情况!D$12:I$12,C7,项目基本情况!D$14:I$14)</f>
        <v>40</v>
      </c>
      <c r="E7" s="1047">
        <f>IF(B7="","",SUMIF(项目基本情况!D$12:I$12,C7,项目基本情况!D$13:I$13))</f>
        <v>50340</v>
      </c>
      <c r="F7" s="71">
        <f>SUMIF(项目基本情况!D$12:I$12,C7,项目基本情况!D$15:I$15)</f>
        <v>20</v>
      </c>
      <c r="G7" s="72">
        <f t="shared" ref="G7:G11" si="2">IF(ISERROR(ROUND(POWER(1+H7,D7-F7)*(POWER(1+H7,F7)-1)/(POWER(1+H7,D7)-1),3)),0,ROUND(POWER(1+H7,D7-F7)*(POWER(1+H7,F7)-1)/(POWER(1+H7,D7)-1),3))</f>
        <v>0.72599999999999998</v>
      </c>
      <c r="H7" s="802">
        <v>0.05</v>
      </c>
      <c r="I7" s="802">
        <v>5.5E-2</v>
      </c>
      <c r="J7" s="73">
        <v>0.08</v>
      </c>
      <c r="K7" s="1250">
        <f>SUMIF('数据-汇总表'!C$19:C$33,A7,'数据-汇总表'!E$19:E$33)</f>
        <v>5300.34</v>
      </c>
      <c r="L7" s="803">
        <v>2500</v>
      </c>
      <c r="M7" s="74">
        <f t="shared" si="0"/>
        <v>1325</v>
      </c>
      <c r="N7" s="801">
        <v>0.9</v>
      </c>
      <c r="O7" s="74" t="str">
        <f t="shared" ref="O7:O14" si="3">IF($N$5="成新度","——",ROUND(M7*N7,0))</f>
        <v>——</v>
      </c>
      <c r="P7" s="75" t="str">
        <f t="shared" ref="P7:P14" si="4">IF($N$5="成新度","——",M7-O7)</f>
        <v>——</v>
      </c>
      <c r="Q7" s="804">
        <v>0.25</v>
      </c>
      <c r="R7" s="76">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7">
        <v>3.34</v>
      </c>
      <c r="V7" s="78">
        <v>0.01</v>
      </c>
      <c r="W7" s="78">
        <v>0</v>
      </c>
      <c r="X7" s="1260"/>
      <c r="Y7" s="79">
        <f>Y6</f>
        <v>0.9</v>
      </c>
      <c r="Z7" s="80">
        <v>4.45</v>
      </c>
      <c r="AA7" s="73">
        <f>AA6</f>
        <v>0.03</v>
      </c>
      <c r="AB7" s="73">
        <f>AB6</f>
        <v>0.05</v>
      </c>
      <c r="AC7" s="1260"/>
      <c r="AD7" s="81">
        <v>0.78</v>
      </c>
      <c r="AE7" s="1261">
        <f t="shared" ref="AE7:AE13" ca="1" si="6">IF(AN7="",0,SUMIF(INDIRECT("'"&amp;AN7&amp;"'"&amp;"!E:E"),$AE$5,INDIRECT("'"&amp;AN7&amp;"'"&amp;"!F:F")))</f>
        <v>20</v>
      </c>
      <c r="AF7" s="1804">
        <f>[1]Sheet2!$Y$3</f>
        <v>8.14</v>
      </c>
      <c r="AG7" s="146">
        <f t="shared" ref="AG7:AG13" ca="1" si="7">IF(AF7="",0,AE7-AF7)</f>
        <v>11.86</v>
      </c>
      <c r="AH7" s="82"/>
      <c r="AI7" s="84">
        <v>365</v>
      </c>
      <c r="AJ7" s="85"/>
      <c r="AK7" s="86">
        <v>1.4999999999999999E-2</v>
      </c>
      <c r="AL7" s="87">
        <v>1.5E-3</v>
      </c>
      <c r="AM7" s="88">
        <v>1E-3</v>
      </c>
      <c r="AN7" s="2307" t="s">
        <v>3095</v>
      </c>
      <c r="AO7" s="55">
        <f t="shared" ref="AO7:AO13" ca="1" si="8">SUMIF(INDIRECT("'"&amp;AN7&amp;"'"&amp;"!A:A"),"总价",INDIRECT("'"&amp;AN7&amp;"'"&amp;"!B:B"))</f>
        <v>7411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租约3</v>
      </c>
      <c r="B8" s="2305" t="str">
        <f t="shared" si="1"/>
        <v>经营性</v>
      </c>
      <c r="C8" s="2306" t="s">
        <v>1378</v>
      </c>
      <c r="D8" s="1050">
        <f>SUMIF(项目基本情况!D$12:I$12,C8,项目基本情况!D$14:I$14)</f>
        <v>40</v>
      </c>
      <c r="E8" s="1047">
        <f>IF(B8="","",SUMIF(项目基本情况!D$12:I$12,C8,项目基本情况!D$13:I$13))</f>
        <v>50340</v>
      </c>
      <c r="F8" s="71">
        <f>SUMIF(项目基本情况!D$12:I$12,C8,项目基本情况!D$15:I$15)</f>
        <v>20</v>
      </c>
      <c r="G8" s="72">
        <f t="shared" si="2"/>
        <v>0.72599999999999998</v>
      </c>
      <c r="H8" s="802">
        <v>0.05</v>
      </c>
      <c r="I8" s="802">
        <v>5.5E-2</v>
      </c>
      <c r="J8" s="73">
        <v>0.08</v>
      </c>
      <c r="K8" s="1250">
        <f>SUMIF('数据-汇总表'!C$19:C$33,A8,'数据-汇总表'!E$19:E$33)</f>
        <v>3165.6</v>
      </c>
      <c r="L8" s="803">
        <v>2500</v>
      </c>
      <c r="M8" s="74">
        <f>ROUND(K8*L8/10000,0)</f>
        <v>791</v>
      </c>
      <c r="N8" s="801">
        <v>0.9</v>
      </c>
      <c r="O8" s="74" t="str">
        <f t="shared" si="3"/>
        <v>——</v>
      </c>
      <c r="P8" s="75" t="str">
        <f t="shared" si="4"/>
        <v>——</v>
      </c>
      <c r="Q8" s="804">
        <v>0.25</v>
      </c>
      <c r="R8" s="76">
        <f ca="1">SUMIF('数据-汇总表'!C$19:C$33,A8,'数据-汇总表'!R$19:R$27)</f>
        <v>0</v>
      </c>
      <c r="S8" s="54">
        <f>IF('数据-汇总表'!$I$17="按面积比例",SUMIF('数据-汇总表'!C$19:C$33,A8,'数据-汇总表'!K$19:K$33),SUMIF('数据-汇总表'!C$19:C$33,A8,'数据-汇总表'!N$19:N$33))</f>
        <v>0</v>
      </c>
      <c r="T8" s="1442">
        <f t="shared" si="5"/>
        <v>0</v>
      </c>
      <c r="U8" s="805">
        <v>2.94</v>
      </c>
      <c r="V8" s="806">
        <v>0.01</v>
      </c>
      <c r="W8" s="806">
        <v>0</v>
      </c>
      <c r="X8" s="1260"/>
      <c r="Y8" s="807">
        <f>Y6</f>
        <v>0.9</v>
      </c>
      <c r="Z8" s="80">
        <v>5.0199999999999996</v>
      </c>
      <c r="AA8" s="73">
        <f>AA6</f>
        <v>0.03</v>
      </c>
      <c r="AB8" s="73">
        <f>AB6</f>
        <v>0.05</v>
      </c>
      <c r="AC8" s="1260"/>
      <c r="AD8" s="81">
        <v>0.7</v>
      </c>
      <c r="AE8" s="1261">
        <f t="shared" ca="1" si="6"/>
        <v>20</v>
      </c>
      <c r="AF8" s="1804">
        <f>[1]Sheet2!$Y$4</f>
        <v>12.2</v>
      </c>
      <c r="AG8" s="146">
        <f t="shared" ca="1" si="7"/>
        <v>7.8000000000000007</v>
      </c>
      <c r="AH8" s="808"/>
      <c r="AI8" s="84">
        <v>365</v>
      </c>
      <c r="AJ8" s="85"/>
      <c r="AK8" s="86">
        <v>1.4999999999999999E-2</v>
      </c>
      <c r="AL8" s="87">
        <v>1.5E-3</v>
      </c>
      <c r="AM8" s="88">
        <v>1E-3</v>
      </c>
      <c r="AN8" s="2307" t="s">
        <v>3096</v>
      </c>
      <c r="AO8" s="55">
        <f t="shared" ca="1" si="8"/>
        <v>3924</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t="str">
        <f>'数据-汇总表'!C22</f>
        <v>租约4</v>
      </c>
      <c r="B9" s="2305" t="str">
        <f t="shared" si="1"/>
        <v>经营性</v>
      </c>
      <c r="C9" s="2306" t="s">
        <v>1378</v>
      </c>
      <c r="D9" s="1050">
        <f>SUMIF(项目基本情况!D$12:I$12,C9,项目基本情况!D$14:I$14)</f>
        <v>40</v>
      </c>
      <c r="E9" s="1047">
        <f>IF(B9="","",SUMIF(项目基本情况!D$12:I$12,C9,项目基本情况!D$13:I$13))</f>
        <v>50340</v>
      </c>
      <c r="F9" s="71">
        <f>SUMIF(项目基本情况!D$12:I$12,C9,项目基本情况!D$15:I$15)</f>
        <v>20</v>
      </c>
      <c r="G9" s="72">
        <f t="shared" si="2"/>
        <v>0.72599999999999998</v>
      </c>
      <c r="H9" s="802">
        <v>0.05</v>
      </c>
      <c r="I9" s="802">
        <v>5.5E-2</v>
      </c>
      <c r="J9" s="73">
        <v>0.08</v>
      </c>
      <c r="K9" s="1250">
        <f>SUMIF('数据-汇总表'!C$19:C$33,A9,'数据-汇总表'!E$19:E$33)</f>
        <v>34651.310000000005</v>
      </c>
      <c r="L9" s="803">
        <v>2500</v>
      </c>
      <c r="M9" s="74">
        <f t="shared" si="0"/>
        <v>8663</v>
      </c>
      <c r="N9" s="801">
        <v>0.9</v>
      </c>
      <c r="O9" s="74" t="str">
        <f t="shared" si="3"/>
        <v>——</v>
      </c>
      <c r="P9" s="75" t="str">
        <f t="shared" si="4"/>
        <v>——</v>
      </c>
      <c r="Q9" s="804">
        <v>0.25</v>
      </c>
      <c r="R9" s="76">
        <f ca="1">SUMIF('数据-汇总表'!C$19:C$33,A9,'数据-汇总表'!R$19:R$27)</f>
        <v>0</v>
      </c>
      <c r="S9" s="54">
        <f>IF('数据-汇总表'!$I$17="按面积比例",SUMIF('数据-汇总表'!C$19:C$33,A9,'数据-汇总表'!K$19:K$33),SUMIF('数据-汇总表'!C$19:C$33,A9,'数据-汇总表'!N$19:N$33))</f>
        <v>0</v>
      </c>
      <c r="T9" s="1442">
        <f t="shared" si="5"/>
        <v>0</v>
      </c>
      <c r="U9" s="77">
        <v>2.56</v>
      </c>
      <c r="V9" s="78">
        <v>0.01</v>
      </c>
      <c r="W9" s="78">
        <v>0</v>
      </c>
      <c r="X9" s="1260"/>
      <c r="Y9" s="79">
        <f>Y6</f>
        <v>0.9</v>
      </c>
      <c r="Z9" s="80">
        <v>6.26</v>
      </c>
      <c r="AA9" s="73">
        <f>AA6</f>
        <v>0.03</v>
      </c>
      <c r="AB9" s="73">
        <f>AB6</f>
        <v>0.05</v>
      </c>
      <c r="AC9" s="1260"/>
      <c r="AD9" s="81">
        <v>0.6</v>
      </c>
      <c r="AE9" s="1261">
        <f t="shared" ca="1" si="6"/>
        <v>20</v>
      </c>
      <c r="AF9" s="2940">
        <f>[1]Sheet2!$Y$5</f>
        <v>19.649999999999999</v>
      </c>
      <c r="AG9" s="146">
        <f t="shared" ca="1" si="7"/>
        <v>0.35000000000000142</v>
      </c>
      <c r="AH9" s="82"/>
      <c r="AI9" s="84">
        <v>365</v>
      </c>
      <c r="AJ9" s="85"/>
      <c r="AK9" s="86">
        <v>1.4999999999999999E-2</v>
      </c>
      <c r="AL9" s="87">
        <v>1.5E-3</v>
      </c>
      <c r="AM9" s="88">
        <v>1E-3</v>
      </c>
      <c r="AN9" s="2307" t="s">
        <v>3097</v>
      </c>
      <c r="AO9" s="55">
        <f t="shared" ca="1" si="8"/>
        <v>31948</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hidden="1">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3"/>
      <c r="M10" s="74">
        <f t="shared" si="0"/>
        <v>0</v>
      </c>
      <c r="N10" s="801"/>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4"/>
      <c r="AG10" s="146">
        <f t="shared" si="7"/>
        <v>0</v>
      </c>
      <c r="AH10" s="82"/>
      <c r="AI10" s="84"/>
      <c r="AJ10" s="85"/>
      <c r="AK10" s="86"/>
      <c r="AL10" s="87"/>
      <c r="AM10" s="88"/>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4"/>
      <c r="AG11" s="146">
        <f t="shared" si="7"/>
        <v>0</v>
      </c>
      <c r="AH11" s="82"/>
      <c r="AI11" s="84"/>
      <c r="AJ11" s="85"/>
      <c r="AK11" s="93"/>
      <c r="AL11" s="94"/>
      <c r="AM11" s="95"/>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4"/>
      <c r="AG12" s="146">
        <f t="shared" si="7"/>
        <v>0</v>
      </c>
      <c r="AH12" s="82"/>
      <c r="AI12" s="84"/>
      <c r="AJ12" s="85"/>
      <c r="AK12" s="93"/>
      <c r="AL12" s="94"/>
      <c r="AM12" s="95"/>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4"/>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2013</v>
      </c>
      <c r="B14" s="2305" t="s">
        <v>2014</v>
      </c>
      <c r="C14" s="2310" t="s">
        <v>2013</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4"/>
      <c r="T14" s="1442"/>
      <c r="U14" s="723"/>
      <c r="V14" s="1255"/>
      <c r="W14" s="1255"/>
      <c r="X14" s="1256"/>
      <c r="Y14" s="1257"/>
      <c r="Z14" s="1258"/>
      <c r="AA14" s="1259"/>
      <c r="AB14" s="1259"/>
      <c r="AC14" s="1260"/>
      <c r="AD14" s="1256"/>
      <c r="AE14" s="1261"/>
      <c r="AF14" s="55"/>
      <c r="AG14" s="146"/>
      <c r="AH14" s="1261"/>
      <c r="AI14" s="1815"/>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2015</v>
      </c>
      <c r="B15" s="2305" t="s">
        <v>2014</v>
      </c>
      <c r="C15" s="2310" t="s">
        <v>2016</v>
      </c>
      <c r="D15" s="1050"/>
      <c r="E15" s="1047"/>
      <c r="F15" s="71"/>
      <c r="G15" s="72"/>
      <c r="H15" s="1249"/>
      <c r="I15" s="1249"/>
      <c r="J15" s="1249"/>
      <c r="K15" s="1250">
        <f>SUMIF('数据-汇总表'!C$19:C$33,A15,'数据-汇总表'!E$19:E$33)</f>
        <v>0</v>
      </c>
      <c r="L15" s="1251"/>
      <c r="M15" s="74"/>
      <c r="N15" s="1252"/>
      <c r="O15" s="74"/>
      <c r="P15" s="75"/>
      <c r="Q15" s="1253"/>
      <c r="R15" s="76"/>
      <c r="S15" s="54"/>
      <c r="T15" s="1442"/>
      <c r="U15" s="723"/>
      <c r="V15" s="1255"/>
      <c r="W15" s="1255"/>
      <c r="X15" s="1256"/>
      <c r="Y15" s="1257"/>
      <c r="Z15" s="1258"/>
      <c r="AA15" s="1259"/>
      <c r="AB15" s="1259"/>
      <c r="AC15" s="1260"/>
      <c r="AD15" s="1256"/>
      <c r="AE15" s="1261"/>
      <c r="AF15" s="55"/>
      <c r="AG15" s="146"/>
      <c r="AH15" s="1261"/>
      <c r="AI15" s="1815"/>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2017</v>
      </c>
      <c r="B16" s="96"/>
      <c r="C16" s="1004"/>
      <c r="D16" s="2312"/>
      <c r="E16" s="96"/>
      <c r="F16" s="96"/>
      <c r="G16" s="97">
        <f>ROUND(SUMPRODUCT(G6:G13,K6:K13)/SUMPRODUCT((G6:G13&gt;0)*(K6:K13)),3)</f>
        <v>0.72599999999999998</v>
      </c>
      <c r="H16" s="98">
        <f>ROUND(SUMPRODUCT(H6:H13,K6:K13)/SUMPRODUCT((H6:H13&gt;0)*(K6:K13)),3)</f>
        <v>0.05</v>
      </c>
      <c r="I16" s="99"/>
      <c r="J16" s="99"/>
      <c r="K16" s="100">
        <f>SUM(K6:K15)</f>
        <v>43696.250000000007</v>
      </c>
      <c r="L16" s="101">
        <f>ROUND(M16*10000/SUM(K6:K14),0)</f>
        <v>2500</v>
      </c>
      <c r="M16" s="101">
        <f>SUM(M6:M14)</f>
        <v>10924</v>
      </c>
      <c r="N16" s="102">
        <f>ROUND(SUMPRODUCT(M6:M14,N6:N14)/M16,3)</f>
        <v>0.9</v>
      </c>
      <c r="O16" s="101">
        <f>SUM(O6:O14)</f>
        <v>0</v>
      </c>
      <c r="P16" s="101">
        <f>SUM(P6:P14)</f>
        <v>0</v>
      </c>
      <c r="Q16" s="103">
        <f>ROUND(SUMPRODUCT(Q6:Q13,K6:K13)/SUMPRODUCT((Q6:Q13&gt;0)*(K6:K13)),2)</f>
        <v>0.25</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2945"/>
      <c r="AA17" s="2946"/>
      <c r="AB17" s="2946"/>
      <c r="AC17" s="1581"/>
      <c r="AD17" s="1581"/>
      <c r="AE17" s="1581"/>
      <c r="AF17" s="1581"/>
      <c r="AG17" s="1581"/>
      <c r="AH17" s="1581"/>
      <c r="AI17" s="1581"/>
      <c r="AJ17" s="1581"/>
      <c r="AK17" s="1581"/>
      <c r="AL17" s="1581"/>
      <c r="AM17" s="1581"/>
    </row>
    <row r="18" spans="1:67" ht="15" thickBot="1">
      <c r="A18" s="67" t="s">
        <v>2018</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2019</v>
      </c>
      <c r="B19" s="111">
        <v>0</v>
      </c>
      <c r="C19" s="2275" t="s">
        <v>2020</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2021</v>
      </c>
      <c r="B20" s="112">
        <v>2</v>
      </c>
      <c r="C20" s="2275" t="s">
        <v>2022</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2023</v>
      </c>
      <c r="B21" s="112">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2024</v>
      </c>
      <c r="B22" s="113">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2025</v>
      </c>
      <c r="B23" s="113">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2026</v>
      </c>
      <c r="B24" s="114">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2027</v>
      </c>
      <c r="B26" s="2318" t="s">
        <v>2028</v>
      </c>
      <c r="C26" s="2319" t="s">
        <v>2029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2030</v>
      </c>
      <c r="B27" s="115"/>
      <c r="C27" s="1764" t="s">
        <v>2031</v>
      </c>
      <c r="D27" s="2321"/>
      <c r="E27" s="1426"/>
      <c r="F27" s="1426"/>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2032</v>
      </c>
      <c r="B28" s="118">
        <v>200</v>
      </c>
      <c r="C28" s="2324"/>
      <c r="D28" s="2321"/>
      <c r="E28" s="1426"/>
      <c r="F28" s="1426"/>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2033</v>
      </c>
      <c r="B29" s="120">
        <f>ROUND(B28*K16/10000,0)</f>
        <v>874</v>
      </c>
      <c r="C29" s="1764" t="s">
        <v>2034</v>
      </c>
      <c r="D29" s="2321"/>
      <c r="E29" s="1426"/>
      <c r="F29" s="1426"/>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2035</v>
      </c>
      <c r="B30" s="724">
        <v>200</v>
      </c>
      <c r="C30" s="2324"/>
      <c r="D30" s="2321"/>
      <c r="E30" s="1426"/>
      <c r="F30" s="1426"/>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2036</v>
      </c>
      <c r="B31" s="119">
        <f>B30-B32</f>
        <v>200</v>
      </c>
      <c r="C31" s="1764"/>
      <c r="D31" s="2321"/>
      <c r="E31" s="1426"/>
      <c r="F31" s="1426"/>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2037</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2038</v>
      </c>
      <c r="B33" s="726">
        <v>0.03</v>
      </c>
      <c r="C33" s="1763" t="s">
        <v>2039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2040</v>
      </c>
      <c r="B34" s="121">
        <v>0</v>
      </c>
      <c r="C34" s="1763" t="s">
        <v>2041</v>
      </c>
      <c r="D34" s="2276" t="s">
        <v>2042</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2043</v>
      </c>
      <c r="B35" s="118">
        <v>200</v>
      </c>
      <c r="C35" s="1763" t="s">
        <v>2044</v>
      </c>
      <c r="D35" s="2321"/>
      <c r="E35" s="1426"/>
      <c r="F35" s="1426"/>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2045</v>
      </c>
      <c r="B36" s="122">
        <v>1.4999999999999999E-2</v>
      </c>
      <c r="C36" s="1763" t="s">
        <v>2046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2047</v>
      </c>
      <c r="B37" s="123">
        <v>0.02</v>
      </c>
      <c r="C37" s="1763" t="s">
        <v>2048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2049</v>
      </c>
      <c r="B38" s="121">
        <v>0.02</v>
      </c>
      <c r="C38" s="1763" t="s">
        <v>2048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2051</v>
      </c>
      <c r="B40" s="1299">
        <f ca="1">存贷款利率!G1</f>
        <v>4.7500000000000001E-2</v>
      </c>
      <c r="C40" s="1763" t="s">
        <v>2052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2053</v>
      </c>
      <c r="B41" s="124">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2054</v>
      </c>
      <c r="B42" s="125">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2055</v>
      </c>
      <c r="B43" s="126">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2056</v>
      </c>
      <c r="B44" s="127">
        <v>7.0000000000000007E-2</v>
      </c>
      <c r="C44" s="1763" t="s">
        <v>2057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2058</v>
      </c>
      <c r="B45" s="125">
        <v>0.03</v>
      </c>
      <c r="C45" s="1764" t="s">
        <v>2059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2060</v>
      </c>
      <c r="B46" s="125">
        <v>0.02</v>
      </c>
      <c r="C46" s="1764" t="s">
        <v>2061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2062</v>
      </c>
      <c r="B47" s="128">
        <v>0</v>
      </c>
      <c r="C47" s="1764" t="s">
        <v>2063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2064</v>
      </c>
      <c r="B48" s="129">
        <v>0.03</v>
      </c>
      <c r="C48" s="1771" t="s">
        <v>2065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2066</v>
      </c>
      <c r="B49" s="125">
        <v>5.0000000000000001E-4</v>
      </c>
      <c r="C49" s="1771" t="s">
        <v>2067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2068</v>
      </c>
      <c r="B50" s="130">
        <v>1.2E-2</v>
      </c>
      <c r="C50" s="1426"/>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2069</v>
      </c>
      <c r="B51" s="131">
        <v>0.12</v>
      </c>
      <c r="C51" s="1426"/>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2070</v>
      </c>
      <c r="B52" s="132">
        <f>SUMIF(A54:A63,B53,B54:B63)</f>
        <v>0</v>
      </c>
      <c r="C52" s="1426"/>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2071</v>
      </c>
      <c r="B53" s="2334"/>
      <c r="C53" s="1426" t="s">
        <v>2072</v>
      </c>
      <c r="D53" s="2335" t="s">
        <v>2073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2074</v>
      </c>
      <c r="B54" s="83"/>
      <c r="C54" s="1426">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2075</v>
      </c>
      <c r="B55" s="83"/>
      <c r="C55" s="1426">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2076</v>
      </c>
      <c r="B56" s="83"/>
      <c r="C56" s="1426">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2077</v>
      </c>
      <c r="B57" s="83"/>
      <c r="C57" s="1426">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2078</v>
      </c>
      <c r="B58" s="83"/>
      <c r="C58" s="1426">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2079</v>
      </c>
      <c r="B59" s="83"/>
      <c r="C59" s="1426">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2080</v>
      </c>
      <c r="B60" s="83"/>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2081</v>
      </c>
      <c r="B61" s="83"/>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2082</v>
      </c>
      <c r="B62" s="83"/>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2083</v>
      </c>
      <c r="B63" s="133"/>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39" t="s">
        <v>2084</v>
      </c>
      <c r="B1" s="3040"/>
      <c r="C1" s="3040"/>
      <c r="D1" s="3040"/>
      <c r="E1" s="3040"/>
      <c r="F1" s="3040"/>
      <c r="G1" s="304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5" t="s">
        <v>2087</v>
      </c>
      <c r="B3" s="1267" t="s">
        <v>2088</v>
      </c>
      <c r="C3" s="2368" t="s">
        <v>2089</v>
      </c>
      <c r="D3" s="2369"/>
      <c r="E3" s="431" t="s">
        <v>2087</v>
      </c>
      <c r="F3" s="2370" t="s">
        <v>2090</v>
      </c>
      <c r="G3" s="2371" t="s">
        <v>2091</v>
      </c>
      <c r="H3" s="2366"/>
      <c r="I3" s="2366"/>
      <c r="J3" s="2366"/>
      <c r="K3" s="2366"/>
      <c r="L3" s="2366"/>
      <c r="M3" s="2366"/>
      <c r="N3" s="2366"/>
      <c r="O3" s="2366"/>
      <c r="P3" s="2366"/>
      <c r="Q3" s="2366"/>
      <c r="R3" s="2366"/>
    </row>
    <row r="4" spans="1:29" ht="41.25">
      <c r="A4" s="431"/>
      <c r="B4" s="1795" t="s">
        <v>2092</v>
      </c>
      <c r="C4" s="2372" t="s">
        <v>2093</v>
      </c>
      <c r="D4" s="2369"/>
      <c r="E4" s="2373"/>
      <c r="F4" s="42" t="s">
        <v>2094</v>
      </c>
      <c r="G4" s="2374" t="s">
        <v>2095</v>
      </c>
      <c r="H4" s="2366"/>
      <c r="I4" s="2366"/>
      <c r="J4" s="2366"/>
      <c r="K4" s="2366"/>
      <c r="L4" s="2366"/>
      <c r="M4" s="2366"/>
      <c r="N4" s="2366"/>
      <c r="O4" s="2366"/>
      <c r="P4" s="2366"/>
      <c r="Q4" s="2366"/>
      <c r="R4" s="2366"/>
    </row>
    <row r="5" spans="1:29" ht="41.25">
      <c r="A5" s="431"/>
      <c r="B5" s="1795" t="s">
        <v>2096</v>
      </c>
      <c r="C5" s="2372" t="s">
        <v>2097</v>
      </c>
      <c r="D5" s="2369"/>
      <c r="E5" s="2373"/>
      <c r="F5" s="1795" t="s">
        <v>2098</v>
      </c>
      <c r="G5" s="2374" t="s">
        <v>2099</v>
      </c>
      <c r="H5" s="2366"/>
      <c r="I5" s="2366"/>
      <c r="J5" s="2366"/>
      <c r="K5" s="2366"/>
      <c r="L5" s="2366"/>
      <c r="M5" s="2366"/>
      <c r="N5" s="2366"/>
      <c r="O5" s="2366"/>
      <c r="P5" s="2366"/>
      <c r="Q5" s="2366"/>
      <c r="R5" s="2366"/>
    </row>
    <row r="6" spans="1:29" ht="54">
      <c r="A6" s="431"/>
      <c r="B6" s="1795" t="s">
        <v>2100</v>
      </c>
      <c r="C6" s="2374" t="s">
        <v>2095</v>
      </c>
      <c r="D6" s="2369"/>
      <c r="E6" s="2373"/>
      <c r="F6" s="1795" t="s">
        <v>2101</v>
      </c>
      <c r="G6" s="2374" t="s">
        <v>2102</v>
      </c>
      <c r="H6" s="2366"/>
      <c r="I6" s="2366"/>
      <c r="J6" s="2366"/>
      <c r="K6" s="2366"/>
      <c r="L6" s="2366"/>
      <c r="M6" s="2366"/>
      <c r="N6" s="2366"/>
      <c r="O6" s="2366"/>
      <c r="P6" s="2366"/>
      <c r="Q6" s="2366"/>
      <c r="R6" s="2366"/>
    </row>
    <row r="7" spans="1:29" ht="41.25" thickBot="1">
      <c r="A7" s="431"/>
      <c r="B7" s="1795"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5" t="s">
        <v>2101</v>
      </c>
      <c r="C8" s="2374" t="s">
        <v>2102</v>
      </c>
      <c r="D8" s="2375"/>
      <c r="E8" s="2375"/>
      <c r="F8" s="1132"/>
      <c r="G8" s="1132"/>
      <c r="H8" s="2366"/>
      <c r="I8" s="2366"/>
      <c r="J8" s="2366"/>
      <c r="K8" s="2366"/>
      <c r="L8" s="2366"/>
      <c r="M8" s="2366"/>
      <c r="N8" s="2366"/>
      <c r="O8" s="2366"/>
      <c r="P8" s="2366"/>
      <c r="Q8" s="2366"/>
      <c r="R8" s="2366"/>
    </row>
    <row r="9" spans="1:29" ht="27">
      <c r="A9" s="431"/>
      <c r="B9" s="1795" t="s">
        <v>2105</v>
      </c>
      <c r="C9" s="2372" t="s">
        <v>2106</v>
      </c>
      <c r="D9" s="2369"/>
      <c r="E9" s="2375"/>
      <c r="F9" s="1132"/>
      <c r="G9" s="1132"/>
      <c r="H9" s="2366"/>
      <c r="I9" s="2366"/>
      <c r="J9" s="2366"/>
      <c r="K9" s="2366"/>
      <c r="L9" s="2366"/>
      <c r="M9" s="2366"/>
      <c r="N9" s="2366"/>
      <c r="O9" s="2366"/>
      <c r="P9" s="2366"/>
      <c r="Q9" s="2366"/>
      <c r="R9" s="2366"/>
    </row>
    <row r="10" spans="1:29" s="116" customFormat="1" ht="15.75" thickBot="1">
      <c r="A10" s="2379"/>
      <c r="B10" s="2380" t="s">
        <v>2107</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7" t="s">
        <v>2111</v>
      </c>
      <c r="B15" s="1266" t="s">
        <v>2088</v>
      </c>
      <c r="C15" s="2401" t="str">
        <f>C3</f>
        <v>估价对象周边居住用地比例、居住小区规模和社区发展完善程度，综合评价居住社区成熟度一般</v>
      </c>
      <c r="D15" s="2369"/>
      <c r="E15" s="2402" t="s">
        <v>2112</v>
      </c>
      <c r="F15" s="1266" t="s">
        <v>2113</v>
      </c>
      <c r="G15" s="134" t="str">
        <f>G3</f>
        <v>估价对象位于XX开发区，园区建设成熟度XX，产业集聚程度XX</v>
      </c>
    </row>
    <row r="16" spans="1:29" ht="42.75">
      <c r="A16" s="645"/>
      <c r="B16" s="2403" t="s">
        <v>2092</v>
      </c>
      <c r="C16" s="2404" t="str">
        <f>C4</f>
        <v>估价对象位于XX商圈，周边商业氛围成熟，人流量大，商业繁华度好</v>
      </c>
      <c r="D16" s="2369"/>
      <c r="E16" s="2405"/>
      <c r="F16" s="2406" t="s">
        <v>2094</v>
      </c>
      <c r="G16" s="135" t="str">
        <f>G4</f>
        <v>估价对象周边道路状况、公共交通通达情况、停车便捷程度，综合评价交通便捷度较好</v>
      </c>
    </row>
    <row r="17" spans="1:18" ht="42.75">
      <c r="A17" s="645"/>
      <c r="B17" s="2403" t="s">
        <v>2096</v>
      </c>
      <c r="C17" s="2404" t="str">
        <f>C5</f>
        <v>估价对象位于XX商圈，周边办公楼项目较多，入驻率高，办公集聚程度较好</v>
      </c>
      <c r="D17" s="2375"/>
      <c r="E17" s="2405"/>
      <c r="F17" s="2406" t="s">
        <v>2114</v>
      </c>
      <c r="G17" s="1569"/>
    </row>
    <row r="18" spans="1:18" ht="57">
      <c r="A18" s="645"/>
      <c r="B18" s="2406" t="s">
        <v>2100</v>
      </c>
      <c r="C18" s="135" t="str">
        <f>C6</f>
        <v>估价对象周边道路状况、公共交通通达情况、停车便捷程度，综合评价交通便捷度较好</v>
      </c>
      <c r="D18" s="2375"/>
      <c r="E18" s="2405"/>
      <c r="F18" s="2406" t="s">
        <v>2103</v>
      </c>
      <c r="G18" s="135" t="str">
        <f>G7</f>
        <v>该园区内是否有污染型企业，绿化情况，卫生条件，整体环境状况判断</v>
      </c>
    </row>
    <row r="19" spans="1:18" ht="28.5">
      <c r="A19" s="645"/>
      <c r="B19" s="2406" t="s">
        <v>2115</v>
      </c>
      <c r="C19" s="1569"/>
      <c r="D19" s="2369"/>
      <c r="E19" s="2405"/>
      <c r="F19" s="1795" t="s">
        <v>2098</v>
      </c>
      <c r="G19" s="135" t="str">
        <f>G5</f>
        <v>估价对象所在区域公共配套设施齐备情况</v>
      </c>
    </row>
    <row r="20" spans="1:18" ht="28.5">
      <c r="A20" s="645"/>
      <c r="B20" s="2406" t="s">
        <v>2116</v>
      </c>
      <c r="C20" s="2404" t="str">
        <f>C9</f>
        <v>区域自然环境：；人文环境；综合评价环境状况一般</v>
      </c>
      <c r="D20" s="2375"/>
      <c r="E20" s="2405"/>
      <c r="F20" s="1795" t="s">
        <v>2117</v>
      </c>
      <c r="G20" s="135" t="str">
        <f>G6</f>
        <v>估价对象所在区域基础设施水平</v>
      </c>
    </row>
    <row r="21" spans="1:18" ht="28.5">
      <c r="A21" s="645"/>
      <c r="B21" s="1795" t="s">
        <v>2098</v>
      </c>
      <c r="C21" s="135" t="str">
        <f>C7</f>
        <v>估价对象所在区域公共配套设施齐备情况</v>
      </c>
      <c r="D21" s="2369"/>
      <c r="E21" s="2405"/>
      <c r="F21" s="2406" t="s">
        <v>2118</v>
      </c>
      <c r="G21" s="2407"/>
    </row>
    <row r="22" spans="1:18" ht="13.5" customHeight="1">
      <c r="A22" s="645"/>
      <c r="B22" s="1795" t="s">
        <v>2101</v>
      </c>
      <c r="C22" s="135" t="str">
        <f>C8</f>
        <v>估价对象所在区域基础设施水平</v>
      </c>
      <c r="D22" s="2369"/>
      <c r="E22" s="2405"/>
      <c r="F22" s="2406" t="s">
        <v>2107</v>
      </c>
      <c r="G22" s="1569"/>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8" customWidth="1"/>
    <col min="2" max="9" width="15.75" style="1738" customWidth="1"/>
    <col min="10" max="16384" width="9" style="1738"/>
  </cols>
  <sheetData>
    <row r="1" spans="1:10" ht="16.5">
      <c r="A1" s="1743" t="s">
        <v>1366</v>
      </c>
      <c r="B1" s="1743">
        <f>SUM(B14:B23)</f>
        <v>43696.250000000007</v>
      </c>
      <c r="C1" s="1742"/>
      <c r="D1" s="1742"/>
      <c r="E1" s="1742"/>
      <c r="F1" s="1742"/>
      <c r="G1" s="1740"/>
    </row>
    <row r="2" spans="1:10" ht="16.5">
      <c r="A2" s="1743" t="s">
        <v>1354</v>
      </c>
      <c r="B2" s="1743">
        <f>SUM(C14:C23)</f>
        <v>0</v>
      </c>
      <c r="C2" s="1742"/>
      <c r="D2" s="1742"/>
      <c r="E2" s="1742"/>
      <c r="F2" s="1742"/>
      <c r="G2" s="1740"/>
    </row>
    <row r="3" spans="1:10" ht="16.5">
      <c r="A3" s="1743" t="s">
        <v>1363</v>
      </c>
      <c r="B3" s="1744">
        <f>项目基本情况!D3</f>
        <v>43039</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44104</v>
      </c>
      <c r="C5" s="1743">
        <f ca="1">ROUND(B5*10000/$B$1,0)</f>
        <v>10093</v>
      </c>
      <c r="D5" s="1743" t="e">
        <f ca="1">ROUND(B5*10000/$B$2,0)</f>
        <v>#DIV/0!</v>
      </c>
      <c r="E5" s="1742"/>
      <c r="F5" s="1740"/>
      <c r="G5" s="1740"/>
    </row>
    <row r="6" spans="1:10" ht="16.5">
      <c r="A6" s="1743" t="s">
        <v>1357</v>
      </c>
      <c r="B6" s="1743">
        <f ca="1">SUM(G14:G23)</f>
        <v>44104</v>
      </c>
      <c r="C6" s="1743">
        <f ca="1">ROUND(B6*10000/$B$1,0)</f>
        <v>10093</v>
      </c>
      <c r="D6" s="1743" t="e">
        <f ca="1">ROUND(B6*10000/$B$2,0)</f>
        <v>#DIV/0!</v>
      </c>
      <c r="E6" s="1742"/>
      <c r="F6" s="1740"/>
      <c r="G6" s="1740"/>
    </row>
    <row r="7" spans="1:10" ht="16.5">
      <c r="A7" s="1743" t="s">
        <v>1365</v>
      </c>
      <c r="B7" s="1743">
        <f>SUM(H14:H23)</f>
        <v>0</v>
      </c>
      <c r="C7" s="1743">
        <f>ROUND(B7*10000/$B$1,0)</f>
        <v>0</v>
      </c>
      <c r="D7" s="1743" t="e">
        <f>ROUND(B7*10000/$B$2,0)</f>
        <v>#DIV/0!</v>
      </c>
      <c r="E7" s="1742"/>
      <c r="F7" s="1740"/>
      <c r="G7" s="1740"/>
    </row>
    <row r="8" spans="1:10" ht="16.5">
      <c r="A8" s="1743" t="s">
        <v>1286</v>
      </c>
      <c r="B8" s="1743">
        <f>SUM(I14:I23)</f>
        <v>0</v>
      </c>
      <c r="C8" s="1743">
        <f>ROUND(B8*10000/$B$1,0)</f>
        <v>0</v>
      </c>
      <c r="D8" s="1743" t="e">
        <f>ROUND(B8*10000/$B$2,0)</f>
        <v>#DIV/0!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'数据-汇总表'!E3</f>
        <v>43696.250000000007</v>
      </c>
      <c r="C14" s="1741">
        <f>'数据-汇总表'!D3</f>
        <v>0</v>
      </c>
      <c r="D14" s="1741">
        <f ca="1">结果表!H118</f>
        <v>44104</v>
      </c>
      <c r="E14" s="1741">
        <f ca="1">ROUND(D14*10000/B14,0)</f>
        <v>10093</v>
      </c>
      <c r="F14" s="1741" t="e">
        <f ca="1">ROUND(D14*10000/C14,0)</f>
        <v>#DIV/0!</v>
      </c>
      <c r="G14" s="1741">
        <f ca="1">结果表!D122</f>
        <v>44104</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8" t="s">
        <v>3053</v>
      </c>
      <c r="H1" s="2420" t="str">
        <f>IF(G1="现房","——","估价对象范围")</f>
        <v>——</v>
      </c>
      <c r="I1" s="2421"/>
    </row>
    <row r="2" spans="1:12" ht="21.75" customHeight="1" thickBot="1">
      <c r="A2" s="3113" t="str">
        <f>项目基本情况!S2</f>
        <v>北京市房地产</v>
      </c>
      <c r="B2" s="3114"/>
      <c r="C2" s="3114"/>
      <c r="D2" s="3114"/>
      <c r="E2" s="3114"/>
      <c r="F2" s="3114"/>
      <c r="G2" s="3114"/>
      <c r="H2" s="3114"/>
      <c r="I2" s="3115"/>
    </row>
    <row r="3" spans="1:12" ht="12.75">
      <c r="A3" s="3116" t="s">
        <v>2123</v>
      </c>
      <c r="B3" s="3117"/>
      <c r="C3" s="3117"/>
      <c r="D3" s="3117"/>
      <c r="E3" s="3117"/>
      <c r="F3" s="3117"/>
      <c r="G3" s="3117"/>
      <c r="H3" s="3117"/>
      <c r="I3" s="3117"/>
    </row>
    <row r="4" spans="1:12" ht="14.25">
      <c r="A4" s="2424" t="s">
        <v>2124</v>
      </c>
      <c r="B4" s="2425" t="s">
        <v>2125</v>
      </c>
      <c r="C4" s="2426" t="s">
        <v>3084</v>
      </c>
      <c r="D4" s="2426" t="s">
        <v>3098</v>
      </c>
      <c r="E4" s="3097" t="s">
        <v>2126</v>
      </c>
      <c r="F4" s="3110"/>
      <c r="G4" s="3110"/>
      <c r="H4" s="3110"/>
      <c r="I4" s="30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2127</v>
      </c>
      <c r="B5" s="3014">
        <v>25</v>
      </c>
      <c r="C5" s="3118"/>
      <c r="D5" s="3106"/>
      <c r="E5" s="139" t="s">
        <v>2128</v>
      </c>
      <c r="F5" s="2428"/>
      <c r="G5" s="2428"/>
      <c r="H5" s="2428"/>
      <c r="I5" s="1831"/>
    </row>
    <row r="6" spans="1:12" ht="12.75">
      <c r="A6" s="3088"/>
      <c r="B6" s="3014"/>
      <c r="C6" s="3120"/>
      <c r="D6" s="3106"/>
      <c r="E6" s="139" t="s">
        <v>2129</v>
      </c>
      <c r="F6" s="2428"/>
      <c r="G6" s="2428"/>
      <c r="H6" s="2428"/>
      <c r="I6" s="1831"/>
    </row>
    <row r="7" spans="1:12" ht="12.75">
      <c r="A7" s="3088"/>
      <c r="B7" s="3014"/>
      <c r="C7" s="3119"/>
      <c r="D7" s="3106"/>
      <c r="E7" s="139" t="s">
        <v>2130</v>
      </c>
      <c r="F7" s="2428"/>
      <c r="G7" s="2428"/>
      <c r="H7" s="2428"/>
      <c r="I7" s="1831"/>
    </row>
    <row r="8" spans="1:12" ht="12.75">
      <c r="A8" s="3088" t="s">
        <v>2131</v>
      </c>
      <c r="B8" s="3014">
        <v>15</v>
      </c>
      <c r="C8" s="3118"/>
      <c r="D8" s="3106"/>
      <c r="E8" s="139" t="s">
        <v>2132</v>
      </c>
      <c r="F8" s="2428"/>
      <c r="G8" s="2428"/>
      <c r="H8" s="2428"/>
      <c r="I8" s="1831"/>
    </row>
    <row r="9" spans="1:12" ht="12.75">
      <c r="A9" s="3088"/>
      <c r="B9" s="3014"/>
      <c r="C9" s="3119"/>
      <c r="D9" s="3106"/>
      <c r="E9" s="139" t="s">
        <v>2133</v>
      </c>
      <c r="F9" s="2428"/>
      <c r="G9" s="2428"/>
      <c r="H9" s="2428"/>
      <c r="I9" s="1831"/>
    </row>
    <row r="10" spans="1:12" ht="12.75">
      <c r="A10" s="3088" t="s">
        <v>2134</v>
      </c>
      <c r="B10" s="3014">
        <v>15</v>
      </c>
      <c r="C10" s="3118"/>
      <c r="D10" s="3106"/>
      <c r="E10" s="139" t="s">
        <v>2135</v>
      </c>
      <c r="F10" s="2428"/>
      <c r="G10" s="2428"/>
      <c r="H10" s="2428"/>
      <c r="I10" s="1831"/>
    </row>
    <row r="11" spans="1:12" ht="12.75">
      <c r="A11" s="3088"/>
      <c r="B11" s="3014"/>
      <c r="C11" s="3119"/>
      <c r="D11" s="3106"/>
      <c r="E11" s="139" t="s">
        <v>2136</v>
      </c>
      <c r="F11" s="2428"/>
      <c r="G11" s="2428"/>
      <c r="H11" s="2428"/>
      <c r="I11" s="1831"/>
    </row>
    <row r="12" spans="1:12" ht="12.75">
      <c r="A12" s="3088" t="s">
        <v>2137</v>
      </c>
      <c r="B12" s="3014">
        <v>15</v>
      </c>
      <c r="C12" s="3118"/>
      <c r="D12" s="3106"/>
      <c r="E12" s="139" t="s">
        <v>2138</v>
      </c>
      <c r="F12" s="2428"/>
      <c r="G12" s="2428"/>
      <c r="H12" s="2428"/>
      <c r="I12" s="1831"/>
    </row>
    <row r="13" spans="1:12" ht="12.75">
      <c r="A13" s="3088"/>
      <c r="B13" s="3014"/>
      <c r="C13" s="3119"/>
      <c r="D13" s="3106"/>
      <c r="E13" s="139" t="s">
        <v>2139</v>
      </c>
      <c r="F13" s="2428"/>
      <c r="G13" s="2428"/>
      <c r="H13" s="2428"/>
      <c r="I13" s="1831"/>
    </row>
    <row r="14" spans="1:12" ht="12.75">
      <c r="A14" s="3088" t="s">
        <v>2140</v>
      </c>
      <c r="B14" s="3014">
        <v>30</v>
      </c>
      <c r="C14" s="3118">
        <v>0</v>
      </c>
      <c r="D14" s="3106">
        <v>1</v>
      </c>
      <c r="E14" s="139" t="s">
        <v>2141</v>
      </c>
      <c r="F14" s="2428"/>
      <c r="G14" s="2428"/>
      <c r="H14" s="2428"/>
      <c r="I14" s="1831"/>
    </row>
    <row r="15" spans="1:12" ht="12.75">
      <c r="A15" s="3088"/>
      <c r="B15" s="3014"/>
      <c r="C15" s="3120"/>
      <c r="D15" s="3106"/>
      <c r="E15" s="139" t="s">
        <v>2142</v>
      </c>
      <c r="F15" s="2428"/>
      <c r="G15" s="2428"/>
      <c r="H15" s="2428"/>
      <c r="I15" s="1831"/>
    </row>
    <row r="16" spans="1:12" ht="12.75">
      <c r="A16" s="3088"/>
      <c r="B16" s="3014"/>
      <c r="C16" s="3119"/>
      <c r="D16" s="3106"/>
      <c r="E16" s="139" t="s">
        <v>2143</v>
      </c>
      <c r="F16" s="2428"/>
      <c r="G16" s="2428"/>
      <c r="H16" s="2428"/>
      <c r="I16" s="1831"/>
    </row>
    <row r="17" spans="1:35" ht="15">
      <c r="A17" s="2429" t="s">
        <v>2144</v>
      </c>
      <c r="B17" s="63"/>
      <c r="C17" s="140">
        <f>SUM(C5:C16)</f>
        <v>0</v>
      </c>
      <c r="D17" s="140">
        <f>SUM(D5:D16)</f>
        <v>1</v>
      </c>
      <c r="E17" s="137"/>
      <c r="F17" s="137"/>
      <c r="G17" s="137"/>
      <c r="H17" s="137"/>
      <c r="I17" s="137"/>
      <c r="K17" s="2427"/>
      <c r="L17" s="2430" t="s">
        <v>2145</v>
      </c>
      <c r="M17" s="2430" t="s">
        <v>2146</v>
      </c>
    </row>
    <row r="18" spans="1:35" ht="15.75" thickBot="1">
      <c r="A18" s="2431" t="s">
        <v>2147</v>
      </c>
      <c r="B18" s="2432"/>
      <c r="C18" s="141">
        <f>ROUND(C17/SUM(C17:D17),2)</f>
        <v>0</v>
      </c>
      <c r="D18" s="141">
        <f>1-C18</f>
        <v>1</v>
      </c>
      <c r="E18" s="137"/>
      <c r="F18" s="137"/>
      <c r="G18" s="137"/>
      <c r="H18" s="137"/>
      <c r="I18" s="137"/>
      <c r="K18" s="2427" t="s">
        <v>2148</v>
      </c>
      <c r="L18" s="2427">
        <f>IF(C1="",'数据-汇总表'!E3,SUMIF(项目类型,C1,'数据-汇总表'!E17:E26)+SUMIF(项目类型,C1,'数据-汇总表'!I17:I26))</f>
        <v>43696.250000000007</v>
      </c>
      <c r="M18" s="2427">
        <f>IF(C1="",'数据-汇总表'!E3,SUMIF(项目类型,C1,'数据-汇总表'!E17:E26))</f>
        <v>43696.250000000007</v>
      </c>
    </row>
    <row r="19" spans="1:35" ht="15">
      <c r="A19" s="2433" t="s">
        <v>2149</v>
      </c>
      <c r="B19" s="2434" t="s">
        <v>2150</v>
      </c>
      <c r="C19" s="142">
        <f ca="1">SUMIF(INDIRECT("'"&amp;C4&amp;"'"&amp;"!A:A"),结果表!B19,INDIRECT("'"&amp;C4&amp;"'"&amp;"!B:B"))</f>
        <v>71651</v>
      </c>
      <c r="D19" s="143">
        <f ca="1">SUMIF(INDIRECT("'"&amp;D4&amp;"'"&amp;"!A:A"),结果表!B19,INDIRECT("'"&amp;D4&amp;"'"&amp;"!B:B"))</f>
        <v>44104</v>
      </c>
      <c r="E19" s="2433" t="s">
        <v>2151</v>
      </c>
      <c r="F19" s="2434" t="s">
        <v>2150</v>
      </c>
      <c r="G19" s="144">
        <f ca="1">ROUND(C19*$C$18+D19*$D$18,0)</f>
        <v>44104</v>
      </c>
      <c r="H19" s="2435" t="s">
        <v>2152</v>
      </c>
      <c r="I19" s="137"/>
      <c r="K19" s="2427" t="s">
        <v>2153</v>
      </c>
      <c r="L19" s="2427">
        <f>IF(C1="",'数据-汇总表'!D3,SUMIF(项目类型,C1,'数据-汇总表'!D17:D26)+SUMIF(项目类型,C1,'数据-汇总表'!H17:H27))</f>
        <v>0</v>
      </c>
      <c r="M19" s="2427">
        <f>IF(C1="",'数据-汇总表'!D3,SUMIF(项目类型,C1,'数据-汇总表'!D17:D26))</f>
        <v>0</v>
      </c>
    </row>
    <row r="20" spans="1:35" ht="15">
      <c r="A20" s="2436"/>
      <c r="B20" s="1246" t="s">
        <v>2154</v>
      </c>
      <c r="C20" s="145">
        <f ca="1">SUMIF(INDIRECT("'"&amp;C4&amp;"'"&amp;"!A:A"),结果表!B20,INDIRECT("'"&amp;C4&amp;"'"&amp;"!B:B"))</f>
        <v>16398</v>
      </c>
      <c r="D20" s="146">
        <f ca="1">SUMIF(INDIRECT("'"&amp;D4&amp;"'"&amp;"!A:A"),结果表!B20,INDIRECT("'"&amp;D4&amp;"'"&amp;"!B:B"))</f>
        <v>10093</v>
      </c>
      <c r="E20" s="2436"/>
      <c r="F20" s="1246" t="s">
        <v>2154</v>
      </c>
      <c r="G20" s="147">
        <f ca="1">ROUND(C20*$C$18+D20*$D$18,0)</f>
        <v>10093</v>
      </c>
      <c r="H20" s="979" t="s">
        <v>2155</v>
      </c>
      <c r="I20" s="137"/>
    </row>
    <row r="21" spans="1:35" ht="15" customHeight="1" thickBot="1">
      <c r="A21" s="999"/>
      <c r="B21" s="2437" t="s">
        <v>2156</v>
      </c>
      <c r="C21" s="789" t="e">
        <f ca="1">ROUND(C19*10000/L19,0)</f>
        <v>#DIV/0!</v>
      </c>
      <c r="D21" s="790" t="e">
        <f ca="1">ROUND(D19*10000/L19,0)</f>
        <v>#DIV/0!</v>
      </c>
      <c r="E21" s="999"/>
      <c r="F21" s="2437" t="s">
        <v>2156</v>
      </c>
      <c r="G21" s="148" t="e">
        <f ca="1">ROUND(G19*10000/L19,0)</f>
        <v>#DIV/0!</v>
      </c>
      <c r="H21" s="2438" t="s">
        <v>2155</v>
      </c>
      <c r="I21" s="137"/>
    </row>
    <row r="22" spans="1:35" ht="15" thickBot="1">
      <c r="A22" s="2279" t="s">
        <v>2157</v>
      </c>
      <c r="B22" s="2439"/>
      <c r="C22" s="2440"/>
      <c r="D22" s="791">
        <f ca="1">IF(C19&lt;D19,D19/C19-1,C19/D19-1)</f>
        <v>0.62459187375294767</v>
      </c>
      <c r="E22" s="137"/>
      <c r="F22" s="137"/>
      <c r="G22" s="137"/>
      <c r="H22" s="137"/>
      <c r="I22" s="137"/>
    </row>
    <row r="23" spans="1:35" ht="13.5" thickBot="1">
      <c r="A23" s="2417"/>
      <c r="B23" s="2417"/>
      <c r="C23" s="2417"/>
      <c r="D23" s="2417"/>
      <c r="E23" s="137"/>
      <c r="F23" s="137"/>
      <c r="G23" s="137"/>
      <c r="H23" s="137"/>
      <c r="I23" s="137"/>
    </row>
    <row r="24" spans="1:35" ht="14.25">
      <c r="A24" s="3127" t="s">
        <v>2158</v>
      </c>
      <c r="B24" s="2434" t="s">
        <v>2150</v>
      </c>
      <c r="C24" s="144">
        <f>IF(B30=0,0,D30)</f>
        <v>0</v>
      </c>
      <c r="D24" s="2441"/>
      <c r="E24" s="137"/>
      <c r="F24" s="137"/>
      <c r="G24" s="137"/>
      <c r="H24" s="137"/>
      <c r="I24" s="137"/>
    </row>
    <row r="25" spans="1:35" ht="14.25">
      <c r="A25" s="3128"/>
      <c r="B25" s="1246" t="s">
        <v>2154</v>
      </c>
      <c r="C25" s="149">
        <f>IF(B30=0,0,C30)</f>
        <v>0</v>
      </c>
      <c r="D25" s="2442"/>
      <c r="E25" s="137"/>
      <c r="F25" s="137"/>
      <c r="G25" s="137"/>
      <c r="H25" s="137"/>
      <c r="I25" s="137"/>
    </row>
    <row r="26" spans="1:35" ht="13.5" customHeight="1">
      <c r="A26" s="2443" t="s">
        <v>2159</v>
      </c>
      <c r="B26" s="150" t="s">
        <v>2160</v>
      </c>
      <c r="C26" s="150" t="s">
        <v>2161</v>
      </c>
      <c r="D26" s="151" t="s">
        <v>2162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5" customFormat="1" ht="15" thickBot="1">
      <c r="A31" s="2444"/>
      <c r="B31" s="2444"/>
      <c r="C31" s="2444"/>
      <c r="D31" s="2444"/>
      <c r="E31" s="137"/>
      <c r="F31" s="137"/>
      <c r="G31" s="137"/>
      <c r="H31" s="137"/>
      <c r="I31" s="137"/>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44104</v>
      </c>
      <c r="D32" s="2448" t="s">
        <v>2165</v>
      </c>
      <c r="E32" s="137"/>
      <c r="F32" s="137"/>
      <c r="G32" s="137"/>
      <c r="H32" s="137"/>
      <c r="I32" s="137"/>
    </row>
    <row r="33" spans="1:15" ht="15">
      <c r="A33" s="956" t="s">
        <v>2166</v>
      </c>
      <c r="B33" s="2449"/>
      <c r="C33" s="2450" t="s">
        <v>3103</v>
      </c>
      <c r="D33" s="2451" t="s">
        <v>3084</v>
      </c>
      <c r="E33" s="2452" t="s">
        <v>2167</v>
      </c>
      <c r="F33" s="2453" t="str">
        <f>IF(D32="楼面单价","取值（单价）","取值（总价）")</f>
        <v>取值（总价）</v>
      </c>
      <c r="G33" s="137"/>
      <c r="H33" s="137"/>
      <c r="I33" s="137"/>
    </row>
    <row r="34" spans="1:15" ht="15">
      <c r="A34" s="2454"/>
      <c r="B34" s="2455" t="s">
        <v>2168</v>
      </c>
      <c r="C34" s="157">
        <f ca="1">IF(C33="自定义",F34,C32-C35)</f>
        <v>34313</v>
      </c>
      <c r="D34" s="1054">
        <f ca="1">IF(C33="自定义",ROUND(C34/C32,3),IF(C33="收益比率",SUMIF(INDIRECT("'"&amp;D33&amp;"'"&amp;"!b:b"),"土地收益比率",INDIRECT("'"&amp;D33&amp;"'"&amp;"!c:c")),SUMIF(INDIRECT("'"&amp;D33&amp;"'"&amp;"!b:b"),"土地成本比率",INDIRECT("'"&amp;D33&amp;"'"&amp;"!c:c"))))</f>
        <v>0.77800000000000002</v>
      </c>
      <c r="E34" s="2456" t="s">
        <v>2169</v>
      </c>
      <c r="F34" s="1736"/>
      <c r="G34" s="137"/>
      <c r="H34" s="137"/>
      <c r="I34" s="137"/>
    </row>
    <row r="35" spans="1:15" ht="15.75" thickBot="1">
      <c r="A35" s="2457"/>
      <c r="B35" s="2458" t="s">
        <v>2170</v>
      </c>
      <c r="C35" s="1440">
        <f ca="1">IF(C33="自定义",F35,ROUND(C32*D35,0))</f>
        <v>9791</v>
      </c>
      <c r="D35" s="1441">
        <f ca="1">IF(C33="自定义",ROUND(C35/C32,3),IF(C33="收益比率",SUMIF(INDIRECT("'"&amp;D33&amp;"'"&amp;"!b:b"),"建筑物收益比率",INDIRECT("'"&amp;D33&amp;"'"&amp;"!c:c")),SUMIF(INDIRECT("'"&amp;D33&amp;"'"&amp;"!b:b"),"建筑物成本比率",INDIRECT("'"&amp;D33&amp;"'"&amp;"!c:c"))))</f>
        <v>0.222</v>
      </c>
      <c r="E35" s="2459" t="s">
        <v>2171</v>
      </c>
      <c r="F35" s="163"/>
      <c r="G35" s="137"/>
      <c r="H35" s="137"/>
      <c r="I35" s="137"/>
    </row>
    <row r="36" spans="1:15" ht="15.75" thickBot="1">
      <c r="A36" s="3107" t="s">
        <v>2172</v>
      </c>
      <c r="B36" s="2460" t="s">
        <v>2173</v>
      </c>
      <c r="C36" s="154"/>
      <c r="D36" s="2461"/>
      <c r="E36" s="2462"/>
      <c r="F36" s="2463"/>
      <c r="G36" s="137"/>
      <c r="H36" s="137"/>
      <c r="I36" s="137"/>
    </row>
    <row r="37" spans="1:15" ht="15.75" thickBot="1">
      <c r="A37" s="3108"/>
      <c r="B37" s="2265" t="s">
        <v>2174</v>
      </c>
      <c r="C37" s="156"/>
      <c r="D37" s="1391"/>
      <c r="E37" s="1391"/>
      <c r="F37" s="2463"/>
      <c r="G37" s="137"/>
      <c r="H37" s="137"/>
      <c r="I37" s="137"/>
    </row>
    <row r="38" spans="1:15" ht="15.75" thickBot="1">
      <c r="A38" s="3109"/>
      <c r="B38" s="2464" t="s">
        <v>2175</v>
      </c>
      <c r="C38" s="727"/>
      <c r="D38" s="2465" t="s">
        <v>2176</v>
      </c>
      <c r="E38" s="1391"/>
      <c r="F38" s="2463"/>
      <c r="G38" s="137"/>
      <c r="H38" s="137"/>
      <c r="I38" s="137"/>
    </row>
    <row r="39" spans="1:15" ht="15">
      <c r="A39" s="2436" t="s">
        <v>2177</v>
      </c>
      <c r="B39" s="2466" t="s">
        <v>2178</v>
      </c>
      <c r="C39" s="2467" t="s">
        <v>2179</v>
      </c>
      <c r="D39" s="2467" t="s">
        <v>2180</v>
      </c>
      <c r="E39" s="2468" t="s">
        <v>2181</v>
      </c>
      <c r="F39" s="2463"/>
      <c r="G39" s="137"/>
      <c r="H39" s="137"/>
      <c r="I39" s="137"/>
    </row>
    <row r="40" spans="1:15" ht="14.25">
      <c r="A40" s="2469" t="s">
        <v>2182</v>
      </c>
      <c r="B40" s="158"/>
      <c r="C40" s="159"/>
      <c r="D40" s="159"/>
      <c r="E40" s="160"/>
      <c r="F40" s="2463"/>
      <c r="G40" s="137"/>
      <c r="H40" s="137"/>
      <c r="I40" s="137"/>
    </row>
    <row r="41" spans="1:15" ht="14.25">
      <c r="A41" s="2469" t="s">
        <v>2183</v>
      </c>
      <c r="B41" s="158"/>
      <c r="C41" s="159"/>
      <c r="D41" s="159"/>
      <c r="E41" s="160"/>
      <c r="F41" s="2463"/>
      <c r="G41" s="137"/>
      <c r="H41" s="137"/>
      <c r="I41" s="137"/>
    </row>
    <row r="42" spans="1:15" ht="15" thickBot="1">
      <c r="A42" s="2470"/>
      <c r="B42" s="161"/>
      <c r="C42" s="162"/>
      <c r="D42" s="162"/>
      <c r="E42" s="163"/>
      <c r="F42" s="2463"/>
      <c r="G42" s="137"/>
      <c r="H42" s="137"/>
      <c r="I42" s="137"/>
    </row>
    <row r="43" spans="1:15" ht="12.75" hidden="1">
      <c r="A43" s="2163"/>
      <c r="B43" s="2163"/>
      <c r="C43" s="2163"/>
      <c r="D43" s="2163"/>
      <c r="E43" s="2163"/>
      <c r="F43" s="2471"/>
      <c r="G43" s="2471"/>
      <c r="H43" s="2471"/>
      <c r="I43" s="2472"/>
    </row>
    <row r="44" spans="1:15" ht="18.75" hidden="1">
      <c r="A44" s="2473" t="s">
        <v>2184</v>
      </c>
      <c r="B44" s="2474"/>
      <c r="C44" s="2474"/>
      <c r="D44" s="2475"/>
      <c r="E44" s="2475"/>
      <c r="F44" s="2476"/>
      <c r="G44" s="2476"/>
      <c r="H44" s="2476"/>
      <c r="I44" s="2476"/>
      <c r="J44" s="2477" t="s">
        <v>2185</v>
      </c>
      <c r="K44" s="2478"/>
      <c r="L44" s="2478"/>
      <c r="M44" s="2478"/>
      <c r="N44" s="2478"/>
      <c r="O44" s="2478"/>
    </row>
    <row r="45" spans="1:15" ht="14.25" hidden="1" customHeight="1" thickBot="1">
      <c r="A45" s="3124" t="s">
        <v>2186</v>
      </c>
      <c r="B45" s="3125"/>
      <c r="C45" s="3126"/>
      <c r="D45" s="164">
        <f ca="1">ROUND(H101*F45,0)</f>
        <v>44104</v>
      </c>
      <c r="E45" s="165" t="s">
        <v>2187</v>
      </c>
      <c r="F45" s="166">
        <v>1</v>
      </c>
      <c r="G45" s="167" t="s">
        <v>2188</v>
      </c>
      <c r="H45" s="137"/>
      <c r="I45" s="137"/>
      <c r="J45" s="3043" t="s">
        <v>2189</v>
      </c>
      <c r="K45" s="3043"/>
      <c r="L45" s="3043"/>
      <c r="M45" s="3043"/>
      <c r="N45" s="3043"/>
      <c r="O45" s="3043"/>
    </row>
    <row r="46" spans="1:15" ht="14.25" hidden="1" customHeight="1">
      <c r="A46" s="3121" t="s">
        <v>2190</v>
      </c>
      <c r="B46" s="3122"/>
      <c r="C46" s="3122"/>
      <c r="D46" s="3122"/>
      <c r="E46" s="3122"/>
      <c r="F46" s="3122"/>
      <c r="G46" s="3123"/>
      <c r="H46" s="2479"/>
      <c r="I46" s="168"/>
      <c r="J46" s="1809">
        <v>1</v>
      </c>
      <c r="K46" s="3043" t="s">
        <v>2191</v>
      </c>
      <c r="L46" s="3043"/>
      <c r="M46" s="3044"/>
      <c r="N46" s="3044"/>
      <c r="O46" s="3044"/>
    </row>
    <row r="47" spans="1:15" ht="12" hidden="1" customHeight="1">
      <c r="A47" s="169" t="s">
        <v>2192</v>
      </c>
      <c r="B47" s="170"/>
      <c r="C47" s="171"/>
      <c r="D47" s="172" t="s">
        <v>2193</v>
      </c>
      <c r="E47" s="24" t="s">
        <v>2194</v>
      </c>
      <c r="F47" s="173" t="s">
        <v>2195</v>
      </c>
      <c r="G47" s="174" t="s">
        <v>2196</v>
      </c>
      <c r="H47" s="2479"/>
      <c r="I47" s="168"/>
      <c r="J47" s="1809">
        <v>2</v>
      </c>
      <c r="K47" s="3043" t="s">
        <v>2197</v>
      </c>
      <c r="L47" s="3043"/>
      <c r="M47" s="3045">
        <f>'数据-取费表'!B2</f>
        <v>43039</v>
      </c>
      <c r="N47" s="3045"/>
      <c r="O47" s="3045"/>
    </row>
    <row r="48" spans="1:15" ht="25.5" hidden="1">
      <c r="A48" s="3111" t="s">
        <v>2198</v>
      </c>
      <c r="B48" s="3112"/>
      <c r="C48" s="3112"/>
      <c r="D48" s="139">
        <f>IF(H48="情况1",0,IF(H48="情况2",D52,IF(H48="情况3",D53,IF(H48="情况4",D54))))</f>
        <v>0</v>
      </c>
      <c r="E48" s="1798" t="str">
        <f>IF(H48="情况4","(销售额-原购置价)×税（费）率","销售额×税（费）率")</f>
        <v>销售额×税（费）率</v>
      </c>
      <c r="F48" s="175" t="str">
        <f>IF(H48="情况1","免征",'数据-取费表'!B41)</f>
        <v>免征</v>
      </c>
      <c r="G48" s="2480" t="s">
        <v>2199</v>
      </c>
      <c r="H48" s="2481" t="s">
        <v>2200</v>
      </c>
      <c r="I48" s="2479"/>
      <c r="J48" s="1809">
        <v>3</v>
      </c>
      <c r="K48" s="3043" t="s">
        <v>2201</v>
      </c>
      <c r="L48" s="3043"/>
      <c r="M48" s="3046">
        <f ca="1">H101</f>
        <v>44104</v>
      </c>
      <c r="N48" s="3046"/>
      <c r="O48" s="3046"/>
    </row>
    <row r="49" spans="1:35" ht="25.5" hidden="1" customHeight="1">
      <c r="A49" s="176" t="s">
        <v>2202</v>
      </c>
      <c r="B49" s="3091" t="s">
        <v>2203</v>
      </c>
      <c r="C49" s="3091"/>
      <c r="D49" s="177">
        <v>0</v>
      </c>
      <c r="E49" s="23" t="s">
        <v>2204</v>
      </c>
      <c r="F49" s="28" t="s">
        <v>34</v>
      </c>
      <c r="G49" s="3072"/>
      <c r="H49" s="137"/>
      <c r="I49" s="2482"/>
      <c r="J49" s="1809">
        <v>4</v>
      </c>
      <c r="K49" s="3043" t="str">
        <f>IF(项目基本情况!E8="房地产抵押价值","房地产抵押价值","抵押担保权已注销时的房地产抵押价值")</f>
        <v>抵押担保权已注销时的房地产抵押价值</v>
      </c>
      <c r="L49" s="3043"/>
      <c r="M49" s="3046" t="str">
        <f>IF(项目基本情况!E8="房地产抵押价值",H107,H109)</f>
        <v>——</v>
      </c>
      <c r="N49" s="3046"/>
      <c r="O49" s="3046"/>
    </row>
    <row r="50" spans="1:35" ht="25.5" hidden="1" customHeight="1">
      <c r="A50" s="178"/>
      <c r="B50" s="3091" t="s">
        <v>2205</v>
      </c>
      <c r="C50" s="3091"/>
      <c r="D50" s="179"/>
      <c r="E50" s="31"/>
      <c r="F50" s="180"/>
      <c r="G50" s="3073"/>
      <c r="H50" s="137"/>
      <c r="I50" s="2482"/>
      <c r="J50" s="3043" t="s">
        <v>2206</v>
      </c>
      <c r="K50" s="3043"/>
      <c r="L50" s="3043"/>
      <c r="M50" s="3043"/>
      <c r="N50" s="3043"/>
      <c r="O50" s="3043"/>
    </row>
    <row r="51" spans="1:35" ht="12" hidden="1" customHeight="1">
      <c r="A51" s="181"/>
      <c r="B51" s="3091" t="s">
        <v>2207</v>
      </c>
      <c r="C51" s="3091"/>
      <c r="D51" s="182"/>
      <c r="E51" s="30"/>
      <c r="F51" s="180"/>
      <c r="G51" s="3074"/>
      <c r="H51" s="137"/>
      <c r="I51" s="2482"/>
      <c r="J51" s="2483" t="s">
        <v>2208</v>
      </c>
      <c r="K51" s="3043" t="s">
        <v>2209</v>
      </c>
      <c r="L51" s="3043"/>
      <c r="M51" s="2483" t="s">
        <v>2210</v>
      </c>
      <c r="N51" s="2483" t="s">
        <v>2211</v>
      </c>
      <c r="O51" s="2483" t="s">
        <v>2212</v>
      </c>
    </row>
    <row r="52" spans="1:35" ht="24" hidden="1" customHeight="1">
      <c r="A52" s="183" t="s">
        <v>2213</v>
      </c>
      <c r="B52" s="3091" t="s">
        <v>2214</v>
      </c>
      <c r="C52" s="3091"/>
      <c r="D52" s="182">
        <f ca="1">ROUND(D45*'数据-取费表'!B41/(1+'数据-取费表'!C42),0)</f>
        <v>2352</v>
      </c>
      <c r="E52" s="11" t="s">
        <v>2215</v>
      </c>
      <c r="F52" s="184">
        <f>'数据-取费表'!B41</f>
        <v>5.6000000000000001E-2</v>
      </c>
      <c r="G52" s="2484"/>
      <c r="H52" s="137"/>
      <c r="I52" s="2482"/>
      <c r="J52" s="1809">
        <v>1</v>
      </c>
      <c r="K52" s="3066" t="s">
        <v>2216</v>
      </c>
      <c r="L52" s="3066"/>
      <c r="M52" s="1751">
        <f>D48</f>
        <v>0</v>
      </c>
      <c r="N52" s="1809" t="str">
        <f>E48</f>
        <v>销售额×税（费）率</v>
      </c>
      <c r="O52" s="1752" t="str">
        <f>F48</f>
        <v>免征</v>
      </c>
    </row>
    <row r="53" spans="1:35" ht="12" hidden="1" customHeight="1">
      <c r="A53" s="183" t="s">
        <v>2217</v>
      </c>
      <c r="B53" s="3092" t="s">
        <v>2218</v>
      </c>
      <c r="C53" s="3093"/>
      <c r="D53" s="182">
        <f ca="1">ROUND(D45*'数据-取费表'!B41/(1+'数据-取费表'!C42),0)</f>
        <v>2352</v>
      </c>
      <c r="E53" s="11" t="s">
        <v>2215</v>
      </c>
      <c r="F53" s="184">
        <f>'数据-取费表'!B41</f>
        <v>5.6000000000000001E-2</v>
      </c>
      <c r="G53" s="2484"/>
      <c r="H53" s="137"/>
      <c r="I53" s="2482"/>
      <c r="J53" s="1809">
        <v>2</v>
      </c>
      <c r="K53" s="3066" t="s">
        <v>2219</v>
      </c>
      <c r="L53" s="3066"/>
      <c r="M53" s="1751">
        <f t="shared" ref="M53:O54" ca="1" si="0">D55</f>
        <v>22</v>
      </c>
      <c r="N53" s="1809" t="str">
        <f t="shared" si="0"/>
        <v>销售额×税（费）率</v>
      </c>
      <c r="O53" s="1752">
        <f t="shared" si="0"/>
        <v>5.0000000000000001E-4</v>
      </c>
    </row>
    <row r="54" spans="1:35" ht="12" hidden="1" customHeight="1">
      <c r="A54" s="183" t="s">
        <v>2220</v>
      </c>
      <c r="B54" s="3092" t="s">
        <v>2221</v>
      </c>
      <c r="C54" s="3093"/>
      <c r="D54" s="182">
        <f ca="1">C68</f>
        <v>2352</v>
      </c>
      <c r="E54" s="30" t="s">
        <v>2222</v>
      </c>
      <c r="F54" s="184">
        <f>'数据-取费表'!B41</f>
        <v>5.6000000000000001E-2</v>
      </c>
      <c r="G54" s="2484"/>
      <c r="H54" s="2485"/>
      <c r="I54" s="2482"/>
      <c r="J54" s="1809">
        <v>3</v>
      </c>
      <c r="K54" s="3066" t="s">
        <v>2223</v>
      </c>
      <c r="L54" s="3066"/>
      <c r="M54" s="1751">
        <f t="shared" ca="1" si="0"/>
        <v>24963</v>
      </c>
      <c r="N54" s="1809" t="str">
        <f t="shared" si="0"/>
        <v>增值额×税（费）率</v>
      </c>
      <c r="O54" s="1753" t="str">
        <f t="shared" si="0"/>
        <v>——</v>
      </c>
    </row>
    <row r="55" spans="1:35" ht="24" hidden="1" customHeight="1">
      <c r="A55" s="3130" t="s">
        <v>2224</v>
      </c>
      <c r="B55" s="3112"/>
      <c r="C55" s="3112"/>
      <c r="D55" s="185">
        <f ca="1">IF(H55="个人住宅",0,ROUND(D45*I55,0))</f>
        <v>22</v>
      </c>
      <c r="E55" s="11" t="s">
        <v>2225</v>
      </c>
      <c r="F55" s="184">
        <f>IF(H55="正常",I55,"免征")</f>
        <v>5.0000000000000001E-4</v>
      </c>
      <c r="G55" s="2484"/>
      <c r="H55" s="2481" t="s">
        <v>2226</v>
      </c>
      <c r="I55" s="186">
        <f>'数据-取费表'!B49</f>
        <v>5.0000000000000001E-4</v>
      </c>
      <c r="J55" s="1809" t="str">
        <f>IF(H59="非个人房产","",4)</f>
        <v/>
      </c>
      <c r="K55" s="3066" t="str">
        <f>IF(H59="非个人房产","——","个人所得税")</f>
        <v>——</v>
      </c>
      <c r="L55" s="3066"/>
      <c r="M55" s="1754" t="str">
        <f>D59</f>
        <v>——</v>
      </c>
      <c r="N55" s="1807" t="str">
        <f>E59</f>
        <v>——</v>
      </c>
      <c r="O55" s="1755" t="str">
        <f>F59</f>
        <v>——</v>
      </c>
    </row>
    <row r="56" spans="1:35" ht="24.75" hidden="1">
      <c r="A56" s="3130" t="s">
        <v>2227</v>
      </c>
      <c r="B56" s="3112"/>
      <c r="C56" s="3112"/>
      <c r="D56" s="185">
        <f ca="1">IF(H56="个人住宅",D57,D58)</f>
        <v>24963</v>
      </c>
      <c r="E56" s="11" t="s">
        <v>2228</v>
      </c>
      <c r="F56" s="184" t="str">
        <f>IF(H56="正常",F58,"免征")</f>
        <v>——</v>
      </c>
      <c r="G56" s="2486" t="s">
        <v>2229</v>
      </c>
      <c r="H56" s="2487" t="s">
        <v>2226</v>
      </c>
      <c r="I56" s="2488"/>
      <c r="J56" s="1809" t="str">
        <f>IF(项目基本情况!K6="上海银行",IF(J55="",4,J55+1),"")</f>
        <v/>
      </c>
      <c r="K56" s="3049" t="str">
        <f>IF(项目基本情况!K6="上海银行","其他处置费用","")</f>
        <v/>
      </c>
      <c r="L56" s="3050"/>
      <c r="M56" s="1751" t="str">
        <f>IF(项目基本情况!K6="上海银行",M69,"")</f>
        <v/>
      </c>
      <c r="N56" s="3052" t="str">
        <f>IF(项目基本情况!K6="上海银行","包含处置中涉及的律师、诉讼、拍卖、评估等费用","")</f>
        <v/>
      </c>
      <c r="O56" s="3053"/>
    </row>
    <row r="57" spans="1:35" ht="12.75" hidden="1">
      <c r="A57" s="183" t="s">
        <v>2202</v>
      </c>
      <c r="B57" s="3097" t="s">
        <v>2230</v>
      </c>
      <c r="C57" s="3098"/>
      <c r="D57" s="187">
        <v>0</v>
      </c>
      <c r="E57" s="23" t="s">
        <v>2204</v>
      </c>
      <c r="F57" s="155"/>
      <c r="G57" s="2484"/>
      <c r="H57" s="2488"/>
      <c r="I57" s="2488"/>
      <c r="J57" s="3066">
        <f>IF(AND(J55="",J56=""),4,IF(项目基本情况!K6="上海银行",结果表!J56+1,结果表!J55+1))</f>
        <v>4</v>
      </c>
      <c r="K57" s="3066" t="s">
        <v>2231</v>
      </c>
      <c r="L57" s="2489" t="s">
        <v>2232</v>
      </c>
      <c r="M57" s="1756"/>
      <c r="N57" s="1757">
        <f ca="1">SUMIF(M52:M56,"&lt;9e307")</f>
        <v>24985</v>
      </c>
      <c r="O57" s="2490"/>
      <c r="P57" s="1750" t="e">
        <f ca="1">N57/M49</f>
        <v>#VALUE!</v>
      </c>
    </row>
    <row r="58" spans="1:35" ht="24.75" hidden="1">
      <c r="A58" s="183" t="s">
        <v>2213</v>
      </c>
      <c r="B58" s="3097" t="s">
        <v>2233</v>
      </c>
      <c r="C58" s="3110"/>
      <c r="D58" s="185">
        <f ca="1">IF(H58="转让取得",C81,C97)</f>
        <v>24963</v>
      </c>
      <c r="E58" s="11" t="s">
        <v>2228</v>
      </c>
      <c r="F58" s="24" t="s">
        <v>34</v>
      </c>
      <c r="G58" s="2484"/>
      <c r="H58" s="2487" t="s">
        <v>2234</v>
      </c>
      <c r="I58" s="2488"/>
      <c r="J58" s="3066"/>
      <c r="K58" s="3066"/>
      <c r="L58" s="2489" t="s">
        <v>2235</v>
      </c>
      <c r="M58" s="1758"/>
      <c r="N58" s="2491" t="str">
        <f ca="1">NUMBERSTRING(INT(N57*10000),2)&amp;"元整"</f>
        <v>贰亿肆仟玖佰捌拾伍万元整</v>
      </c>
      <c r="O58" s="2492"/>
    </row>
    <row r="59" spans="1:35" ht="24.75" hidden="1" thickBot="1">
      <c r="A59" s="3070" t="s">
        <v>2236</v>
      </c>
      <c r="B59" s="3071"/>
      <c r="C59" s="3071"/>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068">
        <f>J57+1</f>
        <v>5</v>
      </c>
      <c r="K59" s="3066" t="s">
        <v>2238</v>
      </c>
      <c r="L59" s="1809" t="s">
        <v>2232</v>
      </c>
      <c r="M59" s="1759"/>
      <c r="N59" s="1760" t="e">
        <f ca="1">M49-N57</f>
        <v>#VALUE!</v>
      </c>
      <c r="O59" s="2494"/>
    </row>
    <row r="60" spans="1:35" ht="12" hidden="1" customHeight="1">
      <c r="A60" s="2495"/>
      <c r="B60" s="2417"/>
      <c r="C60" s="2417"/>
      <c r="D60" s="2417"/>
      <c r="E60" s="2164"/>
      <c r="F60" s="2488"/>
      <c r="G60" s="2488"/>
      <c r="H60" s="2496"/>
      <c r="I60" s="137"/>
      <c r="J60" s="3069"/>
      <c r="K60" s="3066"/>
      <c r="L60" s="2489" t="s">
        <v>2235</v>
      </c>
      <c r="M60" s="1758"/>
      <c r="N60" s="2491" t="e">
        <f ca="1">NUMBERSTRING(INT(N59*10000),2)&amp;"元整"</f>
        <v>#VALUE!</v>
      </c>
      <c r="O60" s="2492"/>
    </row>
    <row r="61" spans="1:35" ht="13.5" hidden="1" thickBot="1">
      <c r="A61" s="3129" t="s">
        <v>2239</v>
      </c>
      <c r="B61" s="3129"/>
      <c r="C61" s="3129"/>
      <c r="D61" s="3129"/>
      <c r="E61" s="3129"/>
      <c r="F61" s="2488"/>
      <c r="G61" s="2488"/>
      <c r="H61" s="2496"/>
      <c r="I61" s="137"/>
      <c r="J61" s="1809">
        <f>J59+1</f>
        <v>6</v>
      </c>
      <c r="K61" s="3066" t="s">
        <v>2240</v>
      </c>
      <c r="L61" s="3066"/>
      <c r="M61" s="1761"/>
      <c r="N61" s="1762" t="e">
        <f ca="1">ROUND(N59*10000/'数据-汇总表'!E3,0)</f>
        <v>#VALUE!</v>
      </c>
      <c r="O61" s="2497"/>
    </row>
    <row r="62" spans="1:35" ht="12.75" hidden="1">
      <c r="A62" s="3086" t="s">
        <v>2241</v>
      </c>
      <c r="B62" s="3087"/>
      <c r="C62" s="1801"/>
      <c r="D62" s="1801" t="s">
        <v>2242</v>
      </c>
      <c r="E62" s="192" t="s">
        <v>2243</v>
      </c>
      <c r="F62" s="2488"/>
      <c r="G62" s="2488"/>
      <c r="H62" s="2496"/>
      <c r="I62" s="137"/>
    </row>
    <row r="63" spans="1:35" ht="12.75" hidden="1">
      <c r="A63" s="203" t="s">
        <v>775</v>
      </c>
      <c r="B63" s="193" t="s">
        <v>2244</v>
      </c>
      <c r="C63" s="194">
        <f ca="1">ROUND((C64+C65)/(1+'数据-取费表'!C42),0)</f>
        <v>42004</v>
      </c>
      <c r="D63" s="195"/>
      <c r="E63" s="196"/>
      <c r="F63" s="2488"/>
      <c r="G63" s="2488"/>
      <c r="H63" s="2496"/>
      <c r="I63" s="137"/>
      <c r="J63" s="3051" t="s">
        <v>2245</v>
      </c>
      <c r="K63" s="2498" t="s">
        <v>2246</v>
      </c>
      <c r="L63" s="1749" t="e">
        <f>IF(M49&gt;10000,M49*0.5%,IF(AND(M49&gt;1000,M49&lt;=10000),M49*1%,IF(AND(M49&gt;100,M49&lt;=1000),M49*3%,IF(AND(M49&gt;10,M49&lt;=100),M49*5%,M49*8%))))</f>
        <v>#VALUE!</v>
      </c>
      <c r="M63" s="24" t="e">
        <f>ROUND(L63,1)</f>
        <v>#VALUE!</v>
      </c>
      <c r="Z63" s="2422"/>
      <c r="AI63" s="2423"/>
    </row>
    <row r="64" spans="1:35" ht="14.25" hidden="1" customHeight="1">
      <c r="A64" s="197" t="s">
        <v>770</v>
      </c>
      <c r="B64" s="198" t="s">
        <v>2247</v>
      </c>
      <c r="C64" s="199">
        <f ca="1">D45</f>
        <v>44104</v>
      </c>
      <c r="D64" s="200" t="s">
        <v>32</v>
      </c>
      <c r="E64" s="201"/>
      <c r="F64" s="2488"/>
      <c r="G64" s="2488"/>
      <c r="H64" s="2496"/>
      <c r="I64" s="137"/>
      <c r="J64" s="3051"/>
      <c r="K64" s="2498" t="s">
        <v>2248</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2249</v>
      </c>
      <c r="Z64" s="2422"/>
      <c r="AI64" s="2423"/>
    </row>
    <row r="65" spans="1:35" ht="14.25" hidden="1" customHeight="1">
      <c r="A65" s="197" t="s">
        <v>771</v>
      </c>
      <c r="B65" s="198" t="s">
        <v>2250</v>
      </c>
      <c r="C65" s="202"/>
      <c r="D65" s="200"/>
      <c r="E65" s="201"/>
      <c r="F65" s="2488"/>
      <c r="G65" s="2488"/>
      <c r="H65" s="2496"/>
      <c r="I65" s="137"/>
      <c r="J65" s="3051"/>
      <c r="K65" s="2498" t="s">
        <v>2251</v>
      </c>
      <c r="L65" s="1749" t="e">
        <f>IF(M49&gt;1000,M49*0.1%,IF(AND(M49&gt;500,M49&lt;=1000),M49*0.5%,IF(AND(M49&gt;50,M49&lt;=500),M49*1%,IF(AND(M49&gt;1,M49&lt;=50),M49*1.5%))))</f>
        <v>#VALUE!</v>
      </c>
      <c r="M65" s="24" t="e">
        <f t="shared" si="1"/>
        <v>#VALUE!</v>
      </c>
      <c r="N65" s="137" t="s">
        <v>2249</v>
      </c>
      <c r="Z65" s="2422"/>
      <c r="AI65" s="2423"/>
    </row>
    <row r="66" spans="1:35" ht="14.25" hidden="1" customHeight="1">
      <c r="A66" s="203" t="s">
        <v>772</v>
      </c>
      <c r="B66" s="204" t="s">
        <v>2252</v>
      </c>
      <c r="C66" s="205"/>
      <c r="D66" s="206" t="s">
        <v>32</v>
      </c>
      <c r="E66" s="1773" t="s">
        <v>1372</v>
      </c>
      <c r="F66" s="2488"/>
      <c r="G66" s="2488"/>
      <c r="H66" s="2496"/>
      <c r="I66" s="137"/>
      <c r="J66" s="3051"/>
      <c r="K66" s="2498" t="s">
        <v>2253</v>
      </c>
      <c r="L66" s="1749" t="e">
        <f>M49*0.5%</f>
        <v>#VALUE!</v>
      </c>
      <c r="M66" s="24" t="e">
        <f>IF(L66&gt;0.5,0.5,ROUND(L66,0))</f>
        <v>#VALUE!</v>
      </c>
      <c r="N66" s="137" t="s">
        <v>2254</v>
      </c>
      <c r="Z66" s="2422"/>
      <c r="AI66" s="2423"/>
    </row>
    <row r="67" spans="1:35" ht="14.25" hidden="1" customHeight="1">
      <c r="A67" s="203" t="s">
        <v>773</v>
      </c>
      <c r="B67" s="204" t="s">
        <v>2255</v>
      </c>
      <c r="C67" s="207">
        <f ca="1">C63-C66</f>
        <v>42004</v>
      </c>
      <c r="D67" s="200" t="s">
        <v>32</v>
      </c>
      <c r="E67" s="201"/>
      <c r="F67" s="2488"/>
      <c r="G67" s="2488"/>
      <c r="H67" s="2496"/>
      <c r="I67" s="137"/>
      <c r="J67" s="3051"/>
      <c r="K67" s="2498" t="s">
        <v>2256</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hidden="1" customHeight="1" thickBot="1">
      <c r="A68" s="208" t="s">
        <v>774</v>
      </c>
      <c r="B68" s="209" t="s">
        <v>2257</v>
      </c>
      <c r="C68" s="210">
        <f ca="1">IF(C67&lt;=0,0,ROUND(C67*D68,0))</f>
        <v>2352</v>
      </c>
      <c r="D68" s="211">
        <f>'数据-取费表'!B41</f>
        <v>5.6000000000000001E-2</v>
      </c>
      <c r="E68" s="212"/>
      <c r="F68" s="2488"/>
      <c r="G68" s="2488"/>
      <c r="H68" s="2496"/>
      <c r="I68" s="137"/>
      <c r="J68" s="3051"/>
      <c r="K68" s="2498" t="s">
        <v>2258</v>
      </c>
      <c r="L68" s="1749" t="e">
        <f>IF(M49&gt;10000,M49*0.5%,IF(AND(M49&gt;5000,M49&lt;=10000),M49*1%,IF(AND(M49&gt;1000,M49&lt;=5000),M49*2%,IF(AND(M49&gt;200,M49&lt;=1000),M49*3%,M49*5%))))</f>
        <v>#VALUE!</v>
      </c>
      <c r="M68" s="24" t="e">
        <f>ROUND(L68,1)</f>
        <v>#VALUE!</v>
      </c>
      <c r="Z68" s="2422"/>
      <c r="AI68" s="2423"/>
    </row>
    <row r="69" spans="1:35" s="2445" customFormat="1" ht="16.5" hidden="1" customHeight="1">
      <c r="A69" s="2499"/>
      <c r="B69" s="2500"/>
      <c r="C69" s="2501"/>
      <c r="D69" s="2502"/>
      <c r="E69" s="2503"/>
      <c r="F69" s="2164"/>
      <c r="G69" s="2164"/>
      <c r="H69" s="2163"/>
      <c r="I69" s="2417"/>
      <c r="J69" s="3051"/>
      <c r="K69" s="2498" t="s">
        <v>2259</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095" t="s">
        <v>2260</v>
      </c>
      <c r="B70" s="3096"/>
      <c r="C70" s="3096"/>
      <c r="D70" s="3096"/>
      <c r="E70" s="3096"/>
      <c r="F70" s="3096"/>
      <c r="G70" s="3096"/>
      <c r="H70" s="309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86" t="s">
        <v>2241</v>
      </c>
      <c r="B71" s="3087"/>
      <c r="C71" s="1801"/>
      <c r="D71" s="1801"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2261</v>
      </c>
      <c r="C72" s="207">
        <f ca="1">ROUND(D45/(1+'数据-取费表'!C42),0)</f>
        <v>42004</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2262</v>
      </c>
      <c r="C73" s="207">
        <f ca="1">C74+C78</f>
        <v>252</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2263</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2268</v>
      </c>
      <c r="C76" s="200">
        <f>IF(F75="购房发票",ROUND(C75*H75*D76,0),0)</f>
        <v>0</v>
      </c>
      <c r="D76" s="222">
        <v>0.05</v>
      </c>
      <c r="E76" s="3092" t="s">
        <v>2269</v>
      </c>
      <c r="F76" s="3091"/>
      <c r="G76" s="3091"/>
      <c r="H76" s="309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2273</v>
      </c>
      <c r="C78" s="225">
        <f ca="1">ROUND(D45*D78/(1+'数据-取费表'!C42),0)</f>
        <v>252</v>
      </c>
      <c r="D78" s="226">
        <f>'数据-取费表'!B43</f>
        <v>6.000000000000001E-3</v>
      </c>
      <c r="E78" s="3083" t="s">
        <v>2274</v>
      </c>
      <c r="F78" s="3084"/>
      <c r="G78" s="3084"/>
      <c r="H78" s="308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2275</v>
      </c>
      <c r="C79" s="207">
        <f ca="1">C72-C73</f>
        <v>41752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2276</v>
      </c>
      <c r="C80" s="227">
        <f ca="1">IF(C79&lt;=0,0,C79/C73)</f>
        <v>165.68253968253967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2277</v>
      </c>
      <c r="C81" s="228">
        <f ca="1">ROUND(IF(C79&lt;=0,0,IF(C80&gt;=200%,C79*60%-C73*35%,IF(C80&gt;=100%,C79*50%-C73*15%,IF(C80&gt;=50%,C79*40%-C73*5%,IF(C80&lt;50%,C79*30%,0))))),0)</f>
        <v>24963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5" t="s">
        <v>2278</v>
      </c>
      <c r="B83" s="3096"/>
      <c r="C83" s="3096"/>
      <c r="D83" s="3096"/>
      <c r="E83" s="3096"/>
      <c r="F83" s="3096"/>
      <c r="G83" s="3096"/>
      <c r="H83" s="309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86" t="s">
        <v>2241</v>
      </c>
      <c r="B84" s="3087"/>
      <c r="C84" s="1801"/>
      <c r="D84" s="1801"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2261</v>
      </c>
      <c r="C85" s="207">
        <f ca="1">ROUND(D45/(1+'数据-取费表'!C42),0)</f>
        <v>42004</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2262</v>
      </c>
      <c r="C86" s="207">
        <f ca="1">IF(H88="仅含出让金",C87+C90+C91+C92+C93+C94,C87+C91+C92+C93+C94)</f>
        <v>252</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2279</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2280</v>
      </c>
      <c r="C88" s="236"/>
      <c r="D88" s="226"/>
      <c r="E88" s="237" t="s">
        <v>2281</v>
      </c>
      <c r="F88" s="1797"/>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2270</v>
      </c>
      <c r="C89" s="225">
        <f>ROUND(C88*D89,0)</f>
        <v>0</v>
      </c>
      <c r="D89" s="226">
        <f>'数据-取费表'!B48+'数据-取费表'!B49</f>
        <v>3.0499999999999999E-2</v>
      </c>
      <c r="E89" s="237" t="s">
        <v>2283</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2284</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2285</v>
      </c>
      <c r="B91" s="198" t="s">
        <v>2286</v>
      </c>
      <c r="C91" s="225">
        <f>IF(H91="——",成本法!C33,I91)</f>
        <v>0</v>
      </c>
      <c r="D91" s="226"/>
      <c r="E91" s="3083" t="s">
        <v>2287</v>
      </c>
      <c r="F91" s="3084"/>
      <c r="G91" s="3084"/>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2289</v>
      </c>
      <c r="B92" s="198" t="s">
        <v>2290</v>
      </c>
      <c r="C92" s="225">
        <f>ROUND((C87+C90+C91)*D92,0)</f>
        <v>0</v>
      </c>
      <c r="D92" s="226">
        <v>0.1</v>
      </c>
      <c r="E92" s="3083" t="s">
        <v>2291</v>
      </c>
      <c r="F92" s="3084"/>
      <c r="G92" s="3084"/>
      <c r="H92" s="308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2292</v>
      </c>
      <c r="B93" s="198" t="s">
        <v>2273</v>
      </c>
      <c r="C93" s="225">
        <f ca="1">ROUND(D45*D93/(1+'数据-取费表'!C42),0)</f>
        <v>252</v>
      </c>
      <c r="D93" s="226">
        <f>'数据-取费表'!B43</f>
        <v>6.000000000000001E-3</v>
      </c>
      <c r="E93" s="3083" t="s">
        <v>2274</v>
      </c>
      <c r="F93" s="3084"/>
      <c r="G93" s="3084"/>
      <c r="H93" s="308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2293</v>
      </c>
      <c r="B94" s="198" t="s">
        <v>2294</v>
      </c>
      <c r="C94" s="236">
        <f>ROUND((C87+C90+C91)*D94,0)</f>
        <v>0</v>
      </c>
      <c r="D94" s="226">
        <v>0.2</v>
      </c>
      <c r="E94" s="3131" t="s">
        <v>2295</v>
      </c>
      <c r="F94" s="3132"/>
      <c r="G94" s="3132"/>
      <c r="H94" s="313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2275</v>
      </c>
      <c r="C95" s="207">
        <f ca="1">ROUND(C85-C86,0)</f>
        <v>41752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2276</v>
      </c>
      <c r="C96" s="227">
        <f ca="1">IF(C95&lt;=0,0,C95/C86)</f>
        <v>165.68253968253967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2277</v>
      </c>
      <c r="C97" s="228">
        <f ca="1">ROUND(IF(C95&lt;=0,0,IF(C96&gt;=200%,C95*60%-C86*35%,IF(C96&gt;=100%,C95*50%-C86*15%,IF(C96&gt;=50%,C95*40%-C86*5%,IF(C96&lt;50%,C95*30%,0))))),0)</f>
        <v>24963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7"/>
    </row>
    <row r="99" spans="1:35" ht="21.75" customHeight="1" thickBot="1">
      <c r="A99" s="2473" t="s">
        <v>2296</v>
      </c>
      <c r="B99" s="2417"/>
      <c r="C99" s="2417"/>
      <c r="D99" s="2417"/>
      <c r="E99" s="2164"/>
      <c r="F99" s="2164"/>
      <c r="G99" s="2164"/>
      <c r="H99" s="2163"/>
      <c r="I99" s="137"/>
    </row>
    <row r="100" spans="1:35" ht="18.75" customHeight="1">
      <c r="A100" s="3035" t="s">
        <v>2297</v>
      </c>
      <c r="B100" s="3036"/>
      <c r="C100" s="3036"/>
      <c r="D100" s="3067"/>
      <c r="E100" s="3036" t="s">
        <v>2298</v>
      </c>
      <c r="F100" s="3036"/>
      <c r="G100" s="3036"/>
      <c r="H100" s="3067"/>
      <c r="I100" s="137"/>
    </row>
    <row r="101" spans="1:35" ht="18.75" customHeight="1">
      <c r="A101" s="3075" t="s">
        <v>2299</v>
      </c>
      <c r="B101" s="3076"/>
      <c r="C101" s="736" t="str">
        <f>C4</f>
        <v>成本法</v>
      </c>
      <c r="D101" s="737" t="str">
        <f>D4</f>
        <v>收益法（汇总）</v>
      </c>
      <c r="E101" s="3047" t="s">
        <v>2300</v>
      </c>
      <c r="F101" s="3048"/>
      <c r="G101" s="2519" t="s">
        <v>2301</v>
      </c>
      <c r="H101" s="1044">
        <f ca="1">H118</f>
        <v>44104</v>
      </c>
      <c r="I101" s="137"/>
    </row>
    <row r="102" spans="1:35" ht="18.75" customHeight="1">
      <c r="A102" s="3077" t="s">
        <v>2302</v>
      </c>
      <c r="B102" s="2519" t="s">
        <v>2301</v>
      </c>
      <c r="C102" s="736">
        <f ca="1">C19</f>
        <v>71651</v>
      </c>
      <c r="D102" s="737">
        <f ca="1">D19</f>
        <v>44104</v>
      </c>
      <c r="E102" s="3047"/>
      <c r="F102" s="3048"/>
      <c r="G102" s="2519" t="s">
        <v>2303</v>
      </c>
      <c r="H102" s="371">
        <f ca="1">I118</f>
        <v>10093</v>
      </c>
      <c r="I102" s="137"/>
    </row>
    <row r="103" spans="1:35" ht="42.75" customHeight="1">
      <c r="A103" s="3077"/>
      <c r="B103" s="2519" t="s">
        <v>2303</v>
      </c>
      <c r="C103" s="738">
        <f ca="1">C20</f>
        <v>16398</v>
      </c>
      <c r="D103" s="739">
        <f ca="1">D20</f>
        <v>10093</v>
      </c>
      <c r="E103" s="3041" t="s">
        <v>2304</v>
      </c>
      <c r="F103" s="3042"/>
      <c r="G103" s="2520" t="s">
        <v>2305</v>
      </c>
      <c r="H103" s="1044">
        <f>IF(D36="正常操作",H104+H105+H106,H105+H106)</f>
        <v>0</v>
      </c>
      <c r="I103" s="137"/>
    </row>
    <row r="104" spans="1:35" ht="18.75" customHeight="1">
      <c r="A104" s="3077" t="s">
        <v>2306</v>
      </c>
      <c r="B104" s="2521" t="s">
        <v>2301</v>
      </c>
      <c r="C104" s="740">
        <f ca="1">H118</f>
        <v>44104</v>
      </c>
      <c r="D104" s="741"/>
      <c r="E104" s="2265" t="s">
        <v>2307</v>
      </c>
      <c r="F104" s="2256"/>
      <c r="G104" s="2520" t="s">
        <v>2305</v>
      </c>
      <c r="H104" s="1045">
        <f>IF(D36="同一抵押权人同一抵押物续贷",C36&amp;"（未扣减，详见特别提示）",C36)</f>
        <v>0</v>
      </c>
      <c r="I104" s="137"/>
    </row>
    <row r="105" spans="1:35" ht="18.75" customHeight="1" thickBot="1">
      <c r="A105" s="3089"/>
      <c r="B105" s="2522" t="s">
        <v>2303</v>
      </c>
      <c r="C105" s="742">
        <f ca="1">I118</f>
        <v>10093</v>
      </c>
      <c r="D105" s="743"/>
      <c r="E105" s="2265" t="s">
        <v>2308</v>
      </c>
      <c r="F105" s="2256"/>
      <c r="G105" s="2520" t="s">
        <v>2305</v>
      </c>
      <c r="H105" s="1045">
        <f>C37</f>
        <v>0</v>
      </c>
      <c r="I105" s="137"/>
    </row>
    <row r="106" spans="1:35" ht="18.75" customHeight="1">
      <c r="A106" s="2417" t="s">
        <v>2309</v>
      </c>
      <c r="B106" s="2417"/>
      <c r="C106" s="2417"/>
      <c r="D106" s="2417"/>
      <c r="E106" s="2523" t="s">
        <v>2310</v>
      </c>
      <c r="F106" s="2256"/>
      <c r="G106" s="2520" t="s">
        <v>2305</v>
      </c>
      <c r="H106" s="1045">
        <f>C38</f>
        <v>0</v>
      </c>
      <c r="I106" s="137"/>
    </row>
    <row r="107" spans="1:35" ht="18.75" customHeight="1">
      <c r="A107" s="137"/>
      <c r="B107" s="137"/>
      <c r="C107" s="137"/>
      <c r="D107" s="137"/>
      <c r="E107" s="3078" t="str">
        <f>IF(项目基本情况!E8="已注销","——","3.房地产抵押价值")</f>
        <v>3.房地产抵押价值</v>
      </c>
      <c r="F107" s="3048"/>
      <c r="G107" s="2519" t="s">
        <v>2301</v>
      </c>
      <c r="H107" s="1044">
        <f ca="1">IF(E107="——","——",H101-H103)</f>
        <v>44104</v>
      </c>
      <c r="I107" s="137"/>
    </row>
    <row r="108" spans="1:35" ht="18.75" customHeight="1" thickBot="1">
      <c r="A108" s="137"/>
      <c r="B108" s="137"/>
      <c r="C108" s="137"/>
      <c r="D108" s="137"/>
      <c r="E108" s="3078"/>
      <c r="F108" s="3048"/>
      <c r="G108" s="2519" t="s">
        <v>2303</v>
      </c>
      <c r="H108" s="371">
        <f ca="1">ROUND(H107*10000/'数据-汇总表'!E3,0)</f>
        <v>10093</v>
      </c>
      <c r="I108" s="137"/>
    </row>
    <row r="109" spans="1:35" ht="18.75" hidden="1" customHeight="1">
      <c r="A109" s="137"/>
      <c r="B109" s="137"/>
      <c r="C109" s="137"/>
      <c r="D109" s="137"/>
      <c r="E109" s="3078" t="str">
        <f>IF(项目基本情况!E8="已注销及未注销","4.抵押担保权已注销时的房地产抵押价值",IF(项目基本情况!E8="已注销","3.抵押担保权已注销时的房地产抵押价值","——"))</f>
        <v>——</v>
      </c>
      <c r="F109" s="3048"/>
      <c r="G109" s="2519" t="s">
        <v>2301</v>
      </c>
      <c r="H109" s="348" t="str">
        <f>IF(E109="——","——",H101-H105-H106)</f>
        <v>——</v>
      </c>
      <c r="I109" s="137"/>
    </row>
    <row r="110" spans="1:35" ht="18.75" hidden="1" customHeight="1">
      <c r="A110" s="137"/>
      <c r="B110" s="137"/>
      <c r="C110" s="137"/>
      <c r="D110" s="137"/>
      <c r="E110" s="3078"/>
      <c r="F110" s="3048"/>
      <c r="G110" s="2519" t="s">
        <v>2303</v>
      </c>
      <c r="H110" s="371" t="str">
        <f>IF(H109="——","——",ROUND(H109*10000/'数据-汇总表'!E3,0))</f>
        <v>——</v>
      </c>
      <c r="I110" s="137"/>
    </row>
    <row r="111" spans="1:35" ht="18.75" hidden="1" customHeight="1">
      <c r="A111" s="137"/>
      <c r="B111" s="137"/>
      <c r="C111" s="137"/>
      <c r="D111" s="137"/>
      <c r="E111" s="3079" t="str">
        <f>IF(项目基本情况!E9="抵押净值",IF(OR(项目基本情况!E8="已注销",项目基本情况!E8="房地产抵押价值"),"4.抵押净值","5.抵押净值"),"——")</f>
        <v>——</v>
      </c>
      <c r="F111" s="3080"/>
      <c r="G111" s="2519" t="s">
        <v>2301</v>
      </c>
      <c r="H111" s="1044" t="str">
        <f>IF(E111="——","——",N59)</f>
        <v>——</v>
      </c>
      <c r="I111" s="137"/>
    </row>
    <row r="112" spans="1:35" ht="18.75" hidden="1" customHeight="1" thickBot="1">
      <c r="A112" s="137"/>
      <c r="B112" s="137"/>
      <c r="C112" s="137"/>
      <c r="D112" s="137"/>
      <c r="E112" s="3081"/>
      <c r="F112" s="3082"/>
      <c r="G112" s="2524" t="s">
        <v>2303</v>
      </c>
      <c r="H112" s="790" t="str">
        <f>IF(E111="——","——",N61)</f>
        <v>——</v>
      </c>
      <c r="I112" s="137"/>
    </row>
    <row r="113" spans="1:11" ht="18.75" customHeight="1">
      <c r="A113" s="137"/>
      <c r="B113" s="137"/>
      <c r="C113" s="137"/>
      <c r="D113" s="137"/>
      <c r="E113" s="3090" t="s">
        <v>2309</v>
      </c>
      <c r="F113" s="3090"/>
      <c r="G113" s="3090"/>
      <c r="H113" s="3090"/>
      <c r="I113" s="137"/>
    </row>
    <row r="114" spans="1:11" ht="3.75" customHeight="1">
      <c r="A114" s="2417"/>
      <c r="B114" s="2417"/>
      <c r="C114" s="2417"/>
      <c r="D114" s="2417"/>
      <c r="E114" s="2495"/>
      <c r="F114" s="2495"/>
      <c r="G114" s="2495"/>
      <c r="H114" s="2495"/>
      <c r="I114" s="2417"/>
    </row>
    <row r="115" spans="1:11" ht="18.75" customHeight="1">
      <c r="A115" s="3103" t="s">
        <v>2311</v>
      </c>
      <c r="B115" s="3104"/>
      <c r="C115" s="3104"/>
      <c r="D115" s="3104"/>
      <c r="E115" s="3104"/>
      <c r="F115" s="3104"/>
      <c r="G115" s="3104"/>
      <c r="H115" s="3104"/>
      <c r="I115" s="3105"/>
    </row>
    <row r="116" spans="1:11" ht="27" customHeight="1">
      <c r="A116" s="3014" t="s">
        <v>2312</v>
      </c>
      <c r="B116" s="3057" t="s">
        <v>2313</v>
      </c>
      <c r="C116" s="3057" t="s">
        <v>2314</v>
      </c>
      <c r="D116" s="3063" t="s">
        <v>2315</v>
      </c>
      <c r="E116" s="3064"/>
      <c r="F116" s="3099" t="s">
        <v>2316</v>
      </c>
      <c r="G116" s="3099"/>
      <c r="H116" s="3014" t="s">
        <v>2317</v>
      </c>
      <c r="I116" s="3014"/>
    </row>
    <row r="117" spans="1:11" ht="18.75" customHeight="1">
      <c r="A117" s="3014"/>
      <c r="B117" s="3058"/>
      <c r="C117" s="3058"/>
      <c r="D117" s="1795" t="s">
        <v>2318</v>
      </c>
      <c r="E117" s="1795" t="s">
        <v>2319</v>
      </c>
      <c r="F117" s="1795" t="s">
        <v>2318</v>
      </c>
      <c r="G117" s="1795" t="s">
        <v>2320</v>
      </c>
      <c r="H117" s="1795" t="s">
        <v>2318</v>
      </c>
      <c r="I117" s="1795" t="s">
        <v>2320</v>
      </c>
    </row>
    <row r="118" spans="1:11" ht="24.75" customHeight="1">
      <c r="A118" s="2525" t="str">
        <f>项目基本情况!S2</f>
        <v>北京市房地产</v>
      </c>
      <c r="B118" s="1795">
        <f>M18</f>
        <v>43696.250000000007</v>
      </c>
      <c r="C118" s="1795">
        <f>M19</f>
        <v>0</v>
      </c>
      <c r="D118" s="1795">
        <f ca="1">ROUND(IF(D32="总价",C34,E118*B118/10000),0)</f>
        <v>34313</v>
      </c>
      <c r="E118" s="1795">
        <f ca="1">ROUND(IF(C33="自定义",IF(D32="楼面单价",C34,D118*10000/B118),I118-G118),0)</f>
        <v>7852</v>
      </c>
      <c r="F118" s="1795">
        <f ca="1">ROUND(IF(D32="总价",C35,G118*B118/10000),0)</f>
        <v>9791</v>
      </c>
      <c r="G118" s="1795">
        <f ca="1">ROUND(IF(D32="楼面单价",C35,F118*10000/B118),0)</f>
        <v>2241</v>
      </c>
      <c r="H118" s="1795">
        <f ca="1">ROUND(IF(D32="总价",C32,I118*B118/10000),0)</f>
        <v>44104</v>
      </c>
      <c r="I118" s="1795">
        <f ca="1">ROUND(IF(D32="楼面单价",C32,H118*10000/B118),0)</f>
        <v>10093</v>
      </c>
    </row>
    <row r="119" spans="1:11" ht="18.75" customHeight="1">
      <c r="A119" s="3014" t="s">
        <v>2321</v>
      </c>
      <c r="B119" s="3014"/>
      <c r="C119" s="3014"/>
      <c r="D119" s="3059" t="str">
        <f ca="1">NUMBERSTRING(INT(D118*10000),2)&amp;"元整"</f>
        <v>叁亿肆仟叁佰壹拾叁万元整</v>
      </c>
      <c r="E119" s="3060"/>
      <c r="F119" s="3059" t="str">
        <f ca="1">NUMBERSTRING(INT(F118*10000),2)&amp;"元整"</f>
        <v>玖仟柒佰玖拾壹万元整</v>
      </c>
      <c r="G119" s="3060"/>
      <c r="H119" s="3059" t="str">
        <f ca="1">NUMBERSTRING(INT(H118*10000),2)&amp;"元整"</f>
        <v>肆亿肆仟壹佰零肆万元整</v>
      </c>
      <c r="I119" s="3060"/>
    </row>
    <row r="120" spans="1:11" ht="18.75" customHeight="1">
      <c r="A120" s="3054" t="str">
        <f>IF(项目基本情况!B9="房地产市场价值","",MID(E103,3,LEN(E103)-2))</f>
        <v>估价师知悉的法定优先受偿款</v>
      </c>
      <c r="B120" s="3055"/>
      <c r="C120" s="3056"/>
      <c r="D120" s="3054">
        <f>H103</f>
        <v>0</v>
      </c>
      <c r="E120" s="3055"/>
      <c r="F120" s="3055"/>
      <c r="G120" s="3055"/>
      <c r="H120" s="3055"/>
      <c r="I120" s="3056"/>
      <c r="K120" s="2422" t="str">
        <f>IF(D120=0,"故，本次评估不存在"&amp;A120,"故，本次评估"&amp;A120&amp;"为人民币"&amp;D120&amp;"万元整。")</f>
        <v>故，本次评估不存在估价师知悉的法定优先受偿款</v>
      </c>
    </row>
    <row r="121" spans="1:11" ht="18.75" customHeight="1">
      <c r="A121" s="3100" t="s">
        <v>2321</v>
      </c>
      <c r="B121" s="3101"/>
      <c r="C121" s="3102"/>
      <c r="D121" s="3059" t="str">
        <f>IF(D120=0,"零元整",NUMBERSTRING(INT(D120*10000),2)&amp;"元整")</f>
        <v>零元整</v>
      </c>
      <c r="E121" s="3061"/>
      <c r="F121" s="3061"/>
      <c r="G121" s="3061"/>
      <c r="H121" s="3061"/>
      <c r="I121" s="3060"/>
    </row>
    <row r="122" spans="1:11" ht="18.75" hidden="1" customHeight="1">
      <c r="A122" s="3065" t="str">
        <f>IF(项目基本情况!B9="房地产市场价值","",MID(E107,3,LEN(E107)-2))</f>
        <v>房地产抵押价值</v>
      </c>
      <c r="B122" s="3065"/>
      <c r="C122" s="3065"/>
      <c r="D122" s="3054">
        <f ca="1">H107</f>
        <v>44104</v>
      </c>
      <c r="E122" s="3055"/>
      <c r="F122" s="3055"/>
      <c r="G122" s="3055"/>
      <c r="H122" s="3055"/>
      <c r="I122" s="3056"/>
    </row>
    <row r="123" spans="1:11" ht="18.75" hidden="1" customHeight="1">
      <c r="A123" s="3014" t="s">
        <v>2321</v>
      </c>
      <c r="B123" s="3014"/>
      <c r="C123" s="3014"/>
      <c r="D123" s="3059" t="str">
        <f ca="1">NUMBERSTRING(INT(D122*10000),2)&amp;"元整"</f>
        <v>肆亿肆仟壹佰零肆万元整</v>
      </c>
      <c r="E123" s="3061"/>
      <c r="F123" s="3061"/>
      <c r="G123" s="3061"/>
      <c r="H123" s="3061"/>
      <c r="I123" s="3060"/>
    </row>
    <row r="124" spans="1:11" ht="18.75" hidden="1" customHeight="1">
      <c r="A124" s="3065" t="str">
        <f>IF(项目基本情况!B9="房地产市场价值","",MID(E109,3,LEN(E109)-2))</f>
        <v/>
      </c>
      <c r="B124" s="3065"/>
      <c r="C124" s="3065"/>
      <c r="D124" s="3054" t="str">
        <f>H109</f>
        <v>——</v>
      </c>
      <c r="E124" s="3055"/>
      <c r="F124" s="3055"/>
      <c r="G124" s="3055"/>
      <c r="H124" s="3055"/>
      <c r="I124" s="3056"/>
    </row>
    <row r="125" spans="1:11" ht="18.75" hidden="1" customHeight="1">
      <c r="A125" s="3014" t="s">
        <v>2321</v>
      </c>
      <c r="B125" s="3014"/>
      <c r="C125" s="3014"/>
      <c r="D125" s="3059" t="e">
        <f>NUMBERSTRING(INT(D124*10000),2)&amp;"元整"</f>
        <v>#VALUE!</v>
      </c>
      <c r="E125" s="3061"/>
      <c r="F125" s="3061"/>
      <c r="G125" s="3061"/>
      <c r="H125" s="3061"/>
      <c r="I125" s="3060"/>
    </row>
    <row r="126" spans="1:11" ht="18.75" hidden="1" customHeight="1">
      <c r="A126" s="3065" t="str">
        <f>IF(项目基本情况!B9="房地产市场价值","",MID(E111,3,LEN(E111)-2))</f>
        <v/>
      </c>
      <c r="B126" s="3065"/>
      <c r="C126" s="3065"/>
      <c r="D126" s="3054" t="str">
        <f>H111</f>
        <v>——</v>
      </c>
      <c r="E126" s="3055"/>
      <c r="F126" s="3055"/>
      <c r="G126" s="3055"/>
      <c r="H126" s="3055"/>
      <c r="I126" s="3056"/>
    </row>
    <row r="127" spans="1:11" ht="18.75" hidden="1" customHeight="1">
      <c r="A127" s="3014" t="s">
        <v>2321</v>
      </c>
      <c r="B127" s="3014"/>
      <c r="C127" s="3014"/>
      <c r="D127" s="3059" t="e">
        <f>NUMBERSTRING(INT(D126*10000),2)&amp;"元整"</f>
        <v>#VALUE!</v>
      </c>
      <c r="E127" s="3061"/>
      <c r="F127" s="3061"/>
      <c r="G127" s="3061"/>
      <c r="H127" s="3061"/>
      <c r="I127" s="3060"/>
    </row>
    <row r="128" spans="1:11" ht="21.75" customHeight="1">
      <c r="A128" s="3062" t="s">
        <v>2322</v>
      </c>
      <c r="B128" s="3062"/>
      <c r="C128" s="3062"/>
      <c r="D128" s="3062"/>
      <c r="E128" s="3062"/>
      <c r="F128" s="3062"/>
      <c r="G128" s="3062"/>
      <c r="H128" s="3062"/>
      <c r="I128" s="3062"/>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t="s">
        <v>3102</v>
      </c>
      <c r="C137" s="795"/>
      <c r="D137" s="795"/>
      <c r="E137" s="795"/>
      <c r="F137" s="795"/>
      <c r="G137" s="795"/>
      <c r="H137" s="795"/>
      <c r="I137" s="795"/>
    </row>
    <row r="138" spans="1:35" ht="21.75" customHeight="1">
      <c r="A138" s="795"/>
      <c r="B138" s="2543" t="s">
        <v>3104</v>
      </c>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8"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B25" sqref="B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71651</v>
      </c>
      <c r="C2" s="243" t="s">
        <v>2332</v>
      </c>
      <c r="D2" s="2548" t="s">
        <v>70</v>
      </c>
      <c r="E2" s="1439"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16398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37379</v>
      </c>
      <c r="D5" s="255" t="s">
        <v>2338</v>
      </c>
      <c r="E5" s="256" t="s">
        <v>2339</v>
      </c>
      <c r="F5" s="256" t="s">
        <v>2340</v>
      </c>
      <c r="G5" s="257"/>
    </row>
    <row r="6" spans="1:9" s="258" customFormat="1" ht="13.5" customHeight="1">
      <c r="A6" s="948" t="s">
        <v>2341</v>
      </c>
      <c r="B6" s="259" t="s">
        <v>2342</v>
      </c>
      <c r="C6" s="260">
        <f ca="1">基准地价修正!E29-基准地价修正!E30</f>
        <v>35425</v>
      </c>
      <c r="D6" s="261"/>
      <c r="E6" s="262"/>
      <c r="F6" s="262"/>
      <c r="G6" s="263"/>
    </row>
    <row r="7" spans="1:9" s="258" customFormat="1" ht="13.5" customHeight="1">
      <c r="A7" s="948" t="s">
        <v>2343</v>
      </c>
      <c r="B7" s="259" t="s">
        <v>2344</v>
      </c>
      <c r="C7" s="264">
        <f ca="1">ROUND(C6*F7,0)</f>
        <v>1080</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874</v>
      </c>
      <c r="D8" s="266"/>
      <c r="E8" s="264"/>
      <c r="F8" s="265"/>
      <c r="G8" s="2551" t="s">
        <v>3082</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0</v>
      </c>
      <c r="F9" s="265"/>
      <c r="G9" s="2552"/>
      <c r="H9" s="1389"/>
      <c r="I9" s="2553" t="s">
        <v>2348</v>
      </c>
    </row>
    <row r="10" spans="1:9" s="258" customFormat="1" ht="13.5" customHeight="1">
      <c r="A10" s="949" t="s">
        <v>801</v>
      </c>
      <c r="B10" s="268" t="s">
        <v>2349</v>
      </c>
      <c r="C10" s="269">
        <f ca="1">ROUND(D10*E10/10000,0)</f>
        <v>874</v>
      </c>
      <c r="D10" s="1031">
        <f ca="1">IF(B1="",'数据-汇总表'!E6,IF(INDIRECT("'数据-取费表'!c"&amp;$G$1)="住宅",INDIRECT("'数据-取费表'!s"&amp;$G$1),INDIRECT("'数据-取费表'!k"&amp;$G$1)+INDIRECT("'数据-取费表'!s"&amp;$G$1)))</f>
        <v>43696.250000000007</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43696.250000000007</v>
      </c>
      <c r="E19" s="255">
        <f>'数据-取费表'!B31</f>
        <v>200</v>
      </c>
      <c r="F19" s="275"/>
      <c r="G19" s="2551" t="s">
        <v>3083</v>
      </c>
    </row>
    <row r="20" spans="1:7" s="258" customFormat="1" ht="13.5" customHeight="1">
      <c r="A20" s="299" t="s">
        <v>2362</v>
      </c>
      <c r="B20" s="254" t="s">
        <v>2363</v>
      </c>
      <c r="C20" s="276">
        <f ca="1">ROUND((C5+C19)*F20,0)</f>
        <v>748</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3">
        <f ca="1">ROUND(SUM(C23:C25),0)</f>
        <v>3671</v>
      </c>
      <c r="D22" s="279">
        <f ca="1">C26</f>
        <v>1E-3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3635</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36</v>
      </c>
      <c r="D25" s="282"/>
      <c r="E25" s="285"/>
      <c r="F25" s="283"/>
      <c r="G25" s="286" t="s">
        <v>2379</v>
      </c>
    </row>
    <row r="26" spans="1:7" s="258" customFormat="1">
      <c r="A26" s="950"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9532</v>
      </c>
      <c r="D27" s="279">
        <f ca="1">C29</f>
        <v>5.0000000000000001E-3</v>
      </c>
      <c r="E27" s="280" t="s">
        <v>2383</v>
      </c>
      <c r="F27" s="290">
        <f ca="1">IF(B1="",'数据-取费表'!Q16,INDIRECT("'数据-取费表'!q"&amp;$G$1))</f>
        <v>0.25</v>
      </c>
      <c r="G27" s="291" t="s">
        <v>2384</v>
      </c>
    </row>
    <row r="28" spans="1:7" s="258" customFormat="1" ht="13.5" customHeight="1">
      <c r="A28" s="950" t="s">
        <v>791</v>
      </c>
      <c r="B28" s="292" t="s">
        <v>2385</v>
      </c>
      <c r="C28" s="293">
        <f ca="1">ROUND((C5+C19+C20)*F27*'数据-取费表'!B21/'数据-取费表'!B20,0)</f>
        <v>9532</v>
      </c>
      <c r="D28" s="279"/>
      <c r="E28" s="280"/>
      <c r="F28" s="290"/>
      <c r="G28" s="291"/>
    </row>
    <row r="29" spans="1:7" s="258" customFormat="1" ht="13.5" customHeight="1">
      <c r="A29" s="950" t="s">
        <v>792</v>
      </c>
      <c r="B29" s="292" t="s">
        <v>2386</v>
      </c>
      <c r="C29" s="282">
        <f ca="1">ROUND(C21*F27*'数据-取费表'!B21/'数据-取费表'!B20,4)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55751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12290</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10924</v>
      </c>
      <c r="D34" s="261"/>
      <c r="E34" s="264"/>
      <c r="F34" s="301">
        <f ca="1">IF('数据-取费表'!B24=0,1,IF(B1="",'数据-取费表'!N16,INDIRECT("'数据-取费表'!n"&amp;$G$1)))</f>
        <v>1</v>
      </c>
      <c r="G34" s="263" t="s">
        <v>2395</v>
      </c>
    </row>
    <row r="35" spans="1:7" ht="13.5" customHeight="1">
      <c r="A35" s="950" t="s">
        <v>796</v>
      </c>
      <c r="B35" s="259" t="s">
        <v>2396</v>
      </c>
      <c r="C35" s="264">
        <f ca="1">ROUND(C34*F35,0)</f>
        <v>328</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0" t="s">
        <v>798</v>
      </c>
      <c r="B37" s="259" t="s">
        <v>2400</v>
      </c>
      <c r="C37" s="293">
        <f ca="1">ROUND(E37*D37*F34/10000,0)</f>
        <v>874</v>
      </c>
      <c r="D37" s="261">
        <f ca="1">D19</f>
        <v>43696.250000000007</v>
      </c>
      <c r="E37" s="293">
        <f>'数据-取费表'!B35</f>
        <v>200</v>
      </c>
      <c r="F37" s="303"/>
      <c r="G37" s="305" t="s">
        <v>2401</v>
      </c>
    </row>
    <row r="38" spans="1:7" ht="13.5" customHeight="1">
      <c r="A38" s="950" t="s">
        <v>799</v>
      </c>
      <c r="B38" s="259" t="s">
        <v>2402</v>
      </c>
      <c r="C38" s="264">
        <f ca="1">ROUND(C34*F38,0)</f>
        <v>164</v>
      </c>
      <c r="D38" s="264"/>
      <c r="E38" s="264"/>
      <c r="F38" s="303">
        <f>'数据-取费表'!B36</f>
        <v>1.4999999999999999E-2</v>
      </c>
      <c r="G38" s="263" t="s">
        <v>2397</v>
      </c>
    </row>
    <row r="39" spans="1:7" s="258" customFormat="1" ht="13.5" customHeight="1">
      <c r="A39" s="299" t="s">
        <v>2403</v>
      </c>
      <c r="B39" s="254" t="s">
        <v>2404</v>
      </c>
      <c r="C39" s="276">
        <f ca="1">ROUND(C33*F20,0)</f>
        <v>246</v>
      </c>
      <c r="D39" s="276"/>
      <c r="E39" s="276"/>
      <c r="F39" s="277"/>
      <c r="G39" s="278" t="s">
        <v>2405</v>
      </c>
    </row>
    <row r="40" spans="1:7" s="258" customFormat="1" ht="13.5" customHeight="1">
      <c r="A40" s="299" t="s">
        <v>2406</v>
      </c>
      <c r="B40" s="254" t="s">
        <v>2407</v>
      </c>
      <c r="C40" s="1728">
        <f>F21</f>
        <v>0.02</v>
      </c>
      <c r="D40" s="280" t="s">
        <v>2408</v>
      </c>
      <c r="E40" s="276"/>
      <c r="F40" s="277"/>
      <c r="G40" s="278" t="s">
        <v>2409</v>
      </c>
    </row>
    <row r="41" spans="1:7" s="258" customFormat="1" ht="13.5" customHeight="1">
      <c r="A41" s="299" t="s">
        <v>2410</v>
      </c>
      <c r="B41" s="254" t="s">
        <v>2411</v>
      </c>
      <c r="C41" s="276">
        <f ca="1">ROUND(SUM(C42:C43),0)</f>
        <v>596</v>
      </c>
      <c r="D41" s="279">
        <f ca="1">C44</f>
        <v>1E-3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584</v>
      </c>
      <c r="D42" s="282"/>
      <c r="E42" s="282"/>
      <c r="F42" s="283"/>
      <c r="G42" s="3134" t="s">
        <v>2413</v>
      </c>
    </row>
    <row r="43" spans="1:7" ht="13.5" customHeight="1">
      <c r="A43" s="950" t="s">
        <v>792</v>
      </c>
      <c r="B43" s="259" t="s">
        <v>2414</v>
      </c>
      <c r="C43" s="282">
        <f ca="1">ROUND(IF('数据-取费表'!B22&lt;=1,C39*F22*'数据-取费表'!B21/2,C39*(POWER((1+F22),'数据-取费表'!B21/2)-1)),0)</f>
        <v>12</v>
      </c>
      <c r="D43" s="282"/>
      <c r="E43" s="282"/>
      <c r="F43" s="283"/>
      <c r="G43" s="3135"/>
    </row>
    <row r="44" spans="1:7" ht="13.5" customHeight="1">
      <c r="A44" s="950" t="s">
        <v>793</v>
      </c>
      <c r="B44" s="259" t="s">
        <v>2415</v>
      </c>
      <c r="C44" s="282">
        <f ca="1">ROUND(IF('数据-取费表'!B22&lt;=1,C40*F22*'数据-取费表'!B21/2,C40*(POWER((1+F22),'数据-取费表'!B21/2)-1)),4)</f>
        <v>1E-3</v>
      </c>
      <c r="D44" s="282"/>
      <c r="E44" s="282"/>
      <c r="F44" s="283"/>
      <c r="G44" s="3136"/>
    </row>
    <row r="45" spans="1:7" s="258" customFormat="1" ht="13.5" customHeight="1">
      <c r="A45" s="299" t="s">
        <v>2416</v>
      </c>
      <c r="B45" s="288" t="s">
        <v>2382</v>
      </c>
      <c r="C45" s="289">
        <f ca="1">C46</f>
        <v>3134</v>
      </c>
      <c r="D45" s="279">
        <f ca="1">C47</f>
        <v>5.0000000000000001E-3</v>
      </c>
      <c r="E45" s="280" t="s">
        <v>2408</v>
      </c>
      <c r="F45" s="290"/>
      <c r="G45" s="291" t="s">
        <v>2417</v>
      </c>
    </row>
    <row r="46" spans="1:7" s="258" customFormat="1" ht="13.5" customHeight="1">
      <c r="A46" s="950" t="s">
        <v>791</v>
      </c>
      <c r="B46" s="292" t="s">
        <v>2418</v>
      </c>
      <c r="C46" s="293">
        <f ca="1">ROUND((C33+C39)*F27,0)</f>
        <v>3134</v>
      </c>
      <c r="D46" s="307"/>
      <c r="E46" s="280"/>
      <c r="F46" s="290"/>
      <c r="G46" s="291"/>
    </row>
    <row r="47" spans="1:7" s="258" customFormat="1" ht="13.5" customHeight="1">
      <c r="A47" s="950" t="s">
        <v>792</v>
      </c>
      <c r="B47" s="292" t="s">
        <v>2419</v>
      </c>
      <c r="C47" s="282">
        <f ca="1">ROUND(C40*F27,4)</f>
        <v>5.0000000000000001E-3</v>
      </c>
      <c r="D47" s="307"/>
      <c r="E47" s="280"/>
      <c r="F47" s="290"/>
      <c r="G47" s="291"/>
    </row>
    <row r="48" spans="1:7" s="258" customFormat="1" ht="13.5" customHeight="1">
      <c r="A48" s="299" t="s">
        <v>2381</v>
      </c>
      <c r="B48" s="254" t="s">
        <v>2420</v>
      </c>
      <c r="C48" s="1728">
        <f>ROUND(F30/(1+'数据-取费表'!C42),4)</f>
        <v>5.33E-2</v>
      </c>
      <c r="D48" s="280" t="s">
        <v>2408</v>
      </c>
      <c r="E48" s="276"/>
      <c r="F48" s="281"/>
      <c r="G48" s="278" t="s">
        <v>2421</v>
      </c>
    </row>
    <row r="49" spans="1:7" ht="16.5" customHeight="1">
      <c r="A49" s="299" t="s">
        <v>2387</v>
      </c>
      <c r="B49" s="254" t="s">
        <v>2422</v>
      </c>
      <c r="C49" s="276">
        <f ca="1">ROUND((C33+C39+C41+C45)/(1-C40-D41-D45-C48),0)</f>
        <v>17667</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15900</v>
      </c>
      <c r="D51" s="276"/>
      <c r="E51" s="276"/>
      <c r="F51" s="308"/>
      <c r="G51" s="278" t="s">
        <v>2429</v>
      </c>
    </row>
    <row r="52" spans="1:7" s="252" customFormat="1" ht="16.5" thickBot="1">
      <c r="A52" s="309" t="s">
        <v>2430</v>
      </c>
      <c r="B52" s="310"/>
      <c r="C52" s="311">
        <f ca="1">C31+C51</f>
        <v>71651</v>
      </c>
      <c r="D52" s="310"/>
      <c r="E52" s="310"/>
      <c r="F52" s="310"/>
      <c r="G52" s="312"/>
    </row>
    <row r="55" spans="1:7" ht="15">
      <c r="B55" s="314" t="s">
        <v>2431</v>
      </c>
      <c r="C55" s="315"/>
    </row>
    <row r="56" spans="1:7">
      <c r="B56" s="317" t="s">
        <v>1514</v>
      </c>
      <c r="C56" s="319">
        <f ca="1">1-C57</f>
        <v>0.77800000000000002</v>
      </c>
    </row>
    <row r="57" spans="1:7">
      <c r="B57" s="317" t="s">
        <v>1515</v>
      </c>
      <c r="C57" s="318">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48" t="str">
        <f>项目基本情况!B1</f>
        <v>北京市预评估</v>
      </c>
      <c r="C37" s="2948"/>
      <c r="D37" s="2948"/>
      <c r="E37" s="2948"/>
      <c r="F37" s="2948"/>
      <c r="G37" s="2948"/>
      <c r="H37" s="2948"/>
      <c r="I37" s="2948"/>
    </row>
    <row r="38" spans="1:9">
      <c r="A38" s="1015"/>
      <c r="B38" s="1015"/>
    </row>
    <row r="39" spans="1:9">
      <c r="A39" s="1013" t="s">
        <v>818</v>
      </c>
      <c r="B39" s="1013" t="s">
        <v>820</v>
      </c>
    </row>
    <row r="40" spans="1:9">
      <c r="A40" s="1013"/>
      <c r="B40" s="1942" t="str">
        <f>项目基本情况!B5</f>
        <v>北京六合天地置业有限责任公司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欧红伟（注册号：1120000080)、李立（注册号：1119970074)</v>
      </c>
    </row>
    <row r="47" spans="1:9">
      <c r="A47" s="1013"/>
      <c r="B47" s="1013" t="str">
        <f ca="1">项目基本情况!K5</f>
        <v>梁津（注册号：1119970066)</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4"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18506</v>
      </c>
      <c r="C2" s="243" t="s">
        <v>2332</v>
      </c>
      <c r="D2" s="2548" t="s">
        <v>70</v>
      </c>
      <c r="E2" s="1439"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4235</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8739250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8739250</v>
      </c>
      <c r="D8" s="266"/>
      <c r="E8" s="264"/>
      <c r="F8" s="265"/>
      <c r="G8" s="2551"/>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2349</v>
      </c>
      <c r="C10" s="269">
        <f ca="1">ROUND(D10*E10,0)</f>
        <v>8739250</v>
      </c>
      <c r="D10" s="1031">
        <f ca="1">IF(B1="",'数据-汇总表'!E6,IF(INDIRECT("'数据-取费表'!c"&amp;$G$1)="住宅",INDIRECT("'数据-取费表'!s"&amp;$G$1),INDIRECT("'数据-取费表'!k"&amp;$G$1)+INDIRECT("'数据-取费表'!s"&amp;$G$1)))</f>
        <v>43696.250000000007</v>
      </c>
      <c r="E10" s="269">
        <f>'数据-取费表'!B28</f>
        <v>200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8739250</v>
      </c>
      <c r="D19" s="1035">
        <f ca="1">D9+D10</f>
        <v>43696.250000000007</v>
      </c>
      <c r="E19" s="255">
        <f>'数据-取费表'!B31</f>
        <v>200</v>
      </c>
      <c r="F19" s="275"/>
      <c r="G19" s="2551"/>
    </row>
    <row r="20" spans="1:7" s="258" customFormat="1" ht="13.5" customHeight="1">
      <c r="A20" s="299" t="s">
        <v>2443</v>
      </c>
      <c r="B20" s="254" t="s">
        <v>2444</v>
      </c>
      <c r="C20" s="276">
        <f ca="1">ROUND((C5+C19)*F20,0)</f>
        <v>349570</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9">
        <f ca="1">ROUND(SUM(C23:C25),0)</f>
        <v>1716499</v>
      </c>
      <c r="D22" s="279">
        <f ca="1">C26</f>
        <v>1E-3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849947</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849947</v>
      </c>
      <c r="D24" s="282"/>
      <c r="E24" s="282"/>
      <c r="F24" s="283"/>
      <c r="G24" s="284" t="s">
        <v>2455</v>
      </c>
    </row>
    <row r="25" spans="1:7" s="258" customFormat="1" ht="24">
      <c r="A25" s="950" t="s">
        <v>2345</v>
      </c>
      <c r="B25" s="259" t="s">
        <v>2456</v>
      </c>
      <c r="C25" s="1380">
        <f ca="1">ROUND(IF('数据-取费表'!B22&lt;=1,C20*F22*'数据-取费表'!B22/2,C20*(POWER((1+F22),'数据-取费表'!B22/2)-1)),0)</f>
        <v>16605</v>
      </c>
      <c r="D25" s="282"/>
      <c r="E25" s="285"/>
      <c r="F25" s="283"/>
      <c r="G25" s="286" t="s">
        <v>2457</v>
      </c>
    </row>
    <row r="26" spans="1:7" s="258" customFormat="1">
      <c r="A26" s="950"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4457018</v>
      </c>
      <c r="D27" s="279">
        <f ca="1">C29</f>
        <v>5.0000000000000001E-3</v>
      </c>
      <c r="E27" s="280" t="s">
        <v>2383</v>
      </c>
      <c r="F27" s="290">
        <f ca="1">IF(B1="",'数据-取费表'!Q16,INDIRECT("'数据-取费表'!q"&amp;$G$1))</f>
        <v>0.25</v>
      </c>
      <c r="G27" s="291" t="s">
        <v>2384</v>
      </c>
    </row>
    <row r="28" spans="1:7" s="258" customFormat="1" ht="13.5" customHeight="1">
      <c r="A28" s="950" t="s">
        <v>791</v>
      </c>
      <c r="B28" s="292" t="s">
        <v>2385</v>
      </c>
      <c r="C28" s="293">
        <f ca="1">ROUND((C5+C19+C20)*F27,0)</f>
        <v>4457018</v>
      </c>
      <c r="D28" s="279"/>
      <c r="E28" s="280"/>
      <c r="F28" s="290"/>
      <c r="G28" s="291"/>
    </row>
    <row r="29" spans="1:7" s="258" customFormat="1" ht="13.5" customHeight="1">
      <c r="A29" s="950"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26068847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122895703</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109240625</v>
      </c>
      <c r="D34" s="261"/>
      <c r="E34" s="264"/>
      <c r="F34" s="301"/>
      <c r="G34" s="263"/>
    </row>
    <row r="35" spans="1:7" ht="13.5" customHeight="1">
      <c r="A35" s="950" t="s">
        <v>796</v>
      </c>
      <c r="B35" s="259" t="s">
        <v>2396</v>
      </c>
      <c r="C35" s="264">
        <f ca="1">ROUND(C34*F35,0)</f>
        <v>3277219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0" t="s">
        <v>798</v>
      </c>
      <c r="B37" s="259" t="s">
        <v>2400</v>
      </c>
      <c r="C37" s="293">
        <f ca="1">ROUND(E37*D37,0)</f>
        <v>8739250</v>
      </c>
      <c r="D37" s="261">
        <f ca="1">D19</f>
        <v>43696.250000000007</v>
      </c>
      <c r="E37" s="293">
        <f>'数据-取费表'!B35</f>
        <v>200</v>
      </c>
      <c r="F37" s="303"/>
      <c r="G37" s="305"/>
    </row>
    <row r="38" spans="1:7" ht="13.5" customHeight="1">
      <c r="A38" s="950" t="s">
        <v>799</v>
      </c>
      <c r="B38" s="259" t="s">
        <v>2402</v>
      </c>
      <c r="C38" s="264">
        <f ca="1">ROUND(C34*F38,0)</f>
        <v>1638609</v>
      </c>
      <c r="D38" s="264"/>
      <c r="E38" s="264"/>
      <c r="F38" s="303">
        <f>'数据-取费表'!B36</f>
        <v>1.4999999999999999E-2</v>
      </c>
      <c r="G38" s="263" t="s">
        <v>2397</v>
      </c>
    </row>
    <row r="39" spans="1:7" s="258" customFormat="1" ht="13.5" customHeight="1">
      <c r="A39" s="299" t="s">
        <v>2403</v>
      </c>
      <c r="B39" s="254" t="s">
        <v>2404</v>
      </c>
      <c r="C39" s="276">
        <f ca="1">ROUND(C33*F20,0)</f>
        <v>2457914</v>
      </c>
      <c r="D39" s="276"/>
      <c r="E39" s="276"/>
      <c r="F39" s="277"/>
      <c r="G39" s="278" t="s">
        <v>2405</v>
      </c>
    </row>
    <row r="40" spans="1:7" s="258" customFormat="1" ht="13.5" customHeight="1">
      <c r="A40" s="299" t="s">
        <v>2406</v>
      </c>
      <c r="B40" s="254" t="s">
        <v>2407</v>
      </c>
      <c r="C40" s="1728">
        <f>F21</f>
        <v>0.02</v>
      </c>
      <c r="D40" s="280" t="s">
        <v>2408</v>
      </c>
      <c r="E40" s="276"/>
      <c r="F40" s="277"/>
      <c r="G40" s="278" t="s">
        <v>2409</v>
      </c>
    </row>
    <row r="41" spans="1:7" s="258" customFormat="1" ht="13.5" customHeight="1">
      <c r="A41" s="299" t="s">
        <v>2410</v>
      </c>
      <c r="B41" s="254" t="s">
        <v>2411</v>
      </c>
      <c r="C41" s="276">
        <f ca="1">ROUND(SUM(C42:C43),0)</f>
        <v>5954297</v>
      </c>
      <c r="D41" s="279">
        <f ca="1">C44</f>
        <v>1E-3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5837546</v>
      </c>
      <c r="D42" s="282"/>
      <c r="E42" s="282"/>
      <c r="F42" s="283"/>
      <c r="G42" s="3134" t="s">
        <v>2460</v>
      </c>
    </row>
    <row r="43" spans="1:7" ht="13.5" customHeight="1">
      <c r="A43" s="950" t="s">
        <v>792</v>
      </c>
      <c r="B43" s="259" t="s">
        <v>2414</v>
      </c>
      <c r="C43" s="282">
        <f ca="1">ROUND(IF('数据-取费表'!B22&lt;=1,C39*F22*'数据-取费表'!B20/2,C39*(POWER((1+F22),'数据-取费表'!B20/2)-1)),0)</f>
        <v>116751</v>
      </c>
      <c r="D43" s="282"/>
      <c r="E43" s="282"/>
      <c r="F43" s="283"/>
      <c r="G43" s="3135"/>
    </row>
    <row r="44" spans="1:7" ht="13.5" customHeight="1">
      <c r="A44" s="950" t="s">
        <v>793</v>
      </c>
      <c r="B44" s="259" t="s">
        <v>2415</v>
      </c>
      <c r="C44" s="282">
        <f ca="1">ROUND(IF('数据-取费表'!B22&lt;=1,C40*F22*'数据-取费表'!B20/2,C40*(POWER((1+F22),'数据-取费表'!B20/2)-1)),4)</f>
        <v>1E-3</v>
      </c>
      <c r="D44" s="282"/>
      <c r="E44" s="282"/>
      <c r="F44" s="283"/>
      <c r="G44" s="3136"/>
    </row>
    <row r="45" spans="1:7" s="258" customFormat="1" ht="13.5" customHeight="1">
      <c r="A45" s="299" t="s">
        <v>2416</v>
      </c>
      <c r="B45" s="288" t="s">
        <v>2382</v>
      </c>
      <c r="C45" s="289">
        <f ca="1">C46</f>
        <v>31338404</v>
      </c>
      <c r="D45" s="279">
        <f ca="1">C47</f>
        <v>5.0000000000000001E-3</v>
      </c>
      <c r="E45" s="280" t="s">
        <v>2408</v>
      </c>
      <c r="F45" s="290"/>
      <c r="G45" s="291" t="s">
        <v>2417</v>
      </c>
    </row>
    <row r="46" spans="1:7" s="258" customFormat="1" ht="13.5" customHeight="1">
      <c r="A46" s="950" t="s">
        <v>791</v>
      </c>
      <c r="B46" s="292" t="s">
        <v>2418</v>
      </c>
      <c r="C46" s="293">
        <f ca="1">ROUND((C33+C39)*F27,0)</f>
        <v>31338404</v>
      </c>
      <c r="D46" s="307"/>
      <c r="E46" s="280"/>
      <c r="F46" s="290"/>
      <c r="G46" s="291"/>
    </row>
    <row r="47" spans="1:7" s="258" customFormat="1" ht="13.5" customHeight="1">
      <c r="A47" s="950"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176655065</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158989559</v>
      </c>
      <c r="D51" s="276"/>
      <c r="E51" s="276"/>
      <c r="F51" s="308"/>
      <c r="G51" s="278" t="s">
        <v>2429</v>
      </c>
    </row>
    <row r="52" spans="1:7" s="252" customFormat="1" ht="16.5" thickBot="1">
      <c r="A52" s="309" t="s">
        <v>2430</v>
      </c>
      <c r="B52" s="310"/>
      <c r="C52" s="311">
        <f ca="1">C31+C51</f>
        <v>185058406</v>
      </c>
      <c r="D52" s="310"/>
      <c r="E52" s="310"/>
      <c r="F52" s="310"/>
      <c r="G52" s="312"/>
    </row>
    <row r="55" spans="1:7" ht="15">
      <c r="B55" s="314" t="s">
        <v>2431</v>
      </c>
      <c r="C55" s="315"/>
    </row>
    <row r="56" spans="1:7">
      <c r="B56" s="317" t="s">
        <v>1514</v>
      </c>
      <c r="C56" s="319">
        <f ca="1">1-C57</f>
        <v>0.14100000000000001</v>
      </c>
    </row>
    <row r="57" spans="1:7">
      <c r="B57" s="317" t="s">
        <v>1515</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5" customFormat="1" ht="16.5" customHeight="1">
      <c r="A4" s="952" t="s">
        <v>2466</v>
      </c>
      <c r="B4" s="953"/>
      <c r="C4" s="995">
        <f>SUM(C8:K8)</f>
        <v>0</v>
      </c>
      <c r="D4" s="953"/>
      <c r="E4" s="953"/>
      <c r="F4" s="953"/>
      <c r="G4" s="953"/>
      <c r="H4" s="953"/>
      <c r="I4" s="953"/>
      <c r="J4" s="953"/>
      <c r="K4" s="954"/>
    </row>
    <row r="5" spans="1:33" s="959" customFormat="1" ht="24.75">
      <c r="A5" s="956" t="s">
        <v>2467</v>
      </c>
      <c r="B5" s="957" t="s">
        <v>2468</v>
      </c>
      <c r="C5" s="2555" t="s">
        <v>2469</v>
      </c>
      <c r="D5" s="2555" t="s">
        <v>2470</v>
      </c>
      <c r="E5" s="2555" t="s">
        <v>2471</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2472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2473</v>
      </c>
      <c r="B7" s="139"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2475</v>
      </c>
      <c r="B8" s="177" t="s">
        <v>2476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2477</v>
      </c>
      <c r="B9" s="953"/>
      <c r="C9" s="953"/>
      <c r="D9" s="953"/>
      <c r="E9" s="953"/>
      <c r="F9" s="953"/>
      <c r="G9" s="953"/>
      <c r="H9" s="953"/>
      <c r="I9" s="953"/>
      <c r="J9" s="953"/>
      <c r="K9" s="954"/>
    </row>
    <row r="10" spans="1:33" s="969" customFormat="1" ht="13.5" customHeight="1">
      <c r="A10" s="956" t="s">
        <v>2478</v>
      </c>
      <c r="B10" s="8" t="s">
        <v>2479</v>
      </c>
      <c r="C10" s="965" t="s">
        <v>2480</v>
      </c>
      <c r="D10" s="966" t="s">
        <v>2481</v>
      </c>
      <c r="E10" s="966" t="s">
        <v>2482</v>
      </c>
      <c r="F10" s="966" t="s">
        <v>2483</v>
      </c>
      <c r="G10" s="8"/>
      <c r="H10" s="967"/>
      <c r="I10" s="967"/>
      <c r="J10" s="967"/>
      <c r="K10" s="968"/>
    </row>
    <row r="11" spans="1:33" s="974" customFormat="1" ht="13.5" customHeight="1">
      <c r="A11" s="970" t="s">
        <v>1335</v>
      </c>
      <c r="B11" s="971" t="s">
        <v>2484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1336</v>
      </c>
      <c r="B12" s="971" t="s">
        <v>2485</v>
      </c>
      <c r="C12" s="24">
        <f ca="1">ROUND(C11*F12,0)</f>
        <v>0</v>
      </c>
      <c r="D12" s="972"/>
      <c r="E12" s="375"/>
      <c r="F12" s="975">
        <f>'数据-取费表'!B33</f>
        <v>0.03</v>
      </c>
      <c r="G12" s="8" t="s">
        <v>2486</v>
      </c>
      <c r="H12" s="967"/>
      <c r="I12" s="967"/>
      <c r="J12" s="967"/>
      <c r="K12" s="968"/>
    </row>
    <row r="13" spans="1:33" s="974" customFormat="1" ht="13.5" customHeight="1">
      <c r="A13" s="970" t="s">
        <v>1337</v>
      </c>
      <c r="B13" s="971" t="s">
        <v>2487</v>
      </c>
      <c r="C13" s="24">
        <f ca="1">ROUND(IF(C1="",SUMIF('数据-取费表'!C:C,"住宅",'数据-取费表'!P:P)*F13,IF(INDIRECT("'数据-取费表'!c"&amp;$K$1)="住宅",INDIRECT("'数据-取费表'!P"&amp;$K$1)*F13,0)),0)</f>
        <v>0</v>
      </c>
      <c r="D13" s="1032"/>
      <c r="E13" s="375"/>
      <c r="F13" s="975">
        <f>'数据-取费表'!B34</f>
        <v>0</v>
      </c>
      <c r="G13" s="8" t="s">
        <v>2488</v>
      </c>
      <c r="H13" s="967"/>
      <c r="I13" s="967"/>
      <c r="J13" s="967"/>
      <c r="K13" s="968"/>
    </row>
    <row r="14" spans="1:33" s="976" customFormat="1" ht="13.5" customHeight="1">
      <c r="A14" s="970" t="s">
        <v>1338</v>
      </c>
      <c r="B14" s="971" t="s">
        <v>2489</v>
      </c>
      <c r="C14" s="24">
        <f ca="1">ROUND(D14*E14*F11/10000,0)</f>
        <v>0</v>
      </c>
      <c r="D14" s="1032">
        <f ca="1">IF(C1="",'数据-汇总表'!E3,INDIRECT("'数据-取费表'!K"&amp;$K$1)+INDIRECT("'数据-取费表'!S"&amp;$K$1))</f>
        <v>43696.250000000007</v>
      </c>
      <c r="E14" s="24">
        <f>'数据-取费表'!B35</f>
        <v>200</v>
      </c>
      <c r="F14" s="975"/>
      <c r="G14" s="8" t="s">
        <v>2490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2491</v>
      </c>
      <c r="C15" s="982">
        <f ca="1">ROUND(C11*F15,0)</f>
        <v>0</v>
      </c>
      <c r="D15" s="977"/>
      <c r="E15" s="982"/>
      <c r="F15" s="983">
        <f>'数据-取费表'!B36</f>
        <v>1.4999999999999999E-2</v>
      </c>
      <c r="G15" s="139" t="s">
        <v>2492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2493</v>
      </c>
      <c r="C16" s="982">
        <f ca="1">SUM(C11:C15)</f>
        <v>0</v>
      </c>
      <c r="D16" s="977"/>
      <c r="E16" s="982"/>
      <c r="F16" s="983"/>
      <c r="G16" s="139"/>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2494</v>
      </c>
      <c r="C17" s="24">
        <f ca="1">ROUND(D17*E17/10000,0)</f>
        <v>0</v>
      </c>
      <c r="D17" s="1032">
        <f ca="1">D14</f>
        <v>43696.250000000007</v>
      </c>
      <c r="E17" s="24">
        <f>'数据-取费表'!B32</f>
        <v>0</v>
      </c>
      <c r="F17" s="977"/>
      <c r="G17" s="139" t="s">
        <v>2495</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2496</v>
      </c>
      <c r="C18" s="24">
        <f ca="1">C19+C20-IF(C1="",'数据-取费表'!B29,IF(G18="已全部缴纳",C19+C20,H18))</f>
        <v>0</v>
      </c>
      <c r="D18" s="1032"/>
      <c r="E18" s="24"/>
      <c r="F18" s="975"/>
      <c r="G18" s="2557"/>
      <c r="H18" s="1577"/>
      <c r="I18" s="2558" t="s">
        <v>2497</v>
      </c>
      <c r="J18" s="978"/>
      <c r="K18" s="979"/>
    </row>
    <row r="19" spans="1:33" s="974" customFormat="1" ht="13.5" customHeight="1">
      <c r="A19" s="970" t="s">
        <v>805</v>
      </c>
      <c r="B19" s="971" t="s">
        <v>2498</v>
      </c>
      <c r="C19" s="24">
        <f ca="1">ROUND(D19*E19/10000,0)</f>
        <v>0</v>
      </c>
      <c r="D19" s="1032">
        <f ca="1">IF(C1="",'数据-汇总表'!E5,IF(INDIRECT("'数据-取费表'!c"&amp;$K$1)="住宅",INDIRECT("'数据-取费表'!k"&amp;$K$1),0))</f>
        <v>0</v>
      </c>
      <c r="E19" s="24">
        <f>'数据-取费表'!B27</f>
        <v>0</v>
      </c>
      <c r="F19" s="975"/>
      <c r="G19" s="15"/>
      <c r="H19" s="1579"/>
      <c r="I19" s="980"/>
      <c r="J19" s="980"/>
      <c r="K19" s="981"/>
    </row>
    <row r="20" spans="1:33" s="974" customFormat="1" ht="13.5" customHeight="1">
      <c r="A20" s="970" t="s">
        <v>806</v>
      </c>
      <c r="B20" s="971" t="s">
        <v>2499</v>
      </c>
      <c r="C20" s="24">
        <f ca="1">ROUND(D20*E20/10000,0)</f>
        <v>874</v>
      </c>
      <c r="D20" s="1032">
        <f ca="1">IF(C1="",'数据-汇总表'!E6,IF(INDIRECT("'数据-取费表'!c"&amp;$K$1)="住宅",INDIRECT("'数据-取费表'!s"&amp;$K$1),INDIRECT("'数据-取费表'!k"&amp;$K$1)+INDIRECT("'数据-取费表'!s"&amp;$K$1)))</f>
        <v>43696.250000000007</v>
      </c>
      <c r="E20" s="24">
        <f>'数据-取费表'!B28</f>
        <v>200</v>
      </c>
      <c r="F20" s="975"/>
      <c r="G20" s="15"/>
      <c r="H20" s="980"/>
      <c r="I20" s="980"/>
      <c r="J20" s="980"/>
      <c r="K20" s="981"/>
    </row>
    <row r="21" spans="1:33" s="974" customFormat="1" ht="13.5" customHeight="1">
      <c r="A21" s="960" t="s">
        <v>802</v>
      </c>
      <c r="B21" s="984" t="s">
        <v>2500</v>
      </c>
      <c r="C21" s="985">
        <f ca="1">C16+C17+C18</f>
        <v>0</v>
      </c>
      <c r="D21" s="986"/>
      <c r="E21" s="325"/>
      <c r="F21" s="325"/>
      <c r="G21" s="139" t="s">
        <v>2501</v>
      </c>
      <c r="H21" s="978"/>
      <c r="I21" s="978"/>
      <c r="J21" s="978"/>
      <c r="K21" s="979"/>
    </row>
    <row r="22" spans="1:33" s="974" customFormat="1" ht="13.5" customHeight="1">
      <c r="A22" s="960" t="s">
        <v>2473</v>
      </c>
      <c r="B22" s="984" t="s">
        <v>2502</v>
      </c>
      <c r="C22" s="985">
        <f ca="1">ROUND(C21*F22,0)</f>
        <v>0</v>
      </c>
      <c r="D22" s="325"/>
      <c r="E22" s="325"/>
      <c r="F22" s="987">
        <f>'数据-取费表'!B37</f>
        <v>0.02</v>
      </c>
      <c r="G22" s="8" t="s">
        <v>2503</v>
      </c>
      <c r="H22" s="967"/>
      <c r="I22" s="967"/>
      <c r="J22" s="967"/>
      <c r="K22" s="968"/>
    </row>
    <row r="23" spans="1:33" s="974" customFormat="1" ht="13.5" customHeight="1">
      <c r="A23" s="960" t="s">
        <v>2475</v>
      </c>
      <c r="B23" s="984" t="s">
        <v>2504</v>
      </c>
      <c r="C23" s="985">
        <f ca="1">ROUND(C4*F23*F11,0)</f>
        <v>0</v>
      </c>
      <c r="D23" s="325"/>
      <c r="E23" s="325"/>
      <c r="F23" s="987">
        <f>'数据-取费表'!B38</f>
        <v>0.02</v>
      </c>
      <c r="G23" s="8" t="s">
        <v>2505</v>
      </c>
      <c r="H23" s="967"/>
      <c r="I23" s="967"/>
      <c r="J23" s="967"/>
      <c r="K23" s="968"/>
    </row>
    <row r="24" spans="1:33" s="974" customFormat="1" ht="13.5" customHeight="1">
      <c r="A24" s="960" t="s">
        <v>2506</v>
      </c>
      <c r="B24" s="984" t="s">
        <v>2507</v>
      </c>
      <c r="C24" s="324">
        <f>ROUND(F24/(1+'数据-取费表'!C42),4)</f>
        <v>2.9000000000000001E-2</v>
      </c>
      <c r="D24" s="325" t="s">
        <v>15</v>
      </c>
      <c r="E24" s="325"/>
      <c r="F24" s="987">
        <f>'数据-取费表'!B48+'数据-取费表'!B49</f>
        <v>3.0499999999999999E-2</v>
      </c>
      <c r="G24" s="8" t="s">
        <v>2508</v>
      </c>
      <c r="H24" s="989"/>
      <c r="I24" s="989"/>
      <c r="J24" s="989"/>
      <c r="K24" s="990"/>
    </row>
    <row r="25" spans="1:33" s="974" customFormat="1" ht="13.5" customHeight="1">
      <c r="A25" s="960" t="s">
        <v>2509</v>
      </c>
      <c r="B25" s="986" t="s">
        <v>2510</v>
      </c>
      <c r="C25" s="1355">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2511</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2512</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8"/>
      <c r="I27" s="978"/>
      <c r="J27" s="978"/>
      <c r="K27" s="979"/>
    </row>
    <row r="28" spans="1:33" s="333" customFormat="1" ht="13.5" customHeight="1">
      <c r="A28" s="960" t="s">
        <v>2513</v>
      </c>
      <c r="B28" s="2560" t="s">
        <v>2514</v>
      </c>
      <c r="C28" s="331">
        <f ca="1">C30</f>
        <v>0</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2515</v>
      </c>
      <c r="C29" s="328">
        <f ca="1">ROUND((1+C24)*F28*'数据-取费表'!B24/'数据-取费表'!B20,4)</f>
        <v>0</v>
      </c>
      <c r="D29" s="328"/>
      <c r="E29" s="329"/>
      <c r="F29" s="334"/>
      <c r="G29" s="139" t="s">
        <v>2516</v>
      </c>
      <c r="H29" s="978"/>
      <c r="I29" s="978"/>
      <c r="J29" s="978"/>
      <c r="K29" s="979"/>
    </row>
    <row r="30" spans="1:33" s="335" customFormat="1" ht="13.5" customHeight="1">
      <c r="A30" s="970" t="s">
        <v>804</v>
      </c>
      <c r="B30" s="993" t="s">
        <v>2517</v>
      </c>
      <c r="C30" s="336">
        <f ca="1">ROUND((C21+C22+C23)*F28,0)</f>
        <v>0</v>
      </c>
      <c r="D30" s="328"/>
      <c r="E30" s="329"/>
      <c r="F30" s="334"/>
      <c r="G30" s="139"/>
      <c r="H30" s="978"/>
      <c r="I30" s="978"/>
      <c r="J30" s="978"/>
      <c r="K30" s="979"/>
    </row>
    <row r="31" spans="1:33" s="974" customFormat="1" ht="13.5" customHeight="1" thickBot="1">
      <c r="A31" s="2561" t="s">
        <v>2518</v>
      </c>
      <c r="B31" s="1004" t="s">
        <v>2519</v>
      </c>
      <c r="C31" s="1005">
        <f>ROUND(C4*F31/(1+'数据-取费表'!C42),0)</f>
        <v>0</v>
      </c>
      <c r="D31" s="1006"/>
      <c r="E31" s="1007"/>
      <c r="F31" s="1008">
        <f>'数据-取费表'!B41</f>
        <v>5.6000000000000001E-2</v>
      </c>
      <c r="G31" s="1009" t="s">
        <v>2520</v>
      </c>
      <c r="H31" s="1010"/>
      <c r="I31" s="1010"/>
      <c r="J31" s="1010"/>
      <c r="K31" s="1011"/>
    </row>
    <row r="32" spans="1:33" s="969" customFormat="1" ht="13.5" customHeight="1" thickBot="1">
      <c r="A32" s="999" t="s">
        <v>2521</v>
      </c>
      <c r="B32" s="1000"/>
      <c r="C32" s="1001">
        <f ca="1">ROUND((C4-C21-C22-C23-C25-C28-C31)/(1+C24+D25+D28),0)</f>
        <v>0</v>
      </c>
      <c r="D32" s="1000"/>
      <c r="E32" s="1000"/>
      <c r="F32" s="1000"/>
      <c r="G32" s="1002" t="s">
        <v>2522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F24" sqref="F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1" customWidth="1"/>
    <col min="33" max="36" width="9.375" style="2797" customWidth="1"/>
    <col min="37" max="38" width="9.375" style="2721" customWidth="1"/>
    <col min="39" max="16384" width="12" style="2721"/>
  </cols>
  <sheetData>
    <row r="1" spans="1:36" ht="28.5">
      <c r="A1" s="240" t="s">
        <v>2808</v>
      </c>
      <c r="B1" s="241"/>
      <c r="C1" s="245" t="s">
        <v>2809</v>
      </c>
      <c r="D1" s="388">
        <f>SUM(D29:D30,D33:D39)</f>
        <v>87392.500000000015</v>
      </c>
      <c r="E1" s="2718"/>
      <c r="F1" s="2718"/>
      <c r="G1" s="2718"/>
      <c r="H1" s="2718"/>
      <c r="I1" s="2718"/>
      <c r="J1" s="2718"/>
      <c r="K1" s="1369"/>
      <c r="L1" s="2719" t="s">
        <v>2810</v>
      </c>
      <c r="M1" s="1079">
        <f>SUMPRODUCT((区片价!B5:B9=I2)*(区片价!C3:F3=E2)*(区片价!C5:F9))</f>
        <v>0</v>
      </c>
      <c r="N1" s="1082">
        <f>SUMPRODUCT((因素修正幅度!B5:B9=I2)*(因素修正幅度!C3:F3=E2)*(因素修正幅度!C5:F9))</f>
        <v>0</v>
      </c>
      <c r="O1" s="2720"/>
      <c r="P1" s="2720"/>
      <c r="Q1" s="1369"/>
      <c r="R1" s="1602" t="s">
        <v>2811</v>
      </c>
      <c r="S1" s="1602" t="s">
        <v>2812</v>
      </c>
      <c r="T1" s="1602" t="s">
        <v>2813</v>
      </c>
      <c r="U1" s="1602" t="s">
        <v>2814</v>
      </c>
      <c r="V1" s="1602" t="s">
        <v>2815</v>
      </c>
      <c r="W1" s="1606"/>
      <c r="X1" s="1606"/>
      <c r="Y1" s="1606"/>
      <c r="Z1" s="1606"/>
      <c r="AA1" s="1606"/>
      <c r="AB1" s="1606"/>
      <c r="AC1" s="1607"/>
      <c r="AD1" s="1608"/>
      <c r="AE1" s="1608"/>
      <c r="AF1" s="1608"/>
      <c r="AG1" s="1608"/>
      <c r="AH1" s="1608"/>
      <c r="AI1" s="1608"/>
      <c r="AJ1" s="1609"/>
    </row>
    <row r="2" spans="1:36" ht="15.75">
      <c r="A2" s="245" t="s">
        <v>2816</v>
      </c>
      <c r="B2" s="248">
        <f ca="1">C26</f>
        <v>47236</v>
      </c>
      <c r="C2" s="2722" t="s">
        <v>2817</v>
      </c>
      <c r="D2" s="2723" t="s">
        <v>2818</v>
      </c>
      <c r="E2" s="2724" t="s">
        <v>1378</v>
      </c>
      <c r="F2" s="2723" t="s">
        <v>2819</v>
      </c>
      <c r="G2" s="2725" t="str">
        <f>IF(E2="商业",项目基本情况!B37,IF(E2="办公",项目基本情况!C37,IF(E2="住宅",项目基本情况!D37,项目基本情况!E37)))</f>
        <v>五级</v>
      </c>
      <c r="H2" s="2723" t="s">
        <v>2820</v>
      </c>
      <c r="I2" s="2725" t="str">
        <f>IF(E2="商业",项目基本情况!B38,IF(E2="办公",项目基本情况!C38,IF(E2="住宅",项目基本情况!D38,项目基本情况!E38)))</f>
        <v>Ⅴ-24</v>
      </c>
      <c r="J2" s="2726"/>
      <c r="K2" s="1369"/>
      <c r="L2" s="2727" t="s">
        <v>2821</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19766</v>
      </c>
      <c r="U2" s="1603"/>
      <c r="V2" s="1602">
        <f ca="1">ROUND(T2*U2/10000,0)</f>
        <v>0</v>
      </c>
      <c r="W2" s="1606"/>
      <c r="X2" s="1606"/>
      <c r="Y2" s="1606"/>
      <c r="Z2" s="1606"/>
      <c r="AA2" s="1606"/>
      <c r="AB2" s="1606"/>
      <c r="AC2" s="1607"/>
      <c r="AD2" s="1608"/>
      <c r="AE2" s="1608"/>
      <c r="AF2" s="1608"/>
      <c r="AG2" s="1608"/>
      <c r="AH2" s="1608"/>
      <c r="AI2" s="1608"/>
      <c r="AJ2" s="1609"/>
    </row>
    <row r="3" spans="1:36" ht="15.75">
      <c r="A3" s="247" t="s">
        <v>2822</v>
      </c>
      <c r="B3" s="248">
        <f ca="1">ROUND(B2*10000/D1,0)</f>
        <v>5405</v>
      </c>
      <c r="C3" s="2722" t="s">
        <v>2823</v>
      </c>
      <c r="D3" s="2723" t="s">
        <v>2824</v>
      </c>
      <c r="E3" s="2728" t="s">
        <v>3069</v>
      </c>
      <c r="F3" s="2729" t="s">
        <v>3072</v>
      </c>
      <c r="G3" s="913">
        <f>IF(F3="宗地容积率",'数据-汇总表'!I4,IF(F3="估价对象容积率",'数据-汇总表'!I6,'数据-汇总表'!I7))</f>
        <v>2.38</v>
      </c>
      <c r="H3" s="198" t="s">
        <v>2825</v>
      </c>
      <c r="I3" s="2947"/>
      <c r="J3" s="2726" t="s">
        <v>2826</v>
      </c>
      <c r="K3" s="1369"/>
      <c r="L3" s="2727" t="s">
        <v>2827</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14188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1"/>
      <c r="B4" s="3152"/>
      <c r="C4" s="3152"/>
      <c r="D4" s="3153"/>
      <c r="E4" s="3153"/>
      <c r="F4" s="3153"/>
      <c r="G4" s="3153"/>
      <c r="H4" s="3153"/>
      <c r="I4" s="3153"/>
      <c r="J4" s="3154"/>
      <c r="K4" s="1369"/>
      <c r="L4" s="2727" t="s">
        <v>2828</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11447</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2829</v>
      </c>
      <c r="C5" s="914">
        <f>ROUND(IF(E2="商业",IF(F16="增加",C6*C7+C16,C6*C7-C16),IF(E2="住宅",IF(F16="增加",C6*C12+C16,C6*C12-C16),IF(F16="增加",C6+C16,C6-C16))),0)</f>
        <v>11190</v>
      </c>
      <c r="D5" s="1787">
        <f>ROUND(IF(E2="商业",IF(F16="增加",C6+C16,C6-C16)),0)</f>
        <v>11190</v>
      </c>
      <c r="E5" s="2732"/>
      <c r="F5" s="2732"/>
      <c r="G5" s="2733"/>
      <c r="H5" s="2733"/>
      <c r="I5" s="2733"/>
      <c r="J5" s="2734"/>
      <c r="K5" s="2735"/>
      <c r="L5" s="2727" t="s">
        <v>2830</v>
      </c>
      <c r="M5" s="1080">
        <f>SUMPRODUCT((区片价!B76:B109=I2)*(区片价!C3:F3=E2)*(区片价!C76:F109))</f>
        <v>11190</v>
      </c>
      <c r="N5" s="1082">
        <f>SUMPRODUCT((因素修正幅度!B76:B109=I2)*(因素修正幅度!C3:F3=E2)*(因素修正幅度!C76:F109))</f>
        <v>0.1</v>
      </c>
      <c r="O5" s="1369"/>
      <c r="P5" s="1369"/>
      <c r="Q5" s="1369"/>
      <c r="R5" s="1602">
        <v>4</v>
      </c>
      <c r="S5" s="1602">
        <f>ROUND(IF(G3&gt;1,IF(R5&lt;7,SUMPRODUCT((B93:B98=R5)*(C92:N92=G2)*(C93:N98)),SUMIF(C92:N92,G2,C100:N100)),IF(R5&lt;7,SUMPRODUCT((B102:B107=R5)*(C92:N92=G2)*(C102:N107)),SUMIF(C92:N92,G2,C109:N109))),4)</f>
        <v>0.86560000000000004</v>
      </c>
      <c r="T5" s="1602">
        <f t="shared" ca="1" si="0"/>
        <v>9184</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2831</v>
      </c>
      <c r="B6" s="2741" t="s">
        <v>2832</v>
      </c>
      <c r="C6" s="915">
        <f>SUMIF(L1:L12,G2,M1:M12)</f>
        <v>11190</v>
      </c>
      <c r="D6" s="2742" t="s">
        <v>2833</v>
      </c>
      <c r="E6" s="2743"/>
      <c r="F6" s="2743"/>
      <c r="G6" s="2744"/>
      <c r="H6" s="2744"/>
      <c r="I6" s="2744"/>
      <c r="J6" s="2745"/>
      <c r="K6" s="1842"/>
      <c r="L6" s="2727" t="s">
        <v>2834</v>
      </c>
      <c r="M6" s="1080">
        <f>SUMPRODUCT((区片价!B110:B157=I2)*(区片价!C3:F3=E2)*(区片价!C110:F157))</f>
        <v>0</v>
      </c>
      <c r="N6" s="1082">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0.73709999999999998</v>
      </c>
      <c r="T6" s="1602">
        <f t="shared" ca="1" si="0"/>
        <v>7821</v>
      </c>
      <c r="U6" s="1603"/>
      <c r="V6" s="1602">
        <f t="shared" ca="1" si="1"/>
        <v>0</v>
      </c>
      <c r="W6" s="1606"/>
      <c r="X6" s="1606"/>
      <c r="Y6" s="1606"/>
      <c r="Z6" s="1606"/>
      <c r="AA6" s="1606"/>
      <c r="AB6" s="1606"/>
      <c r="AC6" s="2736"/>
      <c r="AD6" s="2737"/>
      <c r="AE6" s="2737"/>
      <c r="AF6" s="2737"/>
      <c r="AG6" s="2737"/>
      <c r="AH6" s="2737"/>
      <c r="AI6" s="2737"/>
      <c r="AJ6" s="2738"/>
    </row>
    <row r="7" spans="1:36" ht="24">
      <c r="A7" s="3137" t="str">
        <f>IF(E2="商业",IF(C8="不临58条商业街","",2),"")</f>
        <v/>
      </c>
      <c r="B7" s="2746" t="s">
        <v>2835</v>
      </c>
      <c r="C7" s="916">
        <f>IF(C8="不临58条商业街",1,ROUND(1+(1.6*E8+1.2*E9+0.8*E10+0.4*E11)*C9,4))</f>
        <v>1</v>
      </c>
      <c r="D7" s="2747" t="s">
        <v>2836</v>
      </c>
      <c r="E7" s="944"/>
      <c r="F7" s="2748"/>
      <c r="G7" s="2749"/>
      <c r="H7" s="2749"/>
      <c r="I7" s="2749"/>
      <c r="J7" s="2750"/>
      <c r="K7" s="1842"/>
      <c r="L7" s="2727" t="s">
        <v>2837</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6878</v>
      </c>
      <c r="U7" s="1603"/>
      <c r="V7" s="1602">
        <f t="shared" ca="1" si="1"/>
        <v>0</v>
      </c>
      <c r="W7" s="1816" t="s">
        <v>2838</v>
      </c>
      <c r="X7" s="1604" t="str">
        <f>G2</f>
        <v>五级</v>
      </c>
      <c r="Y7" s="1604" t="s">
        <v>2839</v>
      </c>
      <c r="Z7" s="1605">
        <f>G3</f>
        <v>2.38</v>
      </c>
      <c r="AA7" s="1606"/>
      <c r="AB7" s="1606"/>
      <c r="AC7" s="1607"/>
      <c r="AD7" s="1608"/>
      <c r="AE7" s="1608"/>
      <c r="AF7" s="1608"/>
      <c r="AG7" s="1608"/>
      <c r="AH7" s="1608"/>
      <c r="AI7" s="1608"/>
      <c r="AJ7" s="1609"/>
    </row>
    <row r="8" spans="1:36" ht="25.5">
      <c r="A8" s="3138"/>
      <c r="B8" s="198" t="s">
        <v>2840</v>
      </c>
      <c r="C8" s="2751" t="s">
        <v>3081</v>
      </c>
      <c r="D8" s="917" t="s">
        <v>139</v>
      </c>
      <c r="E8" s="918" t="e">
        <f>ROUND(C11/E7,4)</f>
        <v>#DIV/0!</v>
      </c>
      <c r="F8" s="2752" t="s">
        <v>2841</v>
      </c>
      <c r="G8" s="2753"/>
      <c r="H8" s="2753"/>
      <c r="I8" s="2753"/>
      <c r="J8" s="2754"/>
      <c r="K8" s="1369"/>
      <c r="L8" s="2727" t="s">
        <v>2842</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148" t="s">
        <v>2843</v>
      </c>
      <c r="X8" s="3149"/>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138"/>
      <c r="B9" s="198" t="s">
        <v>2856</v>
      </c>
      <c r="C9" s="919">
        <f>SUMIF(修正!C59:C119,C8,修正!E59:E119)</f>
        <v>0</v>
      </c>
      <c r="D9" s="200" t="s">
        <v>140</v>
      </c>
      <c r="E9" s="200" t="e">
        <f>ROUND(C11/E7,4)</f>
        <v>#DIV/0!</v>
      </c>
      <c r="F9" s="2752" t="s">
        <v>2857</v>
      </c>
      <c r="G9" s="2753"/>
      <c r="H9" s="2753"/>
      <c r="I9" s="2753"/>
      <c r="J9" s="2754"/>
      <c r="K9" s="1369"/>
      <c r="L9" s="2727" t="s">
        <v>2858</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150" t="s">
        <v>2859</v>
      </c>
      <c r="X9" s="1611" t="s">
        <v>2860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38"/>
      <c r="B10" s="198" t="s">
        <v>2861</v>
      </c>
      <c r="C10" s="200">
        <f>SUMIF(修正!C59:C119,C8,修正!F59:F119)</f>
        <v>0</v>
      </c>
      <c r="D10" s="200" t="s">
        <v>141</v>
      </c>
      <c r="E10" s="200" t="e">
        <f>ROUND(C11/E7,4)</f>
        <v>#DIV/0!</v>
      </c>
      <c r="F10" s="2752" t="s">
        <v>2862</v>
      </c>
      <c r="G10" s="2753"/>
      <c r="H10" s="2753"/>
      <c r="I10" s="2753"/>
      <c r="J10" s="2754"/>
      <c r="K10" s="1369"/>
      <c r="L10" s="2727" t="s">
        <v>2863</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15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38"/>
      <c r="B11" s="2755" t="s">
        <v>2864</v>
      </c>
      <c r="C11" s="920">
        <f>C10/4</f>
        <v>0</v>
      </c>
      <c r="D11" s="920" t="s">
        <v>142</v>
      </c>
      <c r="E11" s="920" t="e">
        <f>ROUND(C11/E7,4)</f>
        <v>#DIV/0!</v>
      </c>
      <c r="F11" s="2756" t="s">
        <v>2865</v>
      </c>
      <c r="G11" s="2757"/>
      <c r="H11" s="2757"/>
      <c r="I11" s="2757"/>
      <c r="J11" s="2758"/>
      <c r="K11" s="1369"/>
      <c r="L11" s="2727" t="s">
        <v>2866</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150" t="s">
        <v>2867</v>
      </c>
      <c r="X11" s="1614" t="s">
        <v>2868</v>
      </c>
      <c r="Y11" s="1615">
        <f>$G$3</f>
        <v>2.38</v>
      </c>
      <c r="Z11" s="1615">
        <f t="shared" ref="Z11:AJ11" si="3">$G$3</f>
        <v>2.38</v>
      </c>
      <c r="AA11" s="1615">
        <f t="shared" si="3"/>
        <v>2.38</v>
      </c>
      <c r="AB11" s="1615">
        <f t="shared" si="3"/>
        <v>2.38</v>
      </c>
      <c r="AC11" s="1615">
        <f t="shared" si="3"/>
        <v>2.38</v>
      </c>
      <c r="AD11" s="1615">
        <f t="shared" si="3"/>
        <v>2.38</v>
      </c>
      <c r="AE11" s="1615">
        <f t="shared" si="3"/>
        <v>2.38</v>
      </c>
      <c r="AF11" s="1615">
        <f t="shared" si="3"/>
        <v>2.38</v>
      </c>
      <c r="AG11" s="1615">
        <f t="shared" si="3"/>
        <v>2.38</v>
      </c>
      <c r="AH11" s="1615">
        <f t="shared" si="3"/>
        <v>2.38</v>
      </c>
      <c r="AI11" s="1615">
        <f t="shared" si="3"/>
        <v>2.38</v>
      </c>
      <c r="AJ11" s="1615">
        <f t="shared" si="3"/>
        <v>2.38</v>
      </c>
    </row>
    <row r="12" spans="1:36" ht="25.5" hidden="1" thickBot="1">
      <c r="A12" s="3137" t="s">
        <v>2869</v>
      </c>
      <c r="B12" s="2759" t="s">
        <v>2870</v>
      </c>
      <c r="C12" s="916">
        <f>ROUND(C15*D15*E15*F15*G15*H15*I15*J15,4)</f>
        <v>1</v>
      </c>
      <c r="D12" s="2760" t="s">
        <v>2871</v>
      </c>
      <c r="E12" s="2761"/>
      <c r="F12" s="2761"/>
      <c r="G12" s="2762"/>
      <c r="H12" s="2762"/>
      <c r="I12" s="2762"/>
      <c r="J12" s="2763"/>
      <c r="K12" s="1369"/>
      <c r="L12" s="2764" t="s">
        <v>2872</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150"/>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155"/>
      <c r="B13" s="2765" t="s">
        <v>2874</v>
      </c>
      <c r="C13" s="2766" t="s">
        <v>2875</v>
      </c>
      <c r="D13" s="1808" t="s">
        <v>2876</v>
      </c>
      <c r="E13" s="1808" t="s">
        <v>2877</v>
      </c>
      <c r="F13" s="30" t="s">
        <v>2878</v>
      </c>
      <c r="G13" s="2767" t="s">
        <v>2879</v>
      </c>
      <c r="H13" s="2767" t="s">
        <v>2879</v>
      </c>
      <c r="I13" s="2767" t="s">
        <v>2879</v>
      </c>
      <c r="J13" s="2768" t="s">
        <v>2879</v>
      </c>
      <c r="K13" s="1369"/>
      <c r="L13" s="1369"/>
      <c r="M13" s="1369"/>
      <c r="N13" s="1369"/>
      <c r="O13" s="1369"/>
      <c r="P13" s="1369"/>
      <c r="Q13" s="1369"/>
      <c r="R13" s="1602">
        <v>12</v>
      </c>
      <c r="S13" s="1603"/>
      <c r="T13" s="1602">
        <f t="shared" ca="1" si="0"/>
        <v>0</v>
      </c>
      <c r="U13" s="1603"/>
      <c r="V13" s="1602">
        <f t="shared" ca="1" si="1"/>
        <v>0</v>
      </c>
      <c r="W13" s="3150"/>
      <c r="X13" s="1616"/>
      <c r="Y13" s="1613">
        <f>(-0.163*(Y12^2)-0.59*Y12+7617)*(10^(-4))/Y11</f>
        <v>0.32004201680672273</v>
      </c>
      <c r="Z13" s="1613">
        <f t="shared" ref="Z13:AJ13" si="5">(-0.163*(Z12^2)-0.59*Z12+7617)*(10^(-4))/Z11</f>
        <v>0.32004201680672273</v>
      </c>
      <c r="AA13" s="1613">
        <f t="shared" si="5"/>
        <v>0.32004201680672273</v>
      </c>
      <c r="AB13" s="1613">
        <f t="shared" si="5"/>
        <v>0.32004201680672273</v>
      </c>
      <c r="AC13" s="1613">
        <f t="shared" si="5"/>
        <v>0.32004201680672273</v>
      </c>
      <c r="AD13" s="1613">
        <f t="shared" si="5"/>
        <v>0.32004201680672273</v>
      </c>
      <c r="AE13" s="1613">
        <f t="shared" si="5"/>
        <v>0.32004201680672273</v>
      </c>
      <c r="AF13" s="1613">
        <f t="shared" si="5"/>
        <v>0.32004201680672273</v>
      </c>
      <c r="AG13" s="1613">
        <f t="shared" si="5"/>
        <v>0.32004201680672273</v>
      </c>
      <c r="AH13" s="1613">
        <f t="shared" si="5"/>
        <v>0.32004201680672273</v>
      </c>
      <c r="AI13" s="1613">
        <f t="shared" si="5"/>
        <v>0.32004201680672273</v>
      </c>
      <c r="AJ13" s="1613">
        <f t="shared" si="5"/>
        <v>0.32004201680672273</v>
      </c>
    </row>
    <row r="14" spans="1:36" ht="15" hidden="1">
      <c r="A14" s="3155"/>
      <c r="B14" s="2769"/>
      <c r="C14" s="2770"/>
      <c r="D14" s="2771"/>
      <c r="E14" s="2771"/>
      <c r="F14" s="2772"/>
      <c r="G14" s="2773" t="s">
        <v>2880</v>
      </c>
      <c r="H14" s="2774"/>
      <c r="I14" s="2775"/>
      <c r="J14" s="2776"/>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56"/>
      <c r="B15" s="2777" t="s">
        <v>2881</v>
      </c>
      <c r="C15" s="229">
        <f>IF(C14="有",1.1,1)</f>
        <v>1</v>
      </c>
      <c r="D15" s="229">
        <f>IF(D14="有",1.1,1)</f>
        <v>1</v>
      </c>
      <c r="E15" s="229">
        <f>IF(E14="有",1.1,1)</f>
        <v>1</v>
      </c>
      <c r="F15" s="229">
        <f>IF(F14="500米范围内",1.2,IF(F14="500-1000米",1.1,1))</f>
        <v>1</v>
      </c>
      <c r="G15" s="945">
        <v>1</v>
      </c>
      <c r="H15" s="945">
        <v>1</v>
      </c>
      <c r="I15" s="945">
        <v>1</v>
      </c>
      <c r="J15" s="946">
        <v>1</v>
      </c>
      <c r="K15" s="1369"/>
      <c r="L15" s="2778" t="s">
        <v>2818</v>
      </c>
      <c r="M15" s="917" t="s">
        <v>2882</v>
      </c>
      <c r="N15" s="917" t="s">
        <v>2883</v>
      </c>
      <c r="O15" s="917" t="s">
        <v>2884</v>
      </c>
      <c r="P15" s="2779" t="s">
        <v>2885</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37" t="s">
        <v>2886</v>
      </c>
      <c r="B16" s="2746" t="s">
        <v>2887</v>
      </c>
      <c r="C16" s="1801">
        <f>ROUND(SUM(G17:J17)/C17,0)</f>
        <v>0</v>
      </c>
      <c r="D16" s="2780" t="s">
        <v>2888</v>
      </c>
      <c r="E16" s="2781" t="s">
        <v>3073</v>
      </c>
      <c r="F16" s="2782" t="s">
        <v>3074</v>
      </c>
      <c r="G16" s="2783"/>
      <c r="H16" s="2783"/>
      <c r="I16" s="2783"/>
      <c r="J16" s="2784"/>
      <c r="K16" s="1369"/>
      <c r="L16" s="2785" t="s">
        <v>2889</v>
      </c>
      <c r="M16" s="919">
        <v>0.25</v>
      </c>
      <c r="N16" s="919">
        <v>0.2</v>
      </c>
      <c r="O16" s="919">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38"/>
      <c r="B17" s="2786" t="s">
        <v>2890</v>
      </c>
      <c r="C17" s="921">
        <f>SUMPRODUCT((修正!A2:A5=E2)*(修正!B1:M1=G2)*(修正!B2:M5))</f>
        <v>2.5</v>
      </c>
      <c r="D17" s="2787"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8" t="s">
        <v>2893</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9"/>
      <c r="AF17" s="2789"/>
      <c r="AG17" s="2721"/>
      <c r="AH17" s="2721"/>
      <c r="AI17" s="2721"/>
      <c r="AJ17" s="2721"/>
    </row>
    <row r="18" spans="1:37" s="2739" customFormat="1" ht="15.75" thickBot="1">
      <c r="A18" s="2790" t="s">
        <v>808</v>
      </c>
      <c r="B18" s="2791" t="s">
        <v>2894</v>
      </c>
      <c r="C18" s="923">
        <f>SUMIF(修正!C18:C39,E3,修正!E18:E39)</f>
        <v>1</v>
      </c>
      <c r="D18" s="2792"/>
      <c r="E18" s="2793"/>
      <c r="F18" s="2794"/>
      <c r="G18" s="2795"/>
      <c r="H18" s="2795"/>
      <c r="I18" s="2795"/>
      <c r="J18" s="2796"/>
      <c r="K18" s="1376"/>
      <c r="O18" s="1374"/>
      <c r="P18" s="1374"/>
      <c r="Q18" s="1375"/>
      <c r="R18" s="1375"/>
      <c r="S18" s="1375"/>
      <c r="T18" s="1370"/>
      <c r="U18" s="1370"/>
      <c r="V18" s="1370"/>
      <c r="W18" s="1369"/>
      <c r="X18" s="1369"/>
      <c r="Y18" s="1369"/>
      <c r="Z18" s="1376"/>
      <c r="AA18" s="1377"/>
      <c r="AB18" s="1377"/>
      <c r="AC18" s="1377"/>
      <c r="AD18" s="1377"/>
      <c r="AE18" s="1371"/>
      <c r="AF18" s="1371"/>
      <c r="AG18" s="2797"/>
      <c r="AH18" s="2797"/>
      <c r="AI18" s="2797"/>
    </row>
    <row r="19" spans="1:37" s="2739" customFormat="1" ht="29.25" thickBot="1">
      <c r="A19" s="2790" t="s">
        <v>809</v>
      </c>
      <c r="B19" s="2791" t="s">
        <v>2895</v>
      </c>
      <c r="C19" s="924">
        <f>ROUND(IF(H19="按公示增长率计算",SUMPRODUCT((地价!A3:A20=YEAR(G19)&amp;"-"&amp;ROUNDUP(MONTH(G19)/3,0))*(地价!X2:AB2=E2)*(地价!X3:AB20)),IF(H19="地价指数",M20/M19,(1+I19)^O19)),4)</f>
        <v>1.2667999999999999</v>
      </c>
      <c r="D19" s="2798" t="s">
        <v>2896</v>
      </c>
      <c r="E19" s="925">
        <v>41640</v>
      </c>
      <c r="F19" s="2798" t="s">
        <v>2897</v>
      </c>
      <c r="G19" s="926">
        <f>'数据-取费表'!B2</f>
        <v>43039</v>
      </c>
      <c r="H19" s="2799" t="s">
        <v>3075</v>
      </c>
      <c r="I19" s="927" t="str">
        <f>IF(H19="季度增幅（自定义）",SUMIF(N21:N24,E2,O21:O24),"")</f>
        <v/>
      </c>
      <c r="J19" s="2796"/>
      <c r="K19" s="1376"/>
      <c r="L19" s="2800" t="s">
        <v>2898</v>
      </c>
      <c r="M19" s="1734">
        <f>ROUND(SUMIF(地价!B2:F2,E2,地价!B20:F20),0)</f>
        <v>258</v>
      </c>
      <c r="N19" s="2801" t="s">
        <v>2899</v>
      </c>
      <c r="O19" s="928">
        <f>ROUNDDOWN(DATEDIF(E19,G19,"M")/3,0)</f>
        <v>15</v>
      </c>
      <c r="P19" s="1373"/>
      <c r="Q19" s="1375"/>
      <c r="R19" s="1375"/>
      <c r="S19" s="1375"/>
      <c r="T19" s="1370"/>
      <c r="U19" s="1370"/>
      <c r="V19" s="1370"/>
      <c r="W19" s="1369"/>
      <c r="X19" s="1369"/>
      <c r="Y19" s="1369"/>
      <c r="Z19" s="1376"/>
      <c r="AA19" s="1377"/>
      <c r="AB19" s="1377"/>
      <c r="AC19" s="1377"/>
      <c r="AD19" s="1377"/>
      <c r="AE19" s="1377"/>
      <c r="AF19" s="2802"/>
      <c r="AG19" s="2803"/>
      <c r="AH19" s="2797"/>
      <c r="AI19" s="2804"/>
      <c r="AJ19" s="2804"/>
      <c r="AK19" s="2804"/>
    </row>
    <row r="20" spans="1:37" s="2739" customFormat="1" ht="27.75" thickBot="1">
      <c r="A20" s="2805" t="s">
        <v>810</v>
      </c>
      <c r="B20" s="2806" t="s">
        <v>2900</v>
      </c>
      <c r="C20" s="929">
        <f ca="1">ROUND(POWER(1+G20,J20-I20)*(POWER(1+G20,I20)-1)/(POWER(1+G20,J20)-1),4)</f>
        <v>0.74109999999999998</v>
      </c>
      <c r="D20" s="2807" t="s">
        <v>2901</v>
      </c>
      <c r="E20" s="1768">
        <f ca="1">存贷款利率!D4/100</f>
        <v>4.3499999999999997E-2</v>
      </c>
      <c r="F20" s="2807" t="s">
        <v>2893</v>
      </c>
      <c r="G20" s="934">
        <f ca="1">SUMIF(M15:P15,E2,M17:P17)</f>
        <v>5.3999999999999999E-2</v>
      </c>
      <c r="H20" s="2807" t="s">
        <v>2902</v>
      </c>
      <c r="I20" s="935">
        <f>SUMIF('数据-取费表'!C6:C15,E2,'数据-取费表'!F6:F15)/COUNTIF('数据-取费表'!C6:C15,E2)</f>
        <v>20</v>
      </c>
      <c r="J20" s="936">
        <f>IF(E2="住宅",70,IF(E2="商业",40,50))</f>
        <v>40</v>
      </c>
      <c r="K20" s="1376"/>
      <c r="L20" s="2808" t="s">
        <v>2903</v>
      </c>
      <c r="M20" s="1735">
        <f>ROUND(SUMPRODUCT((地价!A5:A20=YEAR(G19)&amp;"-"&amp;ROUNDUP(MONTH(G19)/3,0))*(地价!B2:F2=E2)*(地价!B5:F20)),0)</f>
        <v>326</v>
      </c>
      <c r="N20" s="2809" t="s">
        <v>2904</v>
      </c>
      <c r="O20" s="2810" t="s">
        <v>2905</v>
      </c>
      <c r="P20" s="2811" t="s">
        <v>2906</v>
      </c>
      <c r="R20" s="1375"/>
      <c r="S20" s="1375"/>
      <c r="T20" s="1370"/>
      <c r="U20" s="1370"/>
      <c r="V20" s="1370"/>
      <c r="W20" s="1369"/>
      <c r="X20" s="1369"/>
      <c r="Y20" s="1369"/>
      <c r="Z20" s="1376"/>
      <c r="AA20" s="1377"/>
      <c r="AB20" s="1377"/>
      <c r="AC20" s="1377"/>
      <c r="AD20" s="1377"/>
      <c r="AE20" s="1377"/>
      <c r="AF20" s="1377"/>
    </row>
    <row r="21" spans="1:37" s="2739" customFormat="1" ht="15">
      <c r="A21" s="2812" t="s">
        <v>811</v>
      </c>
      <c r="B21" s="2813" t="s">
        <v>3076</v>
      </c>
      <c r="C21" s="937">
        <f>IF(B21="容积率修正",IF(G3&lt;=10,D22,J22),C23)</f>
        <v>1.0187999999999999</v>
      </c>
      <c r="D21" s="2814"/>
      <c r="E21" s="2814"/>
      <c r="F21" s="2814"/>
      <c r="G21" s="2814"/>
      <c r="H21" s="2814"/>
      <c r="I21" s="2814"/>
      <c r="J21" s="2815"/>
      <c r="K21" s="1376"/>
      <c r="N21" s="2816" t="s">
        <v>2907</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9" customFormat="1" ht="14.25">
      <c r="A22" s="2665" t="s">
        <v>2908</v>
      </c>
      <c r="B22" s="2817" t="s">
        <v>2909</v>
      </c>
      <c r="C22" s="1810" t="s">
        <v>2910</v>
      </c>
      <c r="D22" s="1810">
        <f>IF(E22=G22,F22,IF(G3&lt;=10,ROUND(F22+(H22-F22)*(G3-E22)/(G22-E22),4),"——"))</f>
        <v>1.0187999999999999</v>
      </c>
      <c r="E22" s="913">
        <f>ROUNDDOWN(G3,1)</f>
        <v>2.2999999999999998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3">
        <f>ROUNDUP(G3,1)</f>
        <v>2.4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10" t="s">
        <v>155</v>
      </c>
      <c r="J22" s="938" t="str">
        <f>IF(G3&gt;10,D113,"——")</f>
        <v>——</v>
      </c>
      <c r="K22" s="1376"/>
      <c r="N22" s="2816" t="s">
        <v>2911</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5" t="s">
        <v>2912</v>
      </c>
      <c r="B23" s="2818" t="s">
        <v>2913</v>
      </c>
      <c r="C23" s="1012">
        <f>ROUND(IF(G3&gt;1,IF(I3&lt;7,SUMPRODUCT((B93:B98=I3)*(C92:N92=G2)*(C93:N98)),SUMIF(C92:N92,G2,C100:N100)),IF(I3&lt;7,SUMPRODUCT((B102:B107=I3)*(C92:N92=G2)*(C102:N107)),SUMIF(C92:N92,G2,C109:N109))),4)</f>
        <v>0</v>
      </c>
      <c r="D23" s="2774"/>
      <c r="E23" s="2774"/>
      <c r="F23" s="2819"/>
      <c r="G23" s="2820"/>
      <c r="H23" s="2821"/>
      <c r="I23" s="2822"/>
      <c r="J23" s="2823"/>
      <c r="K23" s="1369"/>
      <c r="N23" s="2816" t="s">
        <v>2914</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7"/>
    </row>
    <row r="24" spans="1:37" s="2739" customFormat="1" ht="15.75" thickBot="1">
      <c r="A24" s="2805" t="s">
        <v>812</v>
      </c>
      <c r="B24" s="2791" t="s">
        <v>2915</v>
      </c>
      <c r="C24" s="924">
        <f>SUMIF(A45:A88,E2,B45:B88)</f>
        <v>1.01</v>
      </c>
      <c r="D24" s="2794"/>
      <c r="E24" s="2824"/>
      <c r="F24" s="2824"/>
      <c r="G24" s="2824"/>
      <c r="H24" s="2824"/>
      <c r="I24" s="2824"/>
      <c r="J24" s="2825"/>
      <c r="K24" s="1376"/>
      <c r="N24" s="2826" t="s">
        <v>2916</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5" t="s">
        <v>813</v>
      </c>
      <c r="B25" s="2827" t="s">
        <v>2917</v>
      </c>
      <c r="C25" s="930"/>
      <c r="D25" s="2749"/>
      <c r="E25" s="2749"/>
      <c r="F25" s="2828"/>
      <c r="G25" s="2749"/>
      <c r="H25" s="2749"/>
      <c r="I25" s="2749"/>
      <c r="J25" s="2750"/>
      <c r="K25" s="1369"/>
      <c r="N25" s="2829" t="s">
        <v>2918</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30"/>
      <c r="B26" s="2817" t="s">
        <v>2919</v>
      </c>
      <c r="C26" s="206">
        <f ca="1">E29+SUM(E33:E39)</f>
        <v>47236</v>
      </c>
      <c r="D26" s="2831"/>
      <c r="E26" s="2774"/>
      <c r="F26" s="2832"/>
      <c r="G26" s="2774"/>
      <c r="H26" s="2774"/>
      <c r="I26" s="2774"/>
      <c r="J26" s="2833"/>
      <c r="K26" s="1369"/>
      <c r="R26" s="1375"/>
      <c r="S26" s="1375"/>
      <c r="T26" s="1370"/>
      <c r="U26" s="1370"/>
      <c r="V26" s="1370"/>
      <c r="W26" s="1369"/>
      <c r="X26" s="1369"/>
      <c r="Y26" s="1369"/>
      <c r="Z26" s="1376"/>
      <c r="AA26" s="1377"/>
      <c r="AB26" s="1377"/>
      <c r="AC26" s="1377"/>
      <c r="AD26" s="1377"/>
    </row>
    <row r="27" spans="1:37" ht="15.75" thickBot="1">
      <c r="A27" s="2830"/>
      <c r="B27" s="2834" t="s">
        <v>2920</v>
      </c>
      <c r="C27" s="931" t="e">
        <f ca="1">E30+SUM(I33:I39)</f>
        <v>#DIV/0!</v>
      </c>
      <c r="D27" s="2835"/>
      <c r="E27" s="2836"/>
      <c r="F27" s="2837"/>
      <c r="G27" s="2836"/>
      <c r="H27" s="2836"/>
      <c r="I27" s="2836"/>
      <c r="J27" s="283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9"/>
      <c r="B28" s="2840" t="s">
        <v>2921</v>
      </c>
      <c r="C28" s="2841" t="s">
        <v>2922</v>
      </c>
      <c r="D28" s="2841" t="s">
        <v>2923</v>
      </c>
      <c r="E28" s="2842" t="s">
        <v>2924</v>
      </c>
      <c r="F28" s="2843"/>
      <c r="G28" s="2762"/>
      <c r="H28" s="2762"/>
      <c r="I28" s="2762"/>
      <c r="J28" s="276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4"/>
      <c r="B29" s="2845" t="s">
        <v>2925</v>
      </c>
      <c r="C29" s="206">
        <f ca="1">ROUND(C5*C18*C19*C20*C21*C24,0)</f>
        <v>10810</v>
      </c>
      <c r="D29" s="2846">
        <f>'数据-基础表'!I13</f>
        <v>43696.250000000007</v>
      </c>
      <c r="E29" s="942">
        <f ca="1">ROUND(C29*D29/10000,0)</f>
        <v>47236</v>
      </c>
      <c r="F29" s="2847" t="s">
        <v>2926</v>
      </c>
      <c r="G29" s="2848"/>
      <c r="H29" s="2848"/>
      <c r="I29" s="2848"/>
      <c r="J29" s="2849"/>
      <c r="K29" s="1369"/>
      <c r="L29" s="1369"/>
      <c r="M29" s="1369"/>
      <c r="N29" s="1369"/>
      <c r="O29" s="1374"/>
      <c r="P29" s="1374"/>
      <c r="Q29" s="1375"/>
      <c r="R29" s="1375"/>
      <c r="S29" s="1375"/>
      <c r="T29" s="1370"/>
      <c r="U29" s="1370"/>
      <c r="V29" s="1370"/>
      <c r="W29" s="1369"/>
      <c r="X29" s="1369"/>
      <c r="Y29" s="1369"/>
      <c r="Z29" s="1376"/>
      <c r="AA29" s="1377"/>
      <c r="AB29" s="1377"/>
      <c r="AC29" s="1377"/>
      <c r="AD29" s="1377"/>
      <c r="AE29" s="2789"/>
      <c r="AF29" s="2789"/>
      <c r="AG29" s="2721"/>
      <c r="AH29" s="2721"/>
      <c r="AI29" s="2721"/>
      <c r="AJ29" s="2721"/>
    </row>
    <row r="30" spans="1:37" ht="25.5" thickBot="1">
      <c r="A30" s="2850"/>
      <c r="B30" s="2851" t="s">
        <v>2927</v>
      </c>
      <c r="C30" s="229">
        <f ca="1">ROUND(IF(E2="工业",C29*M39,C29*M38),0)</f>
        <v>2703</v>
      </c>
      <c r="D30" s="2852">
        <f>D29</f>
        <v>43696.250000000007</v>
      </c>
      <c r="E30" s="942">
        <f ca="1">ROUND(C30*D30/10000,0)</f>
        <v>11811</v>
      </c>
      <c r="F30" s="2853" t="s">
        <v>2928</v>
      </c>
      <c r="G30" s="2854"/>
      <c r="H30" s="2854"/>
      <c r="I30" s="2854"/>
      <c r="J30" s="2855"/>
      <c r="K30" s="1369"/>
      <c r="L30" s="1369"/>
      <c r="M30" s="1369"/>
      <c r="N30" s="1369"/>
      <c r="O30" s="1374"/>
      <c r="P30" s="1374"/>
      <c r="Q30" s="1375"/>
      <c r="R30" s="1375"/>
      <c r="S30" s="1375"/>
      <c r="T30" s="1370"/>
      <c r="U30" s="1370"/>
      <c r="V30" s="1370"/>
      <c r="W30" s="1369"/>
      <c r="X30" s="1369"/>
      <c r="Y30" s="1369"/>
      <c r="Z30" s="1376"/>
      <c r="AA30" s="1377"/>
      <c r="AB30" s="1377"/>
      <c r="AC30" s="1377"/>
      <c r="AD30" s="1377"/>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9"/>
      <c r="AF32" s="2789"/>
      <c r="AG32" s="2721"/>
      <c r="AH32" s="2721"/>
      <c r="AI32" s="2721"/>
      <c r="AJ32" s="2721"/>
    </row>
    <row r="33" spans="1:37" ht="36" customHeight="1">
      <c r="A33" s="3145" t="s">
        <v>2933</v>
      </c>
      <c r="B33" s="2862" t="s">
        <v>2934</v>
      </c>
      <c r="C33" s="206">
        <f ca="1">ROUND(D5*C19*C20*C24*F33,0)</f>
        <v>7427</v>
      </c>
      <c r="D33" s="2846"/>
      <c r="E33" s="200">
        <f ca="1">ROUND(C33*D33/10000,0)</f>
        <v>0</v>
      </c>
      <c r="F33" s="200">
        <f>SUMIF(修正!A45:A56,G2,修正!B45:B56)</f>
        <v>0.7</v>
      </c>
      <c r="G33" s="200">
        <f t="shared" ref="G33:G39" ca="1" si="6">ROUND(IF(E2="工业",C33*$M$39,C33*$M$38),0)</f>
        <v>1857</v>
      </c>
      <c r="H33" s="200">
        <f>D33</f>
        <v>0</v>
      </c>
      <c r="I33" s="200">
        <f ca="1">ROUND(G33*H33/10000,0)</f>
        <v>0</v>
      </c>
      <c r="J33" s="286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46"/>
      <c r="B34" s="2766" t="s">
        <v>2935</v>
      </c>
      <c r="C34" s="206">
        <f ca="1">ROUND(D5*C19*C20*C24*F34,0)</f>
        <v>4244</v>
      </c>
      <c r="D34" s="2846"/>
      <c r="E34" s="200">
        <f t="shared" ref="E34:E39" ca="1" si="7">ROUND(C34*D34/10000,0)</f>
        <v>0</v>
      </c>
      <c r="F34" s="200">
        <f>SUMIF(修正!A45:A56,G2,修正!C45:C56)</f>
        <v>0.4</v>
      </c>
      <c r="G34" s="200">
        <f t="shared" ca="1" si="6"/>
        <v>1061</v>
      </c>
      <c r="H34" s="200">
        <f t="shared" ref="H34:H39" si="8">D34</f>
        <v>0</v>
      </c>
      <c r="I34" s="200">
        <f t="shared" ref="I34:I39" ca="1" si="9">ROUND(G34*H34/10000,0)</f>
        <v>0</v>
      </c>
      <c r="J34" s="286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46"/>
      <c r="B35" s="2766" t="s">
        <v>2936</v>
      </c>
      <c r="C35" s="206">
        <f ca="1">ROUND(D5*C19*C20*C24*F35,0)</f>
        <v>2971</v>
      </c>
      <c r="D35" s="2846"/>
      <c r="E35" s="200">
        <f t="shared" ca="1" si="7"/>
        <v>0</v>
      </c>
      <c r="F35" s="200">
        <f>SUMIF(修正!A45:A56,G2,修正!D45:D56)</f>
        <v>0.28000000000000003</v>
      </c>
      <c r="G35" s="200">
        <f t="shared" ca="1" si="6"/>
        <v>743</v>
      </c>
      <c r="H35" s="200">
        <f t="shared" si="8"/>
        <v>0</v>
      </c>
      <c r="I35" s="200">
        <f t="shared" ca="1" si="9"/>
        <v>0</v>
      </c>
      <c r="J35" s="2863"/>
      <c r="K35" s="1369"/>
      <c r="L35" s="1369"/>
      <c r="M35" s="1369"/>
      <c r="N35" s="1369"/>
      <c r="O35" s="1369"/>
      <c r="P35" s="1369"/>
      <c r="Q35" s="1369"/>
      <c r="R35" s="1369"/>
      <c r="S35" s="1369"/>
      <c r="T35" s="1369"/>
      <c r="U35" s="1369"/>
      <c r="V35" s="1369"/>
      <c r="W35" s="1369"/>
      <c r="X35" s="1369"/>
      <c r="Y35" s="1369"/>
      <c r="Z35" s="1370"/>
    </row>
    <row r="36" spans="1:37" ht="13.5" thickBot="1">
      <c r="A36" s="3147"/>
      <c r="B36" s="2766" t="s">
        <v>2937</v>
      </c>
      <c r="C36" s="206">
        <f ca="1">ROUND(D5*C19*C20*C24*F36,0)</f>
        <v>2653</v>
      </c>
      <c r="D36" s="2846"/>
      <c r="E36" s="200">
        <f t="shared" ca="1" si="7"/>
        <v>0</v>
      </c>
      <c r="F36" s="200">
        <f>SUMIF(修正!A45:A56,G2,修正!E45:E56)</f>
        <v>0.25</v>
      </c>
      <c r="G36" s="200">
        <f t="shared" ca="1" si="6"/>
        <v>663</v>
      </c>
      <c r="H36" s="200">
        <f t="shared" si="8"/>
        <v>0</v>
      </c>
      <c r="I36" s="200">
        <f t="shared" ca="1" si="9"/>
        <v>0</v>
      </c>
      <c r="J36" s="2863"/>
      <c r="K36" s="1369"/>
      <c r="L36" s="2720"/>
      <c r="M36" s="2720"/>
      <c r="N36" s="1369"/>
      <c r="O36" s="1369"/>
      <c r="P36" s="1369"/>
      <c r="Q36" s="1369"/>
      <c r="R36" s="1369"/>
      <c r="S36" s="1369"/>
      <c r="T36" s="1369"/>
      <c r="U36" s="1369"/>
      <c r="V36" s="1369"/>
      <c r="W36" s="1369"/>
      <c r="X36" s="1369"/>
      <c r="Y36" s="1369"/>
      <c r="Z36" s="1370"/>
    </row>
    <row r="37" spans="1:37">
      <c r="A37" s="2864"/>
      <c r="B37" s="2766" t="s">
        <v>2938</v>
      </c>
      <c r="C37" s="200">
        <f ca="1">ROUND(C5*C19*C20*C24*F37,0)</f>
        <v>2653</v>
      </c>
      <c r="D37" s="2846"/>
      <c r="E37" s="200">
        <f t="shared" ca="1" si="7"/>
        <v>0</v>
      </c>
      <c r="F37" s="206">
        <f>SUMIF(修正!A45:A56,G2,修正!F45:F56)</f>
        <v>0.25</v>
      </c>
      <c r="G37" s="200">
        <f t="shared" ca="1" si="6"/>
        <v>663</v>
      </c>
      <c r="H37" s="200">
        <f t="shared" si="8"/>
        <v>0</v>
      </c>
      <c r="I37" s="200">
        <f t="shared" ca="1" si="9"/>
        <v>0</v>
      </c>
      <c r="J37" s="2863"/>
      <c r="K37" s="1369"/>
      <c r="L37" s="2865" t="s">
        <v>2939</v>
      </c>
      <c r="M37" s="2866"/>
      <c r="N37" s="1369"/>
      <c r="O37" s="1369"/>
      <c r="P37" s="1369"/>
      <c r="Q37" s="1369"/>
      <c r="R37" s="1369"/>
      <c r="S37" s="1369"/>
      <c r="T37" s="1369"/>
      <c r="U37" s="1369"/>
      <c r="V37" s="1369"/>
      <c r="W37" s="1369"/>
      <c r="X37" s="1369"/>
      <c r="Y37" s="1369"/>
      <c r="Z37" s="1370"/>
    </row>
    <row r="38" spans="1:37">
      <c r="A38" s="2864"/>
      <c r="B38" s="2766" t="s">
        <v>2940</v>
      </c>
      <c r="C38" s="200">
        <f ca="1">ROUND(C5*C19*C20*C24*F38,0)</f>
        <v>2653</v>
      </c>
      <c r="D38" s="2846"/>
      <c r="E38" s="200">
        <f t="shared" ca="1" si="7"/>
        <v>0</v>
      </c>
      <c r="F38" s="206">
        <f>SUMIF(修正!A45:A56,G2,修正!G45:G56)</f>
        <v>0.25</v>
      </c>
      <c r="G38" s="200">
        <f t="shared" ca="1" si="6"/>
        <v>663</v>
      </c>
      <c r="H38" s="200">
        <f t="shared" si="8"/>
        <v>0</v>
      </c>
      <c r="I38" s="200">
        <f t="shared" ca="1" si="9"/>
        <v>0</v>
      </c>
      <c r="J38" s="2863"/>
      <c r="K38" s="1369"/>
      <c r="L38" s="1887" t="s">
        <v>2941</v>
      </c>
      <c r="M38" s="2867">
        <v>0.25</v>
      </c>
      <c r="N38" s="1369"/>
      <c r="O38" s="1369"/>
      <c r="P38" s="1369"/>
      <c r="Q38" s="1369"/>
      <c r="R38" s="1369"/>
      <c r="S38" s="1369"/>
      <c r="T38" s="1369"/>
      <c r="U38" s="1369"/>
      <c r="V38" s="1369"/>
      <c r="W38" s="1369"/>
      <c r="X38" s="1369"/>
      <c r="Y38" s="1369"/>
      <c r="Z38" s="1370"/>
    </row>
    <row r="39" spans="1:37" ht="13.5" thickBot="1">
      <c r="A39" s="2850"/>
      <c r="B39" s="2868" t="s">
        <v>2942</v>
      </c>
      <c r="C39" s="229">
        <f ca="1">ROUND(C5*C19*C20*C24*F39,0)</f>
        <v>2122</v>
      </c>
      <c r="D39" s="2852"/>
      <c r="E39" s="229">
        <f t="shared" ca="1" si="7"/>
        <v>0</v>
      </c>
      <c r="F39" s="932">
        <f>SUMIF(修正!A45:A56,G2,修正!H45:H56)</f>
        <v>0.2</v>
      </c>
      <c r="G39" s="229" t="e">
        <f t="shared" si="6"/>
        <v>#DIV/0!</v>
      </c>
      <c r="H39" s="229">
        <f t="shared" si="8"/>
        <v>0</v>
      </c>
      <c r="I39" s="229" t="e">
        <f t="shared" si="9"/>
        <v>#DIV/0!</v>
      </c>
      <c r="J39" s="2869"/>
      <c r="K39" s="1369"/>
      <c r="L39" s="2870" t="s">
        <v>2885</v>
      </c>
      <c r="M39" s="287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2"/>
      <c r="Z41" s="1370"/>
      <c r="AA41" s="1370"/>
      <c r="AB41" s="1370"/>
      <c r="AC41" s="1370"/>
      <c r="AD41" s="1370"/>
      <c r="AE41" s="1370"/>
      <c r="AF41" s="1370"/>
      <c r="AG41" s="1370"/>
      <c r="AH41" s="1370"/>
      <c r="AI41" s="1370"/>
      <c r="AJ41" s="1370"/>
    </row>
    <row r="42" spans="1:37" s="1369" customFormat="1">
      <c r="A42" s="1370"/>
      <c r="B42" s="2872"/>
      <c r="Z42" s="1370"/>
      <c r="AA42" s="1370"/>
      <c r="AB42" s="1370"/>
      <c r="AC42" s="1370"/>
      <c r="AD42" s="1370"/>
      <c r="AE42" s="1370"/>
      <c r="AF42" s="1370"/>
      <c r="AG42" s="1370"/>
      <c r="AH42" s="1370"/>
      <c r="AI42" s="1370"/>
      <c r="AJ42" s="1370"/>
    </row>
    <row r="43" spans="1:37" s="1369" customFormat="1">
      <c r="A43" s="1370"/>
      <c r="B43" s="2872"/>
      <c r="Z43" s="1370"/>
      <c r="AA43" s="1370"/>
      <c r="AB43" s="1370"/>
      <c r="AC43" s="1370"/>
      <c r="AD43" s="1370"/>
      <c r="AE43" s="1370"/>
      <c r="AF43" s="1370"/>
      <c r="AG43" s="1370"/>
      <c r="AH43" s="1370"/>
      <c r="AI43" s="1370"/>
      <c r="AJ43" s="1370"/>
    </row>
    <row r="44" spans="1:37" s="1369" customFormat="1">
      <c r="A44" s="1370"/>
      <c r="B44" s="2872"/>
      <c r="Z44" s="1370"/>
      <c r="AA44" s="1370"/>
      <c r="AB44" s="1370"/>
      <c r="AC44" s="1370"/>
      <c r="AD44" s="1370"/>
      <c r="AE44" s="1370"/>
      <c r="AF44" s="1370"/>
      <c r="AG44" s="1370"/>
      <c r="AH44" s="1370"/>
      <c r="AI44" s="1370"/>
      <c r="AJ44" s="1370"/>
    </row>
    <row r="45" spans="1:37" s="1369" customFormat="1" ht="15.75" thickBot="1">
      <c r="A45" s="2873" t="s">
        <v>2943</v>
      </c>
      <c r="B45" s="2874"/>
      <c r="C45" s="7"/>
      <c r="D45" s="7"/>
      <c r="E45" s="7"/>
      <c r="F45" s="6"/>
      <c r="G45" s="6"/>
      <c r="H45" s="6"/>
      <c r="I45" s="7"/>
      <c r="J45" s="7"/>
      <c r="K45" s="7"/>
      <c r="L45" s="7"/>
      <c r="M45" s="7"/>
      <c r="N45" s="2789"/>
      <c r="Z45" s="1370"/>
      <c r="AA45" s="1370"/>
      <c r="AB45" s="1370"/>
      <c r="AC45" s="1370"/>
      <c r="AD45" s="1370"/>
      <c r="AE45" s="1370"/>
      <c r="AF45" s="1370"/>
      <c r="AG45" s="1370"/>
      <c r="AH45" s="1370"/>
      <c r="AI45" s="1370"/>
      <c r="AJ45" s="1370"/>
    </row>
    <row r="46" spans="1:37" s="1369" customFormat="1" ht="15">
      <c r="A46" s="2875" t="s">
        <v>2944</v>
      </c>
      <c r="B46" s="2876">
        <f>1+E48</f>
        <v>1.01</v>
      </c>
      <c r="C46" s="2877"/>
      <c r="D46" s="811"/>
      <c r="E46" s="812"/>
      <c r="F46" s="2878"/>
      <c r="G46" s="6"/>
      <c r="H46" s="7"/>
      <c r="I46" s="7"/>
      <c r="J46" s="7"/>
      <c r="K46" s="7"/>
      <c r="L46" s="7"/>
      <c r="M46" s="7"/>
      <c r="N46" s="2789"/>
      <c r="Z46" s="1370"/>
      <c r="AA46" s="1370"/>
      <c r="AB46" s="1370"/>
      <c r="AC46" s="1370"/>
      <c r="AD46" s="1370"/>
      <c r="AE46" s="1370"/>
      <c r="AF46" s="1370"/>
      <c r="AG46" s="1370"/>
      <c r="AH46" s="1370"/>
      <c r="AI46" s="1370"/>
      <c r="AJ46" s="1370"/>
    </row>
    <row r="47" spans="1:37" s="1369" customFormat="1" ht="24.75">
      <c r="A47" s="2879" t="s">
        <v>2945</v>
      </c>
      <c r="B47" s="1809" t="s">
        <v>2946</v>
      </c>
      <c r="C47" s="1809" t="s">
        <v>2947</v>
      </c>
      <c r="D47" s="1809" t="s">
        <v>2948</v>
      </c>
      <c r="E47" s="816" t="s">
        <v>2949</v>
      </c>
      <c r="F47" s="2880" t="s">
        <v>2950</v>
      </c>
      <c r="G47" s="1809" t="s">
        <v>754</v>
      </c>
      <c r="H47" s="2881" t="s">
        <v>2951</v>
      </c>
      <c r="I47" s="1809" t="s">
        <v>2952</v>
      </c>
      <c r="J47" s="603" t="s">
        <v>2601</v>
      </c>
      <c r="K47" s="603" t="s">
        <v>2602</v>
      </c>
      <c r="L47" s="603" t="s">
        <v>2603</v>
      </c>
      <c r="M47" s="603" t="s">
        <v>2604</v>
      </c>
      <c r="N47" s="603" t="s">
        <v>2605</v>
      </c>
      <c r="AA47" s="1370"/>
      <c r="AB47" s="1370"/>
      <c r="AC47" s="1370"/>
      <c r="AD47" s="1370"/>
      <c r="AE47" s="1370"/>
      <c r="AF47" s="1370"/>
      <c r="AG47" s="1370"/>
      <c r="AH47" s="1370"/>
      <c r="AI47" s="1370"/>
      <c r="AJ47" s="1370"/>
      <c r="AK47" s="1370"/>
    </row>
    <row r="48" spans="1:37" s="1369" customFormat="1" ht="38.25">
      <c r="A48" s="2879" t="s">
        <v>2953</v>
      </c>
      <c r="B48" s="2882" t="str">
        <f>估价对象房地状况!C4</f>
        <v>估价对象位于XX商圈，周边商业氛围成熟，人流量大，商业繁华度好</v>
      </c>
      <c r="C48" s="2771" t="s">
        <v>3077</v>
      </c>
      <c r="D48" s="1285">
        <f t="shared" ref="D48:D56" si="10">SUMIF($J$47:$N$47,C48,J48:N48)</f>
        <v>0</v>
      </c>
      <c r="E48" s="818">
        <f>ROUND(SUM(D48:D56),4)</f>
        <v>0.01</v>
      </c>
      <c r="F48" s="2502">
        <f>IF(E2="商业",SUMIF(L1:L12,G2,N1:N12),"——")</f>
        <v>0.1</v>
      </c>
      <c r="G48" s="1283">
        <v>1.6500000000000001E-2</v>
      </c>
      <c r="H48" s="1287">
        <f t="shared" ref="H48:H56" si="11">IFERROR(ROUNDDOWN($F$48*I48/2,4),"——")</f>
        <v>1.6500000000000001E-2</v>
      </c>
      <c r="I48" s="817">
        <v>0.33</v>
      </c>
      <c r="J48" s="1284">
        <f t="shared" ref="J48:J56" si="12">K48+$G48</f>
        <v>3.3000000000000002E-2</v>
      </c>
      <c r="K48" s="1284">
        <f t="shared" ref="K48:K56" si="13">$L48+$G48</f>
        <v>1.6500000000000001E-2</v>
      </c>
      <c r="L48" s="1284">
        <v>0</v>
      </c>
      <c r="M48" s="1284">
        <f t="shared" ref="M48:N56" si="14">L48-$G48</f>
        <v>-1.6500000000000001E-2</v>
      </c>
      <c r="N48" s="1284">
        <f t="shared" si="14"/>
        <v>-3.3000000000000002E-2</v>
      </c>
      <c r="AA48" s="1370"/>
      <c r="AB48" s="1370"/>
      <c r="AC48" s="1370"/>
      <c r="AD48" s="1370"/>
      <c r="AE48" s="1370"/>
      <c r="AF48" s="1370"/>
      <c r="AG48" s="1370"/>
      <c r="AH48" s="1370"/>
      <c r="AI48" s="1370"/>
      <c r="AJ48" s="1370"/>
      <c r="AK48" s="1370"/>
    </row>
    <row r="49" spans="1:37" s="1369" customFormat="1" ht="51">
      <c r="A49" s="2879" t="s">
        <v>2954</v>
      </c>
      <c r="B49" s="2883" t="str">
        <f>估价对象房地状况!C18</f>
        <v>估价对象周边道路状况、公共交通通达情况、停车便捷程度，综合评价交通便捷度较好</v>
      </c>
      <c r="C49" s="2771" t="s">
        <v>3077</v>
      </c>
      <c r="D49" s="1285">
        <f t="shared" si="10"/>
        <v>0</v>
      </c>
      <c r="E49" s="819"/>
      <c r="F49" s="2502"/>
      <c r="G49" s="1283">
        <v>1.2500000000000001E-2</v>
      </c>
      <c r="H49" s="1287">
        <f t="shared" si="11"/>
        <v>1.2500000000000001E-2</v>
      </c>
      <c r="I49" s="817">
        <v>0.25</v>
      </c>
      <c r="J49" s="1284">
        <f t="shared" si="12"/>
        <v>2.5000000000000001E-2</v>
      </c>
      <c r="K49" s="1284">
        <f t="shared" si="13"/>
        <v>1.2500000000000001E-2</v>
      </c>
      <c r="L49" s="1284">
        <v>0</v>
      </c>
      <c r="M49" s="1284">
        <f t="shared" si="14"/>
        <v>-1.2500000000000001E-2</v>
      </c>
      <c r="N49" s="1284">
        <f t="shared" si="14"/>
        <v>-2.5000000000000001E-2</v>
      </c>
      <c r="AA49" s="1370"/>
      <c r="AB49" s="1370"/>
      <c r="AC49" s="1370"/>
      <c r="AD49" s="1370"/>
      <c r="AE49" s="1370"/>
      <c r="AF49" s="1370"/>
      <c r="AG49" s="1370"/>
      <c r="AH49" s="1370"/>
      <c r="AI49" s="1370"/>
      <c r="AJ49" s="1370"/>
      <c r="AK49" s="1370"/>
    </row>
    <row r="50" spans="1:37" s="1369" customFormat="1" ht="24">
      <c r="A50" s="2879" t="s">
        <v>2955</v>
      </c>
      <c r="B50" s="2883">
        <f>估价对象房地状况!C19</f>
        <v>0</v>
      </c>
      <c r="C50" s="2771" t="s">
        <v>3077</v>
      </c>
      <c r="D50" s="1285">
        <f t="shared" si="10"/>
        <v>0</v>
      </c>
      <c r="E50" s="819"/>
      <c r="F50" s="2502"/>
      <c r="G50" s="1283">
        <v>2.5000000000000001E-3</v>
      </c>
      <c r="H50" s="1287">
        <f t="shared" si="11"/>
        <v>2.5000000000000001E-3</v>
      </c>
      <c r="I50" s="817">
        <v>0.05</v>
      </c>
      <c r="J50" s="1284">
        <f t="shared" si="12"/>
        <v>5.0000000000000001E-3</v>
      </c>
      <c r="K50" s="1284">
        <f t="shared" si="13"/>
        <v>2.5000000000000001E-3</v>
      </c>
      <c r="L50" s="1284">
        <v>0</v>
      </c>
      <c r="M50" s="1284">
        <f t="shared" si="14"/>
        <v>-2.5000000000000001E-3</v>
      </c>
      <c r="N50" s="1284">
        <f t="shared" si="14"/>
        <v>-5.0000000000000001E-3</v>
      </c>
      <c r="AA50" s="1370"/>
      <c r="AB50" s="1370"/>
      <c r="AC50" s="1370"/>
      <c r="AD50" s="1370"/>
      <c r="AE50" s="1370"/>
      <c r="AF50" s="1370"/>
      <c r="AG50" s="1370"/>
      <c r="AH50" s="1370"/>
      <c r="AI50" s="1370"/>
      <c r="AJ50" s="1370"/>
      <c r="AK50" s="1370"/>
    </row>
    <row r="51" spans="1:37" s="1369" customFormat="1" ht="36.75">
      <c r="A51" s="2879" t="s">
        <v>2956</v>
      </c>
      <c r="B51" s="2884" t="s">
        <v>2957</v>
      </c>
      <c r="C51" s="2771" t="s">
        <v>3078</v>
      </c>
      <c r="D51" s="1285">
        <f t="shared" si="10"/>
        <v>2.5000000000000001E-3</v>
      </c>
      <c r="E51" s="819"/>
      <c r="F51" s="2502"/>
      <c r="G51" s="1283">
        <v>2.5000000000000001E-3</v>
      </c>
      <c r="H51" s="1287">
        <f t="shared" si="11"/>
        <v>2.5000000000000001E-3</v>
      </c>
      <c r="I51" s="817">
        <v>0.05</v>
      </c>
      <c r="J51" s="1284">
        <f t="shared" si="12"/>
        <v>5.0000000000000001E-3</v>
      </c>
      <c r="K51" s="1284">
        <f t="shared" si="13"/>
        <v>2.5000000000000001E-3</v>
      </c>
      <c r="L51" s="1284">
        <v>0</v>
      </c>
      <c r="M51" s="1284">
        <f t="shared" si="14"/>
        <v>-2.5000000000000001E-3</v>
      </c>
      <c r="N51" s="1284">
        <f t="shared" si="14"/>
        <v>-5.0000000000000001E-3</v>
      </c>
      <c r="AA51" s="1370"/>
      <c r="AB51" s="1370"/>
      <c r="AC51" s="1370"/>
      <c r="AD51" s="1370"/>
      <c r="AE51" s="1370"/>
      <c r="AF51" s="1370"/>
      <c r="AG51" s="1370"/>
      <c r="AH51" s="1370"/>
      <c r="AI51" s="1370"/>
      <c r="AJ51" s="1370"/>
      <c r="AK51" s="1370"/>
    </row>
    <row r="52" spans="1:37" s="1369" customFormat="1" ht="24">
      <c r="A52" s="2879" t="s">
        <v>2958</v>
      </c>
      <c r="B52" s="2883">
        <f>估价对象房地状况!C24</f>
        <v>0</v>
      </c>
      <c r="C52" s="2771" t="s">
        <v>3079</v>
      </c>
      <c r="D52" s="1285">
        <f t="shared" si="10"/>
        <v>-4.0000000000000001E-3</v>
      </c>
      <c r="E52" s="819"/>
      <c r="F52" s="2502"/>
      <c r="G52" s="1283">
        <v>4.0000000000000001E-3</v>
      </c>
      <c r="H52" s="1287">
        <f t="shared" si="11"/>
        <v>4.0000000000000001E-3</v>
      </c>
      <c r="I52" s="817">
        <v>0.08</v>
      </c>
      <c r="J52" s="1284">
        <f t="shared" si="12"/>
        <v>8.0000000000000002E-3</v>
      </c>
      <c r="K52" s="1284">
        <f t="shared" si="13"/>
        <v>4.0000000000000001E-3</v>
      </c>
      <c r="L52" s="1284">
        <v>0</v>
      </c>
      <c r="M52" s="1284">
        <f t="shared" si="14"/>
        <v>-4.0000000000000001E-3</v>
      </c>
      <c r="N52" s="1284">
        <f t="shared" si="14"/>
        <v>-8.0000000000000002E-3</v>
      </c>
      <c r="AA52" s="1370"/>
      <c r="AB52" s="1370"/>
      <c r="AC52" s="1370"/>
      <c r="AD52" s="1370"/>
      <c r="AE52" s="1370"/>
      <c r="AF52" s="1370"/>
      <c r="AG52" s="1370"/>
      <c r="AH52" s="1370"/>
      <c r="AI52" s="1370"/>
      <c r="AJ52" s="1370"/>
      <c r="AK52" s="1370"/>
    </row>
    <row r="53" spans="1:37" s="1369" customFormat="1" ht="24">
      <c r="A53" s="2879" t="s">
        <v>2959</v>
      </c>
      <c r="B53" s="2885" t="s">
        <v>2960</v>
      </c>
      <c r="C53" s="2771" t="s">
        <v>3078</v>
      </c>
      <c r="D53" s="1285">
        <f t="shared" si="10"/>
        <v>1.5E-3</v>
      </c>
      <c r="E53" s="819"/>
      <c r="F53" s="2502"/>
      <c r="G53" s="1283">
        <v>1.5E-3</v>
      </c>
      <c r="H53" s="1287">
        <f t="shared" si="11"/>
        <v>1.5E-3</v>
      </c>
      <c r="I53" s="817">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25.5">
      <c r="A54" s="2886" t="s">
        <v>2961</v>
      </c>
      <c r="B54" s="1725" t="str">
        <f>估价对象房地状况!C21</f>
        <v>估价对象所在区域公共配套设施齐备情况</v>
      </c>
      <c r="C54" s="2771" t="s">
        <v>3077</v>
      </c>
      <c r="D54" s="1285">
        <f t="shared" si="10"/>
        <v>0</v>
      </c>
      <c r="E54" s="819"/>
      <c r="F54" s="2502"/>
      <c r="G54" s="1283">
        <v>2.5000000000000001E-3</v>
      </c>
      <c r="H54" s="1287">
        <f t="shared" si="11"/>
        <v>2.5000000000000001E-3</v>
      </c>
      <c r="I54" s="817">
        <v>0.05</v>
      </c>
      <c r="J54" s="1284">
        <f t="shared" si="12"/>
        <v>5.0000000000000001E-3</v>
      </c>
      <c r="K54" s="1284">
        <f t="shared" si="13"/>
        <v>2.5000000000000001E-3</v>
      </c>
      <c r="L54" s="1284">
        <v>0</v>
      </c>
      <c r="M54" s="1284">
        <f t="shared" si="14"/>
        <v>-2.5000000000000001E-3</v>
      </c>
      <c r="N54" s="1284">
        <f t="shared" si="14"/>
        <v>-5.0000000000000001E-3</v>
      </c>
      <c r="AA54" s="1370"/>
      <c r="AB54" s="1370"/>
      <c r="AC54" s="1370"/>
      <c r="AD54" s="1370"/>
      <c r="AE54" s="1370"/>
      <c r="AF54" s="1370"/>
      <c r="AG54" s="1370"/>
      <c r="AH54" s="1370"/>
      <c r="AI54" s="1370"/>
      <c r="AJ54" s="1370"/>
      <c r="AK54" s="1370"/>
    </row>
    <row r="55" spans="1:37" s="1369" customFormat="1" ht="25.5">
      <c r="A55" s="2886" t="s">
        <v>2962</v>
      </c>
      <c r="B55" s="2883" t="str">
        <f>估价对象房地状况!C22</f>
        <v>估价对象所在区域基础设施水平</v>
      </c>
      <c r="C55" s="2771" t="s">
        <v>3080</v>
      </c>
      <c r="D55" s="1285">
        <f t="shared" si="10"/>
        <v>0.01</v>
      </c>
      <c r="E55" s="819"/>
      <c r="F55" s="2502"/>
      <c r="G55" s="1283">
        <v>5.0000000000000001E-3</v>
      </c>
      <c r="H55" s="1287">
        <f t="shared" si="11"/>
        <v>5.0000000000000001E-3</v>
      </c>
      <c r="I55" s="817">
        <v>0.1</v>
      </c>
      <c r="J55" s="1284">
        <f t="shared" si="12"/>
        <v>0.01</v>
      </c>
      <c r="K55" s="1284">
        <f t="shared" si="13"/>
        <v>5.0000000000000001E-3</v>
      </c>
      <c r="L55" s="1284">
        <v>0</v>
      </c>
      <c r="M55" s="1284">
        <f t="shared" si="14"/>
        <v>-5.0000000000000001E-3</v>
      </c>
      <c r="N55" s="1284">
        <f t="shared" si="14"/>
        <v>-0.01</v>
      </c>
      <c r="AA55" s="1370"/>
      <c r="AB55" s="1370"/>
      <c r="AC55" s="1370"/>
      <c r="AD55" s="1370"/>
      <c r="AE55" s="1370"/>
      <c r="AF55" s="1370"/>
      <c r="AG55" s="1370"/>
      <c r="AH55" s="1370"/>
      <c r="AI55" s="1370"/>
      <c r="AJ55" s="1370"/>
      <c r="AK55" s="1370"/>
    </row>
    <row r="56" spans="1:37" s="1369" customFormat="1" ht="39" thickBot="1">
      <c r="A56" s="2887" t="s">
        <v>2963</v>
      </c>
      <c r="B56" s="2888" t="str">
        <f>估价对象房地状况!C20</f>
        <v>区域自然环境：；人文环境；综合评价环境状况一般</v>
      </c>
      <c r="C56" s="2771" t="s">
        <v>3077</v>
      </c>
      <c r="D56" s="1285">
        <f t="shared" si="10"/>
        <v>0</v>
      </c>
      <c r="E56" s="822"/>
      <c r="F56" s="2502"/>
      <c r="G56" s="1283">
        <v>3.0000000000000001E-3</v>
      </c>
      <c r="H56" s="1287">
        <f t="shared" si="11"/>
        <v>3.0000000000000001E-3</v>
      </c>
      <c r="I56" s="821">
        <v>0.06</v>
      </c>
      <c r="J56" s="1284">
        <f t="shared" si="12"/>
        <v>6.0000000000000001E-3</v>
      </c>
      <c r="K56" s="1284">
        <f t="shared" si="13"/>
        <v>3.0000000000000001E-3</v>
      </c>
      <c r="L56" s="1284">
        <v>0</v>
      </c>
      <c r="M56" s="1284">
        <f t="shared" si="14"/>
        <v>-3.0000000000000001E-3</v>
      </c>
      <c r="N56" s="1284">
        <f t="shared" si="14"/>
        <v>-6.0000000000000001E-3</v>
      </c>
      <c r="AA56" s="1370"/>
      <c r="AB56" s="1370"/>
      <c r="AC56" s="1370"/>
      <c r="AD56" s="1370"/>
      <c r="AE56" s="1370"/>
      <c r="AF56" s="1370"/>
      <c r="AG56" s="1370"/>
      <c r="AH56" s="1370"/>
      <c r="AI56" s="1370"/>
      <c r="AJ56" s="1370"/>
      <c r="AK56" s="1370"/>
    </row>
    <row r="57" spans="1:37" s="1369" customFormat="1" ht="15">
      <c r="A57" s="2875" t="s">
        <v>2964</v>
      </c>
      <c r="B57" s="2876">
        <f>1+E59</f>
        <v>1</v>
      </c>
      <c r="C57" s="811"/>
      <c r="D57" s="811"/>
      <c r="E57" s="812"/>
      <c r="F57" s="287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9" t="s">
        <v>2945</v>
      </c>
      <c r="B58" s="1809"/>
      <c r="C58" s="1809" t="s">
        <v>2947</v>
      </c>
      <c r="D58" s="1809" t="s">
        <v>2948</v>
      </c>
      <c r="E58" s="816" t="s">
        <v>2949</v>
      </c>
      <c r="F58" s="2880" t="s">
        <v>2965</v>
      </c>
      <c r="G58" s="1809" t="s">
        <v>754</v>
      </c>
      <c r="H58" s="2881" t="s">
        <v>2951</v>
      </c>
      <c r="I58" s="1809" t="s">
        <v>2952</v>
      </c>
      <c r="J58" s="603" t="s">
        <v>2601</v>
      </c>
      <c r="K58" s="603" t="s">
        <v>2602</v>
      </c>
      <c r="L58" s="603" t="s">
        <v>2603</v>
      </c>
      <c r="M58" s="603" t="s">
        <v>2604</v>
      </c>
      <c r="N58" s="603" t="s">
        <v>2605</v>
      </c>
      <c r="AA58" s="1370"/>
      <c r="AB58" s="1370"/>
      <c r="AC58" s="1370"/>
      <c r="AD58" s="1370"/>
      <c r="AE58" s="1370"/>
      <c r="AF58" s="1370"/>
      <c r="AG58" s="1370"/>
      <c r="AH58" s="1370"/>
      <c r="AI58" s="1370"/>
      <c r="AJ58" s="1370"/>
      <c r="AK58" s="1370"/>
    </row>
    <row r="59" spans="1:37" s="1369" customFormat="1" ht="38.25">
      <c r="A59" s="2879" t="s">
        <v>2966</v>
      </c>
      <c r="B59" s="2882" t="str">
        <f>估价对象房地状况!C17</f>
        <v>估价对象位于XX商圈，周边办公楼项目较多，入驻率高，办公集聚程度较好</v>
      </c>
      <c r="C59" s="2771"/>
      <c r="D59" s="1285">
        <f t="shared" ref="D59:D67" si="15">SUMIF($J$58:$N$58,C59,J59:N59)</f>
        <v>0</v>
      </c>
      <c r="E59" s="818">
        <f>ROUND(SUM(D59:D67),4)</f>
        <v>0</v>
      </c>
      <c r="F59" s="2502"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9" t="s">
        <v>2954</v>
      </c>
      <c r="B60" s="2883" t="str">
        <f>估价对象房地状况!C18</f>
        <v>估价对象周边道路状况、公共交通通达情况、停车便捷程度，综合评价交通便捷度较好</v>
      </c>
      <c r="C60" s="2771"/>
      <c r="D60" s="1285">
        <f t="shared" si="15"/>
        <v>0</v>
      </c>
      <c r="E60" s="819"/>
      <c r="F60" s="2502"/>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9" t="s">
        <v>2955</v>
      </c>
      <c r="B61" s="2883">
        <f>估价对象房地状况!C19</f>
        <v>0</v>
      </c>
      <c r="C61" s="2771"/>
      <c r="D61" s="1285">
        <f t="shared" si="15"/>
        <v>0</v>
      </c>
      <c r="E61" s="819"/>
      <c r="F61" s="2502"/>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9" t="s">
        <v>2956</v>
      </c>
      <c r="B62" s="2884" t="s">
        <v>2957</v>
      </c>
      <c r="C62" s="2771"/>
      <c r="D62" s="1285">
        <f t="shared" si="15"/>
        <v>0</v>
      </c>
      <c r="E62" s="819"/>
      <c r="F62" s="2502"/>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9" t="s">
        <v>2958</v>
      </c>
      <c r="B63" s="2883">
        <f>估价对象房地状况!C24</f>
        <v>0</v>
      </c>
      <c r="C63" s="2771"/>
      <c r="D63" s="1285">
        <f t="shared" si="15"/>
        <v>0</v>
      </c>
      <c r="E63" s="819"/>
      <c r="F63" s="2502"/>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9" t="s">
        <v>2959</v>
      </c>
      <c r="B64" s="2885" t="s">
        <v>2960</v>
      </c>
      <c r="C64" s="2771"/>
      <c r="D64" s="1285">
        <f t="shared" si="15"/>
        <v>0</v>
      </c>
      <c r="E64" s="819"/>
      <c r="F64" s="2502"/>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9" t="s">
        <v>2961</v>
      </c>
      <c r="B65" s="1725" t="str">
        <f>估价对象房地状况!C21</f>
        <v>估价对象所在区域公共配套设施齐备情况</v>
      </c>
      <c r="C65" s="2771"/>
      <c r="D65" s="1285">
        <f t="shared" si="15"/>
        <v>0</v>
      </c>
      <c r="E65" s="819"/>
      <c r="F65" s="2502"/>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9" t="s">
        <v>2962</v>
      </c>
      <c r="B66" s="1725" t="str">
        <f>估价对象房地状况!C22</f>
        <v>估价对象所在区域基础设施水平</v>
      </c>
      <c r="C66" s="2771"/>
      <c r="D66" s="1285">
        <f t="shared" si="15"/>
        <v>0</v>
      </c>
      <c r="E66" s="819"/>
      <c r="F66" s="2502"/>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7" t="s">
        <v>2963</v>
      </c>
      <c r="B67" s="2889" t="str">
        <f>估价对象房地状况!C20</f>
        <v>区域自然环境：；人文环境；综合评价环境状况一般</v>
      </c>
      <c r="C67" s="2771"/>
      <c r="D67" s="1285">
        <f t="shared" si="15"/>
        <v>0</v>
      </c>
      <c r="E67" s="822"/>
      <c r="F67" s="2502"/>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5" t="s">
        <v>2967</v>
      </c>
      <c r="B68" s="2876">
        <f>1+E70</f>
        <v>1</v>
      </c>
      <c r="C68" s="811"/>
      <c r="D68" s="811"/>
      <c r="E68" s="812"/>
      <c r="F68" s="287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9" t="s">
        <v>2945</v>
      </c>
      <c r="B69" s="1809"/>
      <c r="C69" s="1809" t="s">
        <v>2947</v>
      </c>
      <c r="D69" s="1809" t="s">
        <v>2948</v>
      </c>
      <c r="E69" s="816" t="s">
        <v>2949</v>
      </c>
      <c r="F69" s="2880" t="s">
        <v>2965</v>
      </c>
      <c r="G69" s="1809" t="s">
        <v>754</v>
      </c>
      <c r="H69" s="2881" t="s">
        <v>2951</v>
      </c>
      <c r="I69" s="1809" t="s">
        <v>2952</v>
      </c>
      <c r="J69" s="603" t="s">
        <v>2601</v>
      </c>
      <c r="K69" s="603" t="s">
        <v>2602</v>
      </c>
      <c r="L69" s="603" t="s">
        <v>2603</v>
      </c>
      <c r="M69" s="603" t="s">
        <v>2604</v>
      </c>
      <c r="N69" s="603" t="s">
        <v>2605</v>
      </c>
      <c r="AA69" s="1370"/>
      <c r="AB69" s="1370"/>
      <c r="AC69" s="1370"/>
      <c r="AD69" s="1370"/>
      <c r="AE69" s="1370"/>
      <c r="AF69" s="1370"/>
      <c r="AG69" s="1370"/>
      <c r="AH69" s="1370"/>
      <c r="AI69" s="1370"/>
      <c r="AJ69" s="1370"/>
      <c r="AK69" s="1370"/>
    </row>
    <row r="70" spans="1:37" s="1369" customFormat="1" ht="51">
      <c r="A70" s="2879" t="s">
        <v>2968</v>
      </c>
      <c r="B70" s="2882" t="str">
        <f>估价对象房地状况!C15</f>
        <v>估价对象周边居住用地比例、居住小区规模和社区发展完善程度，综合评价居住社区成熟度一般</v>
      </c>
      <c r="C70" s="2771"/>
      <c r="D70" s="1285">
        <f t="shared" ref="D70:D78" si="20">SUMIF($J$69:$N$69,C70,J70:N70)</f>
        <v>0</v>
      </c>
      <c r="E70" s="818">
        <f>ROUND(SUM(D70:D78),4)</f>
        <v>0</v>
      </c>
      <c r="F70" s="2502"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9" t="s">
        <v>2954</v>
      </c>
      <c r="B71" s="2883" t="str">
        <f>估价对象房地状况!C18</f>
        <v>估价对象周边道路状况、公共交通通达情况、停车便捷程度，综合评价交通便捷度较好</v>
      </c>
      <c r="C71" s="2771"/>
      <c r="D71" s="1285">
        <f t="shared" si="20"/>
        <v>0</v>
      </c>
      <c r="E71" s="823"/>
      <c r="F71" s="2502"/>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9" t="s">
        <v>2955</v>
      </c>
      <c r="B72" s="2883">
        <f>估价对象房地状况!C19</f>
        <v>0</v>
      </c>
      <c r="C72" s="2771"/>
      <c r="D72" s="1285">
        <f t="shared" si="20"/>
        <v>0</v>
      </c>
      <c r="E72" s="823"/>
      <c r="F72" s="2502"/>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9" t="s">
        <v>2969</v>
      </c>
      <c r="B73" s="2883">
        <f>估价对象房地状况!C24</f>
        <v>0</v>
      </c>
      <c r="C73" s="2771"/>
      <c r="D73" s="1285">
        <f t="shared" si="20"/>
        <v>0</v>
      </c>
      <c r="E73" s="823"/>
      <c r="F73" s="2502"/>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9" t="s">
        <v>2961</v>
      </c>
      <c r="B74" s="1725" t="str">
        <f>估价对象房地状况!C21</f>
        <v>估价对象所在区域公共配套设施齐备情况</v>
      </c>
      <c r="C74" s="2771"/>
      <c r="D74" s="1285">
        <f t="shared" si="20"/>
        <v>0</v>
      </c>
      <c r="E74" s="823"/>
      <c r="F74" s="2502"/>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9" t="s">
        <v>2962</v>
      </c>
      <c r="B75" s="1725" t="str">
        <f>估价对象房地状况!C22</f>
        <v>估价对象所在区域基础设施水平</v>
      </c>
      <c r="C75" s="2771"/>
      <c r="D75" s="1285">
        <f t="shared" si="20"/>
        <v>0</v>
      </c>
      <c r="E75" s="823"/>
      <c r="F75" s="2502"/>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9" t="s">
        <v>2959</v>
      </c>
      <c r="B76" s="2885" t="s">
        <v>2960</v>
      </c>
      <c r="C76" s="2771"/>
      <c r="D76" s="1285">
        <f t="shared" si="20"/>
        <v>0</v>
      </c>
      <c r="E76" s="823"/>
      <c r="F76" s="2502"/>
      <c r="G76" s="1283"/>
      <c r="H76" s="1287" t="str">
        <f t="shared" si="21"/>
        <v>——</v>
      </c>
      <c r="I76" s="817">
        <v>0.05</v>
      </c>
      <c r="J76" s="1284">
        <f t="shared" si="22"/>
        <v>0</v>
      </c>
      <c r="K76" s="1284">
        <f t="shared" si="23"/>
        <v>0</v>
      </c>
      <c r="L76" s="1284">
        <v>0</v>
      </c>
      <c r="M76" s="1284">
        <f t="shared" si="24"/>
        <v>0</v>
      </c>
      <c r="N76" s="1284">
        <f t="shared" si="24"/>
        <v>0</v>
      </c>
      <c r="AA76" s="2890"/>
      <c r="AB76" s="1370"/>
      <c r="AC76" s="1370"/>
      <c r="AD76" s="1370"/>
      <c r="AE76" s="1370"/>
      <c r="AF76" s="1370"/>
      <c r="AG76" s="1370"/>
      <c r="AH76" s="2890"/>
      <c r="AI76" s="2890"/>
      <c r="AJ76" s="2890"/>
      <c r="AK76" s="2890"/>
    </row>
    <row r="77" spans="1:37" ht="38.25">
      <c r="A77" s="2879" t="s">
        <v>2963</v>
      </c>
      <c r="B77" s="2882" t="str">
        <f>估价对象房地状况!C20</f>
        <v>区域自然环境：；人文环境；综合评价环境状况一般</v>
      </c>
      <c r="C77" s="2771"/>
      <c r="D77" s="1285">
        <f t="shared" si="20"/>
        <v>0</v>
      </c>
      <c r="E77" s="823"/>
      <c r="F77" s="2502"/>
      <c r="G77" s="1283"/>
      <c r="H77" s="1287" t="str">
        <f t="shared" si="21"/>
        <v>——</v>
      </c>
      <c r="I77" s="817">
        <v>0.15</v>
      </c>
      <c r="J77" s="1284">
        <f t="shared" si="22"/>
        <v>0</v>
      </c>
      <c r="K77" s="1284">
        <f t="shared" si="23"/>
        <v>0</v>
      </c>
      <c r="L77" s="1284">
        <v>0</v>
      </c>
      <c r="M77" s="1284">
        <f t="shared" si="24"/>
        <v>0</v>
      </c>
      <c r="N77" s="1284">
        <f t="shared" si="24"/>
        <v>0</v>
      </c>
      <c r="Z77" s="2721"/>
      <c r="AA77" s="2797"/>
      <c r="AG77" s="1371"/>
      <c r="AK77" s="2797"/>
    </row>
    <row r="78" spans="1:37" ht="24.75" thickBot="1">
      <c r="A78" s="2887" t="s">
        <v>2970</v>
      </c>
      <c r="B78" s="2891"/>
      <c r="C78" s="2771"/>
      <c r="D78" s="1285">
        <f t="shared" si="20"/>
        <v>0</v>
      </c>
      <c r="E78" s="824"/>
      <c r="F78" s="2502"/>
      <c r="G78" s="1283"/>
      <c r="H78" s="1287" t="str">
        <f t="shared" si="21"/>
        <v>——</v>
      </c>
      <c r="I78" s="821">
        <v>0.04</v>
      </c>
      <c r="J78" s="1284">
        <f t="shared" si="22"/>
        <v>0</v>
      </c>
      <c r="K78" s="1284">
        <f t="shared" si="23"/>
        <v>0</v>
      </c>
      <c r="L78" s="1284">
        <v>0</v>
      </c>
      <c r="M78" s="1284">
        <f t="shared" si="24"/>
        <v>0</v>
      </c>
      <c r="N78" s="1284">
        <f t="shared" si="24"/>
        <v>0</v>
      </c>
      <c r="Z78" s="2721"/>
      <c r="AA78" s="2797"/>
      <c r="AG78" s="1371"/>
      <c r="AK78" s="2797"/>
    </row>
    <row r="79" spans="1:37" ht="15">
      <c r="A79" s="2875" t="s">
        <v>2971</v>
      </c>
      <c r="B79" s="2876">
        <f>1+E81</f>
        <v>1</v>
      </c>
      <c r="C79" s="811"/>
      <c r="D79" s="811"/>
      <c r="E79" s="812"/>
      <c r="F79" s="2878"/>
      <c r="G79" s="6"/>
      <c r="H79" s="6"/>
      <c r="I79" s="6"/>
      <c r="J79" s="7"/>
      <c r="K79" s="7"/>
      <c r="L79" s="7"/>
      <c r="M79" s="7"/>
      <c r="N79" s="7"/>
      <c r="Z79" s="2721"/>
      <c r="AA79" s="2797"/>
      <c r="AG79" s="1371"/>
      <c r="AK79" s="2797"/>
    </row>
    <row r="80" spans="1:37" ht="24.75">
      <c r="A80" s="2879" t="s">
        <v>2945</v>
      </c>
      <c r="B80" s="1809"/>
      <c r="C80" s="1809" t="s">
        <v>2947</v>
      </c>
      <c r="D80" s="1809" t="s">
        <v>2948</v>
      </c>
      <c r="E80" s="816" t="s">
        <v>2949</v>
      </c>
      <c r="F80" s="2880" t="s">
        <v>2965</v>
      </c>
      <c r="G80" s="1809" t="s">
        <v>754</v>
      </c>
      <c r="H80" s="2881" t="s">
        <v>2951</v>
      </c>
      <c r="I80" s="1809" t="s">
        <v>2952</v>
      </c>
      <c r="J80" s="603" t="s">
        <v>2601</v>
      </c>
      <c r="K80" s="603" t="s">
        <v>2602</v>
      </c>
      <c r="L80" s="603" t="s">
        <v>2603</v>
      </c>
      <c r="M80" s="603" t="s">
        <v>2604</v>
      </c>
      <c r="N80" s="603" t="s">
        <v>2605</v>
      </c>
      <c r="Z80" s="2721"/>
      <c r="AA80" s="2797"/>
      <c r="AG80" s="1371"/>
      <c r="AK80" s="2797"/>
    </row>
    <row r="81" spans="1:37" ht="38.25">
      <c r="A81" s="2879" t="s">
        <v>2972</v>
      </c>
      <c r="B81" s="2883" t="str">
        <f>估价对象房地状况!G15</f>
        <v>估价对象位于XX开发区，园区建设成熟度XX，产业集聚程度XX</v>
      </c>
      <c r="C81" s="2771"/>
      <c r="D81" s="1285">
        <f t="shared" ref="D81:D88" si="25">SUMIF($J$80:$N$80,C81,J81:N81)</f>
        <v>0</v>
      </c>
      <c r="E81" s="818">
        <f>ROUND(SUM(D81:D88),4)</f>
        <v>0</v>
      </c>
      <c r="F81" s="2502"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21"/>
      <c r="AA81" s="2797"/>
      <c r="AG81" s="1371"/>
      <c r="AK81" s="2797"/>
    </row>
    <row r="82" spans="1:37" ht="51">
      <c r="A82" s="2879" t="s">
        <v>2954</v>
      </c>
      <c r="B82" s="2883" t="str">
        <f>估价对象房地状况!G16</f>
        <v>估价对象周边道路状况、公共交通通达情况、停车便捷程度，综合评价交通便捷度较好</v>
      </c>
      <c r="C82" s="2771"/>
      <c r="D82" s="1285">
        <f t="shared" si="25"/>
        <v>0</v>
      </c>
      <c r="E82" s="823"/>
      <c r="F82" s="2502"/>
      <c r="G82" s="1283"/>
      <c r="H82" s="1287" t="str">
        <f t="shared" si="26"/>
        <v>——</v>
      </c>
      <c r="I82" s="817">
        <v>0.33</v>
      </c>
      <c r="J82" s="1284">
        <f t="shared" si="27"/>
        <v>0</v>
      </c>
      <c r="K82" s="1284">
        <f t="shared" si="28"/>
        <v>0</v>
      </c>
      <c r="L82" s="1284">
        <v>0</v>
      </c>
      <c r="M82" s="1284">
        <f t="shared" si="29"/>
        <v>0</v>
      </c>
      <c r="N82" s="1284">
        <f t="shared" si="29"/>
        <v>0</v>
      </c>
      <c r="Z82" s="2721"/>
      <c r="AA82" s="2797"/>
      <c r="AG82" s="1371"/>
      <c r="AK82" s="2797"/>
    </row>
    <row r="83" spans="1:37" ht="24">
      <c r="A83" s="2879" t="s">
        <v>2955</v>
      </c>
      <c r="B83" s="2883">
        <f>估价对象房地状况!G17</f>
        <v>0</v>
      </c>
      <c r="C83" s="2771"/>
      <c r="D83" s="1285">
        <f t="shared" si="25"/>
        <v>0</v>
      </c>
      <c r="E83" s="823"/>
      <c r="F83" s="2502"/>
      <c r="G83" s="1283"/>
      <c r="H83" s="1287" t="str">
        <f t="shared" si="26"/>
        <v>——</v>
      </c>
      <c r="I83" s="817">
        <v>0.05</v>
      </c>
      <c r="J83" s="1284">
        <f t="shared" si="27"/>
        <v>0</v>
      </c>
      <c r="K83" s="1284">
        <f t="shared" si="28"/>
        <v>0</v>
      </c>
      <c r="L83" s="1284">
        <v>0</v>
      </c>
      <c r="M83" s="1284">
        <f t="shared" si="29"/>
        <v>0</v>
      </c>
      <c r="N83" s="1284">
        <f t="shared" si="29"/>
        <v>0</v>
      </c>
      <c r="Z83" s="2721"/>
      <c r="AA83" s="2797"/>
      <c r="AG83" s="1371"/>
      <c r="AK83" s="2797"/>
    </row>
    <row r="84" spans="1:37" ht="14.25">
      <c r="A84" s="2879" t="s">
        <v>2969</v>
      </c>
      <c r="B84" s="2883">
        <f>估价对象房地状况!G22</f>
        <v>0</v>
      </c>
      <c r="C84" s="2771"/>
      <c r="D84" s="1285">
        <f t="shared" si="25"/>
        <v>0</v>
      </c>
      <c r="E84" s="823"/>
      <c r="F84" s="2502"/>
      <c r="G84" s="1283"/>
      <c r="H84" s="1287" t="str">
        <f t="shared" si="26"/>
        <v>——</v>
      </c>
      <c r="I84" s="817">
        <v>0.04</v>
      </c>
      <c r="J84" s="1284">
        <f t="shared" si="27"/>
        <v>0</v>
      </c>
      <c r="K84" s="1284">
        <f t="shared" si="28"/>
        <v>0</v>
      </c>
      <c r="L84" s="1284">
        <v>0</v>
      </c>
      <c r="M84" s="1284">
        <f t="shared" si="29"/>
        <v>0</v>
      </c>
      <c r="N84" s="1284">
        <f t="shared" si="29"/>
        <v>0</v>
      </c>
      <c r="Z84" s="2721"/>
      <c r="AA84" s="2797"/>
      <c r="AG84" s="1371"/>
      <c r="AK84" s="2797"/>
    </row>
    <row r="85" spans="1:37" ht="25.5">
      <c r="A85" s="2879" t="s">
        <v>2961</v>
      </c>
      <c r="B85" s="1725" t="str">
        <f>估价对象房地状况!G19</f>
        <v>估价对象所在区域公共配套设施齐备情况</v>
      </c>
      <c r="C85" s="2771"/>
      <c r="D85" s="1285">
        <f t="shared" si="25"/>
        <v>0</v>
      </c>
      <c r="E85" s="823"/>
      <c r="F85" s="2502"/>
      <c r="G85" s="1283"/>
      <c r="H85" s="1287" t="str">
        <f t="shared" si="26"/>
        <v>——</v>
      </c>
      <c r="I85" s="817">
        <v>0.06</v>
      </c>
      <c r="J85" s="1284">
        <f t="shared" si="27"/>
        <v>0</v>
      </c>
      <c r="K85" s="1284">
        <f t="shared" si="28"/>
        <v>0</v>
      </c>
      <c r="L85" s="1284">
        <v>0</v>
      </c>
      <c r="M85" s="1284">
        <f t="shared" si="29"/>
        <v>0</v>
      </c>
      <c r="N85" s="1284">
        <f t="shared" si="29"/>
        <v>0</v>
      </c>
      <c r="Z85" s="2721"/>
      <c r="AA85" s="2797"/>
      <c r="AG85" s="1371"/>
      <c r="AK85" s="2797"/>
    </row>
    <row r="86" spans="1:37" ht="25.5">
      <c r="A86" s="2879" t="s">
        <v>2962</v>
      </c>
      <c r="B86" s="1725" t="str">
        <f>估价对象房地状况!G20</f>
        <v>估价对象所在区域基础设施水平</v>
      </c>
      <c r="C86" s="2771"/>
      <c r="D86" s="1285">
        <f t="shared" si="25"/>
        <v>0</v>
      </c>
      <c r="E86" s="823"/>
      <c r="F86" s="2502"/>
      <c r="G86" s="1283"/>
      <c r="H86" s="1287" t="str">
        <f t="shared" si="26"/>
        <v>——</v>
      </c>
      <c r="I86" s="817">
        <v>0.15</v>
      </c>
      <c r="J86" s="1284">
        <f t="shared" si="27"/>
        <v>0</v>
      </c>
      <c r="K86" s="1284">
        <f t="shared" si="28"/>
        <v>0</v>
      </c>
      <c r="L86" s="1284">
        <v>0</v>
      </c>
      <c r="M86" s="1284">
        <f t="shared" si="29"/>
        <v>0</v>
      </c>
      <c r="N86" s="1284">
        <f t="shared" si="29"/>
        <v>0</v>
      </c>
      <c r="Z86" s="2721"/>
      <c r="AA86" s="2797"/>
      <c r="AG86" s="1371"/>
      <c r="AK86" s="2797"/>
    </row>
    <row r="87" spans="1:37" ht="24">
      <c r="A87" s="2879" t="s">
        <v>2959</v>
      </c>
      <c r="B87" s="2885" t="s">
        <v>2973</v>
      </c>
      <c r="C87" s="2771"/>
      <c r="D87" s="1285">
        <f t="shared" si="25"/>
        <v>0</v>
      </c>
      <c r="E87" s="823"/>
      <c r="F87" s="2502"/>
      <c r="G87" s="1283"/>
      <c r="H87" s="1287" t="str">
        <f t="shared" si="26"/>
        <v>——</v>
      </c>
      <c r="I87" s="817">
        <v>0.05</v>
      </c>
      <c r="J87" s="1284">
        <f t="shared" si="27"/>
        <v>0</v>
      </c>
      <c r="K87" s="1284">
        <f t="shared" si="28"/>
        <v>0</v>
      </c>
      <c r="L87" s="1284">
        <v>0</v>
      </c>
      <c r="M87" s="1284">
        <f t="shared" si="29"/>
        <v>0</v>
      </c>
      <c r="N87" s="1284">
        <f t="shared" si="29"/>
        <v>0</v>
      </c>
      <c r="Z87" s="2721"/>
      <c r="AA87" s="2797"/>
      <c r="AG87" s="1371"/>
      <c r="AK87" s="2797"/>
    </row>
    <row r="88" spans="1:37" ht="39" thickBot="1">
      <c r="A88" s="2887" t="s">
        <v>2974</v>
      </c>
      <c r="B88" s="2892" t="str">
        <f>估价对象房地状况!G18</f>
        <v>该园区内是否有污染型企业，绿化情况，卫生条件，整体环境状况判断</v>
      </c>
      <c r="C88" s="2771"/>
      <c r="D88" s="1285">
        <f t="shared" si="25"/>
        <v>0</v>
      </c>
      <c r="E88" s="824"/>
      <c r="F88" s="2502"/>
      <c r="G88" s="1283"/>
      <c r="H88" s="1287" t="str">
        <f t="shared" si="26"/>
        <v>——</v>
      </c>
      <c r="I88" s="821">
        <v>0.06</v>
      </c>
      <c r="J88" s="1284">
        <f t="shared" si="27"/>
        <v>0</v>
      </c>
      <c r="K88" s="1284">
        <f t="shared" si="28"/>
        <v>0</v>
      </c>
      <c r="L88" s="1284">
        <v>0</v>
      </c>
      <c r="M88" s="1284">
        <f t="shared" si="29"/>
        <v>0</v>
      </c>
      <c r="N88" s="1284">
        <f t="shared" si="29"/>
        <v>0</v>
      </c>
      <c r="Z88" s="2721"/>
      <c r="AA88" s="2797"/>
      <c r="AG88" s="1371"/>
      <c r="AK88" s="2797"/>
    </row>
    <row r="90" spans="1:37">
      <c r="A90" s="3139" t="s">
        <v>2975</v>
      </c>
      <c r="B90" s="3139"/>
      <c r="C90" s="3139"/>
      <c r="D90" s="3139"/>
      <c r="E90" s="3139"/>
      <c r="F90" s="3139"/>
      <c r="G90" s="3139"/>
      <c r="H90" s="3139"/>
      <c r="I90" s="3139"/>
      <c r="J90" s="3139"/>
      <c r="K90" s="2893"/>
      <c r="L90" s="2893"/>
      <c r="M90" s="2893"/>
      <c r="N90" s="2893"/>
    </row>
    <row r="91" spans="1:37">
      <c r="A91" s="3141" t="s">
        <v>2976</v>
      </c>
      <c r="B91" s="3141" t="s">
        <v>2977</v>
      </c>
      <c r="C91" s="2847" t="s">
        <v>2978</v>
      </c>
      <c r="D91" s="2848"/>
      <c r="E91" s="2848"/>
      <c r="F91" s="2848"/>
      <c r="G91" s="2848"/>
      <c r="H91" s="2848"/>
      <c r="I91" s="2848"/>
      <c r="J91" s="2894"/>
      <c r="K91" s="2895"/>
      <c r="L91" s="2895"/>
      <c r="M91" s="2895"/>
      <c r="N91" s="2895"/>
    </row>
    <row r="92" spans="1:37">
      <c r="A92" s="3141"/>
      <c r="B92" s="3141"/>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142"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4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4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4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4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4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43"/>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14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42" t="s">
        <v>2980</v>
      </c>
      <c r="B101" s="2900" t="s">
        <v>2981</v>
      </c>
      <c r="C101" s="2901">
        <f>$G$3</f>
        <v>2.38</v>
      </c>
      <c r="D101" s="2901">
        <f t="shared" ref="D101:N101" si="31">$G$3</f>
        <v>2.38</v>
      </c>
      <c r="E101" s="2901">
        <f t="shared" si="31"/>
        <v>2.38</v>
      </c>
      <c r="F101" s="2901">
        <f t="shared" si="31"/>
        <v>2.38</v>
      </c>
      <c r="G101" s="2901">
        <f t="shared" si="31"/>
        <v>2.38</v>
      </c>
      <c r="H101" s="2901">
        <f t="shared" si="31"/>
        <v>2.38</v>
      </c>
      <c r="I101" s="2901">
        <f t="shared" si="31"/>
        <v>2.38</v>
      </c>
      <c r="J101" s="2901">
        <f t="shared" si="31"/>
        <v>2.38</v>
      </c>
      <c r="K101" s="2901">
        <f t="shared" si="31"/>
        <v>2.38</v>
      </c>
      <c r="L101" s="2901">
        <f t="shared" si="31"/>
        <v>2.38</v>
      </c>
      <c r="M101" s="2901">
        <f t="shared" si="31"/>
        <v>2.38</v>
      </c>
      <c r="N101" s="2901">
        <f t="shared" si="31"/>
        <v>2.38</v>
      </c>
    </row>
    <row r="102" spans="1:14">
      <c r="A102" s="3143"/>
      <c r="B102" s="2896">
        <v>1</v>
      </c>
      <c r="C102" s="2897">
        <f>1.9362/C101</f>
        <v>0.81352941176470583</v>
      </c>
      <c r="D102" s="2897">
        <f>1.9362/D101</f>
        <v>0.81352941176470583</v>
      </c>
      <c r="E102" s="2897">
        <f>1.8629/E101</f>
        <v>0.78273109243697481</v>
      </c>
      <c r="F102" s="2897">
        <f>1.8629/F101</f>
        <v>0.78273109243697481</v>
      </c>
      <c r="G102" s="2897">
        <f>1.8629/G101</f>
        <v>0.78273109243697481</v>
      </c>
      <c r="H102" s="2897">
        <f>1.8629/H101</f>
        <v>0.78273109243697481</v>
      </c>
      <c r="I102" s="2897">
        <f>1.8629/I101</f>
        <v>0.78273109243697481</v>
      </c>
      <c r="J102" s="2897">
        <f>1.942/J101</f>
        <v>0.81596638655462184</v>
      </c>
      <c r="K102" s="2897">
        <f>1.942/K101</f>
        <v>0.81596638655462184</v>
      </c>
      <c r="L102" s="2897">
        <f>1.942/L101</f>
        <v>0.81596638655462184</v>
      </c>
      <c r="M102" s="2897">
        <f>1.942/M101</f>
        <v>0.81596638655462184</v>
      </c>
      <c r="N102" s="2897">
        <f>1.942/N101</f>
        <v>0.81596638655462184</v>
      </c>
    </row>
    <row r="103" spans="1:14">
      <c r="A103" s="3143"/>
      <c r="B103" s="2896">
        <v>2</v>
      </c>
      <c r="C103" s="2897">
        <f>1.4198/C101</f>
        <v>0.59655462184873953</v>
      </c>
      <c r="D103" s="2897">
        <f>1.4198/D101</f>
        <v>0.59655462184873953</v>
      </c>
      <c r="E103" s="2897">
        <f>1.3372/E101</f>
        <v>0.56184873949579828</v>
      </c>
      <c r="F103" s="2897">
        <f>1.3372/F101</f>
        <v>0.56184873949579828</v>
      </c>
      <c r="G103" s="2897">
        <f>1.3372/G101</f>
        <v>0.56184873949579828</v>
      </c>
      <c r="H103" s="2897">
        <f>1.3372/H101</f>
        <v>0.56184873949579828</v>
      </c>
      <c r="I103" s="2897">
        <f>1.3372/I101</f>
        <v>0.56184873949579828</v>
      </c>
      <c r="J103" s="2897">
        <f>1.2799/J101</f>
        <v>0.53777310924369748</v>
      </c>
      <c r="K103" s="2897">
        <f>1.2799/K101</f>
        <v>0.53777310924369748</v>
      </c>
      <c r="L103" s="2897">
        <f>1.2799/L101</f>
        <v>0.53777310924369748</v>
      </c>
      <c r="M103" s="2897">
        <f>1.2799/M101</f>
        <v>0.53777310924369748</v>
      </c>
      <c r="N103" s="2897">
        <f>1.2799/N101</f>
        <v>0.53777310924369748</v>
      </c>
    </row>
    <row r="104" spans="1:14">
      <c r="A104" s="3143"/>
      <c r="B104" s="2896">
        <v>3</v>
      </c>
      <c r="C104" s="2897">
        <f>1.1594/C101</f>
        <v>0.48714285714285716</v>
      </c>
      <c r="D104" s="2897">
        <f>1.1594/D101</f>
        <v>0.48714285714285716</v>
      </c>
      <c r="E104" s="2897">
        <f>1.0788/E101</f>
        <v>0.45327731092436974</v>
      </c>
      <c r="F104" s="2897">
        <f>1.0788/F101</f>
        <v>0.45327731092436974</v>
      </c>
      <c r="G104" s="2897">
        <f>1.0788/G101</f>
        <v>0.45327731092436974</v>
      </c>
      <c r="H104" s="2897">
        <f>1.0788/H101</f>
        <v>0.45327731092436974</v>
      </c>
      <c r="I104" s="2897">
        <f>1.0788/I101</f>
        <v>0.45327731092436974</v>
      </c>
      <c r="J104" s="2897">
        <f>1.0072/J101</f>
        <v>0.42319327731092443</v>
      </c>
      <c r="K104" s="2897">
        <f>1.0072/K101</f>
        <v>0.42319327731092443</v>
      </c>
      <c r="L104" s="2897">
        <f>1.0072/L101</f>
        <v>0.42319327731092443</v>
      </c>
      <c r="M104" s="2897">
        <f>1.0072/M101</f>
        <v>0.42319327731092443</v>
      </c>
      <c r="N104" s="2897">
        <f>1.0072/N101</f>
        <v>0.42319327731092443</v>
      </c>
    </row>
    <row r="105" spans="1:14">
      <c r="A105" s="3143"/>
      <c r="B105" s="2896">
        <v>4</v>
      </c>
      <c r="C105" s="2897">
        <f>0.9622/C101</f>
        <v>0.4042857142857143</v>
      </c>
      <c r="D105" s="2897">
        <f>0.9622/D101</f>
        <v>0.4042857142857143</v>
      </c>
      <c r="E105" s="2897">
        <f>0.8656/E101</f>
        <v>0.36369747899159666</v>
      </c>
      <c r="F105" s="2897">
        <f>0.8656/F101</f>
        <v>0.36369747899159666</v>
      </c>
      <c r="G105" s="2897">
        <f>0.8656/G101</f>
        <v>0.36369747899159666</v>
      </c>
      <c r="H105" s="2897">
        <f>0.8656/H101</f>
        <v>0.36369747899159666</v>
      </c>
      <c r="I105" s="2897">
        <f>0.8656/I101</f>
        <v>0.36369747899159666</v>
      </c>
      <c r="J105" s="2897">
        <f>0.7525/J101</f>
        <v>0.31617647058823528</v>
      </c>
      <c r="K105" s="2897">
        <f>0.7525/K101</f>
        <v>0.31617647058823528</v>
      </c>
      <c r="L105" s="2897">
        <f>0.7525/L101</f>
        <v>0.31617647058823528</v>
      </c>
      <c r="M105" s="2897">
        <f>0.7525/M101</f>
        <v>0.31617647058823528</v>
      </c>
      <c r="N105" s="2897">
        <f>0.7525/N101</f>
        <v>0.31617647058823528</v>
      </c>
    </row>
    <row r="106" spans="1:14">
      <c r="A106" s="3143"/>
      <c r="B106" s="2896">
        <v>5</v>
      </c>
      <c r="C106" s="2897">
        <f>0.8417/C101</f>
        <v>0.35365546218487398</v>
      </c>
      <c r="D106" s="2897">
        <f>0.8417/D101</f>
        <v>0.35365546218487398</v>
      </c>
      <c r="E106" s="2897">
        <f>0.7371/E101</f>
        <v>0.30970588235294116</v>
      </c>
      <c r="F106" s="2897">
        <f>0.7371/F101</f>
        <v>0.30970588235294116</v>
      </c>
      <c r="G106" s="2897">
        <f>0.7371/G101</f>
        <v>0.30970588235294116</v>
      </c>
      <c r="H106" s="2897">
        <f>0.7371/H101</f>
        <v>0.30970588235294116</v>
      </c>
      <c r="I106" s="2897">
        <f>0.7371/I101</f>
        <v>0.30970588235294116</v>
      </c>
      <c r="J106" s="2897">
        <f>0.5659/J101</f>
        <v>0.23777310924369746</v>
      </c>
      <c r="K106" s="2897">
        <f>0.5659/K101</f>
        <v>0.23777310924369746</v>
      </c>
      <c r="L106" s="2897">
        <f>0.5659/L101</f>
        <v>0.23777310924369746</v>
      </c>
      <c r="M106" s="2897">
        <f>0.5659/M101</f>
        <v>0.23777310924369746</v>
      </c>
      <c r="N106" s="2897">
        <f>0.5659/N101</f>
        <v>0.23777310924369746</v>
      </c>
    </row>
    <row r="107" spans="1:14">
      <c r="A107" s="3143"/>
      <c r="B107" s="2896">
        <v>6</v>
      </c>
      <c r="C107" s="2897">
        <f>0.7608/C101</f>
        <v>0.31966386554621851</v>
      </c>
      <c r="D107" s="2897">
        <f>0.7608/D101</f>
        <v>0.31966386554621851</v>
      </c>
      <c r="E107" s="2897">
        <f>0.6482/E101</f>
        <v>0.27235294117647058</v>
      </c>
      <c r="F107" s="2897">
        <f>0.6482/F101</f>
        <v>0.27235294117647058</v>
      </c>
      <c r="G107" s="2897">
        <f>0.6482/G101</f>
        <v>0.27235294117647058</v>
      </c>
      <c r="H107" s="2897">
        <f>0.6482/H101</f>
        <v>0.27235294117647058</v>
      </c>
      <c r="I107" s="2897">
        <f>0.6482/I101</f>
        <v>0.27235294117647058</v>
      </c>
      <c r="J107" s="2897">
        <f>0.4525/J101</f>
        <v>0.19012605042016809</v>
      </c>
      <c r="K107" s="2897">
        <f>0.4525/K101</f>
        <v>0.19012605042016809</v>
      </c>
      <c r="L107" s="2897">
        <f>0.4525/L101</f>
        <v>0.19012605042016809</v>
      </c>
      <c r="M107" s="2897">
        <f>0.4525/M101</f>
        <v>0.19012605042016809</v>
      </c>
      <c r="N107" s="2897">
        <f>0.4525/N101</f>
        <v>0.19012605042016809</v>
      </c>
    </row>
    <row r="108" spans="1:14">
      <c r="A108" s="3143"/>
      <c r="B108" s="3068"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144"/>
      <c r="B109" s="3069"/>
      <c r="C109" s="2899">
        <f>(-0.163*(C108^2)-0.59*C108+7617)*(10^(-4))/C101</f>
        <v>0.32004201680672273</v>
      </c>
      <c r="D109" s="2899">
        <f>(-0.163*(D108^2)-0.59*D108+7617)*(10^(-4))/D101</f>
        <v>0.32004201680672273</v>
      </c>
      <c r="E109" s="2899">
        <f>(-0.161*(E108^2)-7.509*E108+6533)*(10^(-4))/E101</f>
        <v>0.27449579831932774</v>
      </c>
      <c r="F109" s="2899">
        <f>(-0.161*(F108^2)-7.509*F108+6533)*(10^(-4))/F101</f>
        <v>0.27449579831932774</v>
      </c>
      <c r="G109" s="2899">
        <f>(-0.161*(G108^2)-7.509*G108+6533)*(10^(-4))/G101</f>
        <v>0.27449579831932774</v>
      </c>
      <c r="H109" s="2899">
        <f>(-0.161*(H108^2)-7.509*H108+6533)*(10^(-4))/H101</f>
        <v>0.27449579831932774</v>
      </c>
      <c r="I109" s="2899">
        <f>(-0.161*(I108^2)-7.509*I108+6533)*(10^(-4))/I101</f>
        <v>0.27449579831932774</v>
      </c>
      <c r="J109" s="2899">
        <f>(-0.214*(J108^2)-21.991*J108+4665)*(10^(-4))/J101</f>
        <v>0.19600840336134456</v>
      </c>
      <c r="K109" s="2899">
        <f>(-0.214*(K108^2)-21.991*K108+4665)*(10^(-4))/K101</f>
        <v>0.19600840336134456</v>
      </c>
      <c r="L109" s="2899">
        <f>(-0.214*(L108^2)-21.991*L108+4665)*(10^(-4))/L101</f>
        <v>0.19600840336134456</v>
      </c>
      <c r="M109" s="2899">
        <f>(-0.214*(M108^2)-21.991*M108+4665)*(10^(-4))/M101</f>
        <v>0.19600840336134456</v>
      </c>
      <c r="N109" s="2899">
        <f>(-0.214*(N108^2)-21.991*N108+4665)*(10^(-4))/N101</f>
        <v>0.19600840336134456</v>
      </c>
    </row>
    <row r="110" spans="1:14">
      <c r="A110" s="3140" t="s">
        <v>2983</v>
      </c>
      <c r="B110" s="3140"/>
      <c r="C110" s="3140"/>
      <c r="D110" s="3140"/>
      <c r="E110" s="3140"/>
      <c r="F110" s="3140"/>
      <c r="G110" s="3140"/>
      <c r="H110" s="3140"/>
      <c r="I110" s="3140"/>
      <c r="J110" s="3140"/>
      <c r="K110" s="2902"/>
      <c r="L110" s="2902"/>
      <c r="M110" s="2902"/>
      <c r="N110" s="2902"/>
    </row>
    <row r="112" spans="1:14" ht="13.5" thickBot="1"/>
    <row r="113" spans="1:13" ht="25.5" thickBot="1">
      <c r="A113" s="900" t="s">
        <v>2984</v>
      </c>
      <c r="B113" s="1286">
        <f>G3</f>
        <v>2.38</v>
      </c>
      <c r="C113" s="901" t="s">
        <v>2985</v>
      </c>
      <c r="D113" s="902">
        <f>SUMPRODUCT((A115:A118=F113)*(B114:M114=H113)*B115:M118)</f>
        <v>0.80720000000000003</v>
      </c>
      <c r="E113" s="2725" t="s">
        <v>2818</v>
      </c>
      <c r="F113" s="2904" t="str">
        <f>E2</f>
        <v>商业</v>
      </c>
      <c r="G113" s="2725" t="s">
        <v>2819</v>
      </c>
      <c r="H113" s="2904" t="str">
        <f>G2</f>
        <v>五级</v>
      </c>
      <c r="I113" s="2725"/>
      <c r="J113" s="2905"/>
      <c r="K113" s="2905"/>
      <c r="L113" s="2905"/>
      <c r="M113" s="2905"/>
    </row>
    <row r="114" spans="1:13">
      <c r="A114" s="905"/>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6" t="s">
        <v>2882</v>
      </c>
      <c r="B115" s="907">
        <f>ROUND(0.9335-0.0094*B113,4)</f>
        <v>0.91110000000000002</v>
      </c>
      <c r="C115" s="907">
        <f>B115</f>
        <v>0.91110000000000002</v>
      </c>
      <c r="D115" s="907">
        <f>ROUND(0.8331-0.0109*B113,4)</f>
        <v>0.80720000000000003</v>
      </c>
      <c r="E115" s="907">
        <f>D115</f>
        <v>0.80720000000000003</v>
      </c>
      <c r="F115" s="907">
        <f>E115</f>
        <v>0.80720000000000003</v>
      </c>
      <c r="G115" s="907">
        <f>F115</f>
        <v>0.80720000000000003</v>
      </c>
      <c r="H115" s="907">
        <f>G115</f>
        <v>0.80720000000000003</v>
      </c>
      <c r="I115" s="907">
        <f>ROUND(0.689-0.0155*B113,4)</f>
        <v>0.65210000000000001</v>
      </c>
      <c r="J115" s="907">
        <f t="shared" ref="J115:M118" si="33">I115</f>
        <v>0.65210000000000001</v>
      </c>
      <c r="K115" s="907">
        <f t="shared" si="33"/>
        <v>0.65210000000000001</v>
      </c>
      <c r="L115" s="907">
        <f t="shared" si="33"/>
        <v>0.65210000000000001</v>
      </c>
      <c r="M115" s="908">
        <f t="shared" si="33"/>
        <v>0.65210000000000001</v>
      </c>
    </row>
    <row r="116" spans="1:13">
      <c r="A116" s="906" t="s">
        <v>2883</v>
      </c>
      <c r="B116" s="907">
        <f>ROUND(0.949-0.012*B113,4)</f>
        <v>0.9204</v>
      </c>
      <c r="C116" s="907">
        <f>B116</f>
        <v>0.9204</v>
      </c>
      <c r="D116" s="907">
        <f>ROUND(0.8567-0.013*B113,4)</f>
        <v>0.82579999999999998</v>
      </c>
      <c r="E116" s="907">
        <f t="shared" ref="E116:H117" si="34">D116</f>
        <v>0.82579999999999998</v>
      </c>
      <c r="F116" s="907">
        <f t="shared" si="34"/>
        <v>0.82579999999999998</v>
      </c>
      <c r="G116" s="907">
        <f t="shared" si="34"/>
        <v>0.82579999999999998</v>
      </c>
      <c r="H116" s="907">
        <f t="shared" si="34"/>
        <v>0.82579999999999998</v>
      </c>
      <c r="I116" s="907">
        <f>ROUND(0.7694-0.014*B113,4)</f>
        <v>0.73609999999999998</v>
      </c>
      <c r="J116" s="907">
        <f t="shared" si="33"/>
        <v>0.73609999999999998</v>
      </c>
      <c r="K116" s="907">
        <f t="shared" si="33"/>
        <v>0.73609999999999998</v>
      </c>
      <c r="L116" s="907">
        <f t="shared" si="33"/>
        <v>0.73609999999999998</v>
      </c>
      <c r="M116" s="908">
        <f t="shared" si="33"/>
        <v>0.73609999999999998</v>
      </c>
    </row>
    <row r="117" spans="1:13">
      <c r="A117" s="906" t="s">
        <v>2884</v>
      </c>
      <c r="B117" s="907">
        <f>ROUND(0.8808-0.006*B113,4)</f>
        <v>0.86650000000000005</v>
      </c>
      <c r="C117" s="907">
        <f>B117</f>
        <v>0.86650000000000005</v>
      </c>
      <c r="D117" s="907">
        <f>ROUND(0.8748-0.008*B113,4)</f>
        <v>0.85580000000000001</v>
      </c>
      <c r="E117" s="907">
        <f t="shared" si="34"/>
        <v>0.85580000000000001</v>
      </c>
      <c r="F117" s="907">
        <f t="shared" si="34"/>
        <v>0.85580000000000001</v>
      </c>
      <c r="G117" s="907">
        <f t="shared" si="34"/>
        <v>0.85580000000000001</v>
      </c>
      <c r="H117" s="907">
        <f t="shared" si="34"/>
        <v>0.85580000000000001</v>
      </c>
      <c r="I117" s="907">
        <f>ROUND(0.7412-0.0095*B113,4)</f>
        <v>0.71860000000000002</v>
      </c>
      <c r="J117" s="907">
        <f t="shared" si="33"/>
        <v>0.71860000000000002</v>
      </c>
      <c r="K117" s="907">
        <f t="shared" si="33"/>
        <v>0.71860000000000002</v>
      </c>
      <c r="L117" s="907">
        <f t="shared" si="33"/>
        <v>0.71860000000000002</v>
      </c>
      <c r="M117" s="908">
        <f t="shared" si="33"/>
        <v>0.71860000000000002</v>
      </c>
    </row>
    <row r="118" spans="1:13" ht="13.5" thickBot="1">
      <c r="A118" s="714" t="s">
        <v>2885</v>
      </c>
      <c r="B118" s="909">
        <f>ROUND(0.7275-0.01*B113,4)</f>
        <v>0.70369999999999999</v>
      </c>
      <c r="C118" s="909">
        <f>B118</f>
        <v>0.70369999999999999</v>
      </c>
      <c r="D118" s="909">
        <f>ROUND(0.7043-0.012*B113,4)</f>
        <v>0.67569999999999997</v>
      </c>
      <c r="E118" s="909">
        <f>D118</f>
        <v>0.67569999999999997</v>
      </c>
      <c r="F118" s="909">
        <f>E118</f>
        <v>0.67569999999999997</v>
      </c>
      <c r="G118" s="909">
        <f>ROUND(0.6299-0.0122*B113,4)</f>
        <v>0.60089999999999999</v>
      </c>
      <c r="H118" s="909">
        <f>G118</f>
        <v>0.60089999999999999</v>
      </c>
      <c r="I118" s="909">
        <f>ROUND(0.5667-0.0136*B113,4)</f>
        <v>0.5343</v>
      </c>
      <c r="J118" s="909">
        <f t="shared" si="33"/>
        <v>0.5343</v>
      </c>
      <c r="K118" s="909">
        <f t="shared" si="33"/>
        <v>0.5343</v>
      </c>
      <c r="L118" s="909">
        <f t="shared" si="33"/>
        <v>0.5343</v>
      </c>
      <c r="M118" s="910">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E24" sqref="E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3085</v>
      </c>
      <c r="D1" s="1820" t="s">
        <v>70</v>
      </c>
      <c r="E1" s="1821" t="s">
        <v>1388</v>
      </c>
      <c r="F1" s="1282">
        <f ca="1">J53</f>
        <v>20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821</v>
      </c>
      <c r="C2" s="1845" t="s">
        <v>1517</v>
      </c>
      <c r="D2" s="1845"/>
      <c r="E2" s="1846"/>
      <c r="F2" s="1847"/>
      <c r="G2" s="1848"/>
      <c r="H2" s="1840"/>
      <c r="I2" s="1840"/>
      <c r="J2" s="1840"/>
      <c r="K2" s="1841"/>
      <c r="L2" s="1840"/>
      <c r="M2" s="1840"/>
    </row>
    <row r="3" spans="1:37" ht="18" customHeight="1" thickBot="1">
      <c r="A3" s="1849" t="s">
        <v>1518</v>
      </c>
      <c r="B3" s="1850">
        <f ca="1">IF(ISERROR(B2*10000/F43),0,ROUND(B2*10000/F43,0))</f>
        <v>14180</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64</v>
      </c>
      <c r="D5" s="1822" t="s">
        <v>1403</v>
      </c>
      <c r="E5" s="1292"/>
      <c r="F5" s="1293"/>
      <c r="G5" s="1851"/>
      <c r="H5" s="344">
        <v>1</v>
      </c>
      <c r="I5" s="345" t="s">
        <v>1402</v>
      </c>
      <c r="J5" s="1291">
        <f ca="1">J6+J10+J12</f>
        <v>76</v>
      </c>
      <c r="K5" s="1822" t="s">
        <v>1403</v>
      </c>
      <c r="L5" s="1292"/>
      <c r="M5" s="1293"/>
    </row>
    <row r="6" spans="1:37" ht="18" customHeight="1">
      <c r="A6" s="1290" t="s">
        <v>1035</v>
      </c>
      <c r="B6" s="3159" t="s">
        <v>1404</v>
      </c>
      <c r="C6" s="1295">
        <f ca="1">ROUND(F6*F8*F7*(1-F9)/10000,0)</f>
        <v>64</v>
      </c>
      <c r="D6" s="164" t="s">
        <v>3037</v>
      </c>
      <c r="E6" s="347" t="s">
        <v>1406</v>
      </c>
      <c r="F6" s="348">
        <f ca="1">INDIRECT("'数据-取费表'!u"&amp;$G$1)</f>
        <v>3.05</v>
      </c>
      <c r="G6" s="1851"/>
      <c r="H6" s="1290" t="s">
        <v>1035</v>
      </c>
      <c r="I6" s="3159" t="s">
        <v>1404</v>
      </c>
      <c r="J6" s="346">
        <f ca="1">ROUND(M6*M8*M7*(1-M9)/10000,0)</f>
        <v>76</v>
      </c>
      <c r="K6" s="164" t="s">
        <v>3036</v>
      </c>
      <c r="L6" s="347" t="s">
        <v>1406</v>
      </c>
      <c r="M6" s="348">
        <f ca="1">INDIRECT("'数据-取费表'!z"&amp;$G$1)</f>
        <v>3.77</v>
      </c>
    </row>
    <row r="7" spans="1:37" ht="18" customHeight="1">
      <c r="A7" s="1294"/>
      <c r="B7" s="3160"/>
      <c r="C7" s="1296"/>
      <c r="D7" s="352"/>
      <c r="E7" s="1297" t="s">
        <v>1407</v>
      </c>
      <c r="F7" s="348">
        <f ca="1">IF(INDIRECT("'数据-取费表'!ah"&amp;$G$1)="",INDIRECT("'数据-取费表'!k"&amp;$G$1),INDIRECT("'数据-取费表'!ah"&amp;$G$1))</f>
        <v>579</v>
      </c>
      <c r="G7" s="1851"/>
      <c r="H7" s="349"/>
      <c r="I7" s="3160"/>
      <c r="J7" s="351"/>
      <c r="K7" s="352"/>
      <c r="L7" s="347" t="s">
        <v>1407</v>
      </c>
      <c r="M7" s="348">
        <f ca="1">F7</f>
        <v>579</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3038</v>
      </c>
      <c r="E10" s="358" t="s">
        <v>1412</v>
      </c>
      <c r="F10" s="1365"/>
      <c r="G10" s="1851"/>
      <c r="H10" s="1290" t="s">
        <v>1039</v>
      </c>
      <c r="I10" s="1823" t="s">
        <v>1410</v>
      </c>
      <c r="J10" s="346">
        <f ca="1">ROUND(IF(M10="押一",M6*M8*M7/12*M11,IF(M10="押二",M6*M8*M7/12*2*M11,IF(M10="押三",M6*M8*M7/12*3*M11,J11*M11)))/10000,0)</f>
        <v>0</v>
      </c>
      <c r="K10" s="1824" t="s">
        <v>3039</v>
      </c>
      <c r="L10" s="358" t="s">
        <v>1412</v>
      </c>
      <c r="M10" s="1365" t="s">
        <v>3100</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212</v>
      </c>
      <c r="D13" s="1330" t="s">
        <v>1416</v>
      </c>
      <c r="E13" s="1330" t="s">
        <v>1417</v>
      </c>
      <c r="F13" s="1331">
        <f ca="1">INDIRECT("'数据-取费表'!y"&amp;$G$1)</f>
        <v>0.9</v>
      </c>
      <c r="G13" s="1851"/>
      <c r="H13" s="1328">
        <v>2</v>
      </c>
      <c r="I13" s="1329" t="s">
        <v>1415</v>
      </c>
      <c r="J13" s="1289">
        <f ca="1">ROUND(J14*J15,0)</f>
        <v>202</v>
      </c>
      <c r="K13" s="1336" t="s">
        <v>1416</v>
      </c>
      <c r="L13" s="1852"/>
      <c r="M13" s="1853"/>
    </row>
    <row r="14" spans="1:37" ht="18" customHeight="1">
      <c r="A14" s="1200" t="s">
        <v>1034</v>
      </c>
      <c r="B14" s="347" t="s">
        <v>1418</v>
      </c>
      <c r="C14" s="363">
        <f ca="1">INDIRECT("'数据-取费表'!m"&amp;$G$1)+INDIRECT("'数据-取费表'!t"&amp;$G$1)</f>
        <v>145</v>
      </c>
      <c r="D14" s="1800" t="s">
        <v>1419</v>
      </c>
      <c r="E14" s="1794"/>
      <c r="F14" s="364"/>
      <c r="G14" s="1851"/>
      <c r="H14" s="1200" t="s">
        <v>1035</v>
      </c>
      <c r="I14" s="347" t="s">
        <v>1420</v>
      </c>
      <c r="J14" s="24">
        <f ca="1">C29</f>
        <v>235</v>
      </c>
      <c r="K14" s="15"/>
      <c r="L14" s="978"/>
      <c r="M14" s="979"/>
    </row>
    <row r="15" spans="1:37" s="1858" customFormat="1" ht="18" customHeight="1" thickBot="1">
      <c r="A15" s="1200" t="s">
        <v>1036</v>
      </c>
      <c r="B15" s="347" t="s">
        <v>1421</v>
      </c>
      <c r="C15" s="24">
        <f ca="1">ROUND(C14*F15,0)</f>
        <v>4</v>
      </c>
      <c r="D15" s="365" t="s">
        <v>1422</v>
      </c>
      <c r="E15" s="365" t="s">
        <v>1423</v>
      </c>
      <c r="F15" s="366">
        <f>'数据-取费表'!B33</f>
        <v>0.03</v>
      </c>
      <c r="G15" s="1854"/>
      <c r="H15" s="1338" t="s">
        <v>1039</v>
      </c>
      <c r="I15" s="1339" t="s">
        <v>1417</v>
      </c>
      <c r="J15" s="1348">
        <f ca="1">INDIRECT("'数据-取费表'!ad"&amp;$G$1)</f>
        <v>0.86</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17</v>
      </c>
      <c r="K16" s="1336" t="s">
        <v>1426</v>
      </c>
      <c r="L16" s="1337"/>
      <c r="M16" s="1293"/>
    </row>
    <row r="17" spans="1:37" s="1858" customFormat="1" ht="18" customHeight="1">
      <c r="A17" s="1200" t="s">
        <v>1391</v>
      </c>
      <c r="B17" s="347" t="s">
        <v>1427</v>
      </c>
      <c r="C17" s="24">
        <f ca="1">ROUND(F17*(F43+INDIRECT("'数据-取费表'!S"&amp;$G$1))/10000,0)</f>
        <v>12</v>
      </c>
      <c r="D17" s="347" t="s">
        <v>1428</v>
      </c>
      <c r="E17" s="347" t="s">
        <v>1429</v>
      </c>
      <c r="F17" s="26">
        <f>'数据-取费表'!B35</f>
        <v>200</v>
      </c>
      <c r="G17" s="1854"/>
      <c r="H17" s="1200" t="s">
        <v>1035</v>
      </c>
      <c r="I17" s="347" t="s">
        <v>1430</v>
      </c>
      <c r="J17" s="24">
        <f ca="1">ROUND(IF(项目基本情况!B11="自然人",J5*M17,J18+J19+J20),1)</f>
        <v>13.2</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2</v>
      </c>
      <c r="D18" s="347" t="s">
        <v>1422</v>
      </c>
      <c r="E18" s="347" t="s">
        <v>1423</v>
      </c>
      <c r="F18" s="367">
        <f>'数据-取费表'!B36</f>
        <v>1.4999999999999999E-2</v>
      </c>
      <c r="G18" s="1854"/>
      <c r="H18" s="1200" t="s">
        <v>1034</v>
      </c>
      <c r="I18" s="347" t="s">
        <v>1434</v>
      </c>
      <c r="J18" s="24">
        <f ca="1">ROUND(J5*M18/(1+'数据-取费表'!C42),2)</f>
        <v>4.05</v>
      </c>
      <c r="K18" s="1798"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163</v>
      </c>
      <c r="D19" s="139" t="s">
        <v>1437</v>
      </c>
      <c r="E19" s="1818"/>
      <c r="F19" s="26"/>
      <c r="G19" s="1851"/>
      <c r="H19" s="1200" t="s">
        <v>1036</v>
      </c>
      <c r="I19" s="347" t="s">
        <v>1438</v>
      </c>
      <c r="J19" s="24">
        <f ca="1">IF(K19="按租金收入计税",ROUND(J5*M19,2),ROUND(C29*M19*0.7,2))</f>
        <v>9.1199999999999992</v>
      </c>
      <c r="K19" s="1828" t="s">
        <v>3068</v>
      </c>
      <c r="L19" s="347" t="s">
        <v>1423</v>
      </c>
      <c r="M19" s="367">
        <f>IF(K19="按租金收入计税",'数据-取费表'!B51,'数据-取费表'!B50)</f>
        <v>0.12</v>
      </c>
    </row>
    <row r="20" spans="1:37" s="1858" customFormat="1" ht="18" customHeight="1">
      <c r="A20" s="1200" t="s">
        <v>1039</v>
      </c>
      <c r="B20" s="347" t="s">
        <v>1440</v>
      </c>
      <c r="C20" s="24">
        <f ca="1">ROUND(C19*F20,0)</f>
        <v>3</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1818"/>
      <c r="F22" s="26"/>
      <c r="G22" s="1851"/>
      <c r="H22" s="1200" t="s">
        <v>1039</v>
      </c>
      <c r="I22" s="347" t="s">
        <v>1450</v>
      </c>
      <c r="J22" s="24">
        <f ca="1">ROUND(J14*M22,1)</f>
        <v>3.5</v>
      </c>
      <c r="K22" s="1798"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0.3</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1394</v>
      </c>
      <c r="I24" s="1339" t="s">
        <v>1440</v>
      </c>
      <c r="J24" s="1340">
        <f ca="1">ROUND(J5*M24,1)</f>
        <v>0.1</v>
      </c>
      <c r="K24" s="1341" t="s">
        <v>1460</v>
      </c>
      <c r="L24" s="1339" t="s">
        <v>1456</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1818"/>
      <c r="F25" s="26"/>
      <c r="G25" s="1851"/>
      <c r="H25" s="1328" t="s">
        <v>1031</v>
      </c>
      <c r="I25" s="1343" t="s">
        <v>1464</v>
      </c>
      <c r="J25" s="355">
        <f ca="1">J5-J16</f>
        <v>59</v>
      </c>
      <c r="K25" s="1344" t="s">
        <v>1465</v>
      </c>
      <c r="L25" s="1345"/>
      <c r="M25" s="1346"/>
    </row>
    <row r="26" spans="1:37">
      <c r="A26" s="1200" t="s">
        <v>1034</v>
      </c>
      <c r="B26" s="347" t="s">
        <v>1466</v>
      </c>
      <c r="C26" s="24">
        <f ca="1">ROUND((C19+C20)*F26,0)</f>
        <v>42</v>
      </c>
      <c r="D26" s="369" t="s">
        <v>1467</v>
      </c>
      <c r="E26" s="358" t="s">
        <v>1468</v>
      </c>
      <c r="F26" s="357">
        <f ca="1">INDIRECT("'数据-取费表'!q"&amp;$G$1)</f>
        <v>0.25</v>
      </c>
      <c r="G26" s="1851"/>
      <c r="H26" s="344" t="s">
        <v>1032</v>
      </c>
      <c r="I26" s="345" t="s">
        <v>1469</v>
      </c>
      <c r="J26" s="346">
        <f ca="1">IF(J5&lt;&gt;0,ROUND(J25*(1-((1+M28)/(1+M26))^M27)/(M26-M28),0),0)</f>
        <v>810</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17.52</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235</v>
      </c>
      <c r="D29" s="1341"/>
      <c r="E29" s="1339"/>
      <c r="F29" s="1342"/>
      <c r="G29" s="1854"/>
      <c r="H29" s="380" t="s">
        <v>1033</v>
      </c>
      <c r="I29" s="381" t="s">
        <v>1480</v>
      </c>
      <c r="J29" s="382">
        <f ca="1">ROUND(J26/(1+F40)^F41,0)</f>
        <v>709</v>
      </c>
      <c r="K29" s="383" t="s">
        <v>1481</v>
      </c>
      <c r="L29" s="384"/>
      <c r="M29" s="385">
        <f ca="1">INDIRECT("'数据-取费表'!k"&amp;$G$1)</f>
        <v>579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15</v>
      </c>
      <c r="D30" s="1336" t="s">
        <v>1426</v>
      </c>
      <c r="E30" s="1337"/>
      <c r="F30" s="1293"/>
      <c r="G30" s="1851"/>
      <c r="H30" s="745"/>
      <c r="I30" s="746"/>
      <c r="J30" s="747"/>
      <c r="K30" s="748"/>
      <c r="L30" s="749"/>
      <c r="M30" s="750"/>
    </row>
    <row r="31" spans="1:37" ht="18" customHeight="1">
      <c r="A31" s="1200" t="s">
        <v>1035</v>
      </c>
      <c r="B31" s="347" t="s">
        <v>1430</v>
      </c>
      <c r="C31" s="24">
        <f ca="1">ROUND(IF(项目基本情况!B11="自然人",C5*F31,C32+C33+C34),1)</f>
        <v>11.1</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3.41</v>
      </c>
      <c r="D32" s="1798"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7.68</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3.5</v>
      </c>
      <c r="D36" s="1798"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0.3</v>
      </c>
      <c r="D37" s="1798" t="s">
        <v>1455</v>
      </c>
      <c r="E37" s="347" t="s">
        <v>1456</v>
      </c>
      <c r="F37" s="376">
        <f ca="1">INDIRECT("'数据-取费表'!Al"&amp;$G$1)</f>
        <v>1.5E-3</v>
      </c>
      <c r="G37" s="1851"/>
      <c r="H37" s="1859"/>
      <c r="I37" s="1860"/>
      <c r="J37" s="1861"/>
      <c r="K37" s="751"/>
      <c r="L37" s="1859"/>
      <c r="M37" s="1859"/>
    </row>
    <row r="38" spans="1:18" ht="18" customHeight="1" thickBot="1">
      <c r="A38" s="1338" t="s">
        <v>1394</v>
      </c>
      <c r="B38" s="1339" t="s">
        <v>1440</v>
      </c>
      <c r="C38" s="1340">
        <f ca="1">ROUND(C5*F38,1)</f>
        <v>0.1</v>
      </c>
      <c r="D38" s="1341" t="s">
        <v>1460</v>
      </c>
      <c r="E38" s="1339" t="s">
        <v>1456</v>
      </c>
      <c r="F38" s="1335">
        <f ca="1">INDIRECT("'数据-取费表'!Am"&amp;$G$1)</f>
        <v>1E-3</v>
      </c>
      <c r="G38" s="1851"/>
      <c r="H38" s="1859"/>
      <c r="I38" s="1860"/>
      <c r="J38" s="1861"/>
      <c r="K38" s="1865"/>
      <c r="L38" s="1859"/>
      <c r="M38" s="1859"/>
    </row>
    <row r="39" spans="1:18" ht="24.6" customHeight="1" thickTop="1">
      <c r="A39" s="1328" t="s">
        <v>1031</v>
      </c>
      <c r="B39" s="1343" t="s">
        <v>1484</v>
      </c>
      <c r="C39" s="355">
        <f ca="1">C5-C30</f>
        <v>49</v>
      </c>
      <c r="D39" s="1344" t="s">
        <v>1485</v>
      </c>
      <c r="E39" s="1345"/>
      <c r="F39" s="1346"/>
      <c r="G39" s="1851"/>
      <c r="H39" s="1859"/>
      <c r="I39" s="1860"/>
      <c r="J39" s="1861"/>
      <c r="K39" s="1865"/>
      <c r="L39" s="1859"/>
      <c r="M39" s="1859"/>
    </row>
    <row r="40" spans="1:18" ht="18" customHeight="1">
      <c r="A40" s="344" t="s">
        <v>1032</v>
      </c>
      <c r="B40" s="345" t="s">
        <v>1486</v>
      </c>
      <c r="C40" s="346">
        <f ca="1">ROUND(C39*(1-((1+F42)/(1+F40))^F41)/(F40-F42),0)</f>
        <v>112</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2.48</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1934</v>
      </c>
      <c r="D43" s="383" t="s">
        <v>1489</v>
      </c>
      <c r="E43" s="384" t="s">
        <v>1490</v>
      </c>
      <c r="F43" s="385">
        <f ca="1">INDIRECT("'数据-取费表'!k"&amp;$G$1)</f>
        <v>579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-166</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821</v>
      </c>
      <c r="R47" s="1886" t="s">
        <v>1530</v>
      </c>
    </row>
    <row r="48" spans="1:18" s="1842" customFormat="1" ht="28.5" thickBot="1">
      <c r="A48" s="1359" t="s">
        <v>1135</v>
      </c>
      <c r="B48" s="345" t="s">
        <v>1402</v>
      </c>
      <c r="C48" s="1817">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3040</v>
      </c>
      <c r="E49" s="1830" t="s">
        <v>1492</v>
      </c>
      <c r="F49" s="1280"/>
      <c r="G49" s="1891"/>
      <c r="H49" s="793"/>
      <c r="I49" s="1887" t="s">
        <v>1535</v>
      </c>
      <c r="J49" s="1892">
        <v>2012</v>
      </c>
      <c r="K49" s="1889" t="s">
        <v>1536</v>
      </c>
      <c r="L49" s="1893"/>
      <c r="O49" s="1894" t="s">
        <v>1042</v>
      </c>
      <c r="P49" s="1885" t="s">
        <v>1537</v>
      </c>
      <c r="Q49" s="1886">
        <f ca="1">C29</f>
        <v>235</v>
      </c>
      <c r="R49" s="1886" t="s">
        <v>1530</v>
      </c>
    </row>
    <row r="50" spans="1:18" s="1842" customFormat="1" ht="13.5" thickBot="1">
      <c r="A50" s="1194"/>
      <c r="B50" s="1197"/>
      <c r="C50" s="1367"/>
      <c r="D50" s="1171"/>
      <c r="E50" s="1276" t="s">
        <v>1407</v>
      </c>
      <c r="F50" s="1277">
        <f ca="1">F7</f>
        <v>579</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399</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3038</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821</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212</v>
      </c>
      <c r="D56" s="1914"/>
      <c r="E56" s="1915"/>
      <c r="F56" s="1907"/>
      <c r="I56" s="1916" t="s">
        <v>1555</v>
      </c>
      <c r="J56" s="1917" t="s">
        <v>3061</v>
      </c>
      <c r="K56" s="1887" t="s">
        <v>1556</v>
      </c>
      <c r="L56" s="1890" t="str">
        <f ca="1">IF(L48&lt;J51,"——",L48-J53)</f>
        <v>——</v>
      </c>
      <c r="O56" s="1884" t="s">
        <v>1040</v>
      </c>
      <c r="P56" s="1885" t="s">
        <v>1529</v>
      </c>
      <c r="Q56" s="1886">
        <f ca="1">C40+J29</f>
        <v>821</v>
      </c>
      <c r="R56" s="1886" t="s">
        <v>1530</v>
      </c>
    </row>
    <row r="57" spans="1:18" s="1842" customFormat="1" ht="24.75" thickBot="1">
      <c r="A57" s="1918"/>
      <c r="B57" s="1168" t="s">
        <v>1479</v>
      </c>
      <c r="C57" s="282">
        <f ca="1">C29</f>
        <v>235</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24</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19.7</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1494</v>
      </c>
      <c r="C61" s="24">
        <f ca="1">IF(项目基本情况!B11="自然人","——",IF(D61="按租金收入计税",ROUND(C48*F61,2),IF(D61="按房产原值计税",ROUND(C57*F61*0.7,2),INDIRECT("'数据-取费表'!Aj"&amp;$G$1))))</f>
        <v>19.739999999999998</v>
      </c>
      <c r="D61" s="1828" t="s">
        <v>1439</v>
      </c>
      <c r="E61" s="1168" t="s">
        <v>1495</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1497</v>
      </c>
      <c r="C62" s="25">
        <f ca="1">IF(项目基本情况!B11="自然人","——",ROUND(F62*F63/10000,2))</f>
        <v>0</v>
      </c>
      <c r="D62" s="1183" t="s">
        <v>1498</v>
      </c>
      <c r="E62" s="1168" t="s">
        <v>1499</v>
      </c>
      <c r="F62" s="371">
        <f t="shared" si="0"/>
        <v>0</v>
      </c>
      <c r="I62" s="1929" t="s">
        <v>1571</v>
      </c>
      <c r="J62" s="1930" t="s">
        <v>1572</v>
      </c>
      <c r="K62" s="1930" t="s">
        <v>1573</v>
      </c>
      <c r="L62" s="1930" t="s">
        <v>1574</v>
      </c>
      <c r="M62" s="1931" t="s">
        <v>1575</v>
      </c>
      <c r="O62" s="1884" t="s">
        <v>1046</v>
      </c>
      <c r="P62" s="1885" t="s">
        <v>1576</v>
      </c>
      <c r="Q62" s="1886">
        <f ca="1">Q56+Q57</f>
        <v>821</v>
      </c>
      <c r="R62" s="1886" t="s">
        <v>1047</v>
      </c>
    </row>
    <row r="63" spans="1:18" s="1842" customFormat="1" ht="13.5" thickBot="1">
      <c r="A63" s="372"/>
      <c r="B63" s="1174"/>
      <c r="C63" s="29"/>
      <c r="D63" s="1184"/>
      <c r="E63" s="1168"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1501</v>
      </c>
      <c r="B64" s="1168" t="s">
        <v>1502</v>
      </c>
      <c r="C64" s="24">
        <f ca="1">ROUND(C57*F64,1)</f>
        <v>3.5</v>
      </c>
      <c r="D64" s="1182" t="s">
        <v>1503</v>
      </c>
      <c r="E64" s="1168"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0.3</v>
      </c>
      <c r="D65" s="1182" t="s">
        <v>1455</v>
      </c>
      <c r="E65" s="1168" t="s">
        <v>1456</v>
      </c>
      <c r="F65" s="376">
        <f t="shared" ca="1" si="0"/>
        <v>1.5E-3</v>
      </c>
      <c r="I65" s="1929" t="s">
        <v>1580</v>
      </c>
      <c r="J65" s="1930">
        <v>40</v>
      </c>
      <c r="K65" s="1930">
        <v>30</v>
      </c>
      <c r="L65" s="1930">
        <v>50</v>
      </c>
      <c r="M65" s="1932">
        <v>0.02</v>
      </c>
      <c r="O65" s="1884" t="s">
        <v>1040</v>
      </c>
      <c r="P65" s="1885" t="s">
        <v>1581</v>
      </c>
      <c r="Q65" s="1886">
        <f ca="1">C40+J29</f>
        <v>821</v>
      </c>
      <c r="R65" s="1886" t="s">
        <v>1530</v>
      </c>
    </row>
    <row r="66" spans="1:18" s="1842" customFormat="1" ht="16.5" thickBot="1">
      <c r="A66" s="1200" t="s">
        <v>1505</v>
      </c>
      <c r="B66" s="1168" t="s">
        <v>1440</v>
      </c>
      <c r="C66" s="24">
        <f ca="1">ROUND(C48*F66,1)</f>
        <v>0</v>
      </c>
      <c r="D66" s="1182" t="s">
        <v>1506</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-24</v>
      </c>
      <c r="D67" s="1181" t="s">
        <v>1465</v>
      </c>
      <c r="E67" s="1186"/>
      <c r="F67" s="1187"/>
      <c r="O67" s="1894" t="s">
        <v>1042</v>
      </c>
      <c r="P67" s="1885" t="s">
        <v>1563</v>
      </c>
      <c r="Q67" s="1933">
        <f ca="1">L51</f>
        <v>399</v>
      </c>
      <c r="R67" s="1886" t="s">
        <v>1583</v>
      </c>
    </row>
    <row r="68" spans="1:18" s="1842" customFormat="1" ht="16.5" thickBot="1">
      <c r="A68" s="1165" t="s">
        <v>1032</v>
      </c>
      <c r="B68" s="1166" t="s">
        <v>1486</v>
      </c>
      <c r="C68" s="346">
        <f ca="1">ROUND(C67*(1-((1+F70)/(1+F68))^F69)/(F68-F70),0)</f>
        <v>-54</v>
      </c>
      <c r="D68" s="1183" t="s">
        <v>1470</v>
      </c>
      <c r="E68" s="1168" t="s">
        <v>1471</v>
      </c>
      <c r="F68" s="357">
        <f ca="1">F40</f>
        <v>5.5E-2</v>
      </c>
      <c r="O68" s="1894" t="s">
        <v>1043</v>
      </c>
      <c r="P68" s="1934" t="s">
        <v>1584</v>
      </c>
      <c r="Q68" s="1886">
        <f ca="1">ROUND(Q69-Q70*Q71,0)</f>
        <v>32</v>
      </c>
      <c r="R68" s="1886" t="s">
        <v>1051</v>
      </c>
    </row>
    <row r="69" spans="1:18" s="1842" customFormat="1" ht="13.5" thickBot="1">
      <c r="A69" s="1169"/>
      <c r="B69" s="1170"/>
      <c r="C69" s="351"/>
      <c r="D69" s="1188" t="s">
        <v>1474</v>
      </c>
      <c r="E69" s="1168" t="s">
        <v>1475</v>
      </c>
      <c r="F69" s="379">
        <f ca="1">F41</f>
        <v>2.48</v>
      </c>
      <c r="O69" s="1894" t="s">
        <v>1048</v>
      </c>
      <c r="P69" s="1934" t="s">
        <v>1585</v>
      </c>
      <c r="Q69" s="1886">
        <f ca="1">C39</f>
        <v>49</v>
      </c>
      <c r="R69" s="1886" t="s">
        <v>1530</v>
      </c>
    </row>
    <row r="70" spans="1:18" s="1842" customFormat="1" ht="13.5" thickBot="1">
      <c r="A70" s="1172"/>
      <c r="B70" s="1173"/>
      <c r="C70" s="355"/>
      <c r="D70" s="1184"/>
      <c r="E70" s="1168" t="s">
        <v>1478</v>
      </c>
      <c r="F70" s="1274"/>
      <c r="O70" s="1894" t="s">
        <v>1049</v>
      </c>
      <c r="P70" s="1934" t="s">
        <v>1586</v>
      </c>
      <c r="Q70" s="1886">
        <f ca="1">C13</f>
        <v>212</v>
      </c>
      <c r="R70" s="1886" t="s">
        <v>1530</v>
      </c>
    </row>
    <row r="71" spans="1:18" s="1842" customFormat="1" ht="13.5" thickBot="1">
      <c r="A71" s="1189" t="s">
        <v>1033</v>
      </c>
      <c r="B71" s="1190" t="s">
        <v>1488</v>
      </c>
      <c r="C71" s="382">
        <f ca="1">ROUND(C68*10000/F71,0)</f>
        <v>-933</v>
      </c>
      <c r="D71" s="1191" t="s">
        <v>1489</v>
      </c>
      <c r="E71" s="1192" t="s">
        <v>1490</v>
      </c>
      <c r="F71" s="385">
        <f ca="1">F43</f>
        <v>579</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17</v>
      </c>
      <c r="D75" s="1842"/>
      <c r="E75" s="1842"/>
      <c r="F75" s="1842"/>
      <c r="K75" s="1868"/>
      <c r="L75" s="1842"/>
      <c r="O75" s="1884" t="s">
        <v>1046</v>
      </c>
      <c r="P75" s="1885" t="s">
        <v>1550</v>
      </c>
      <c r="Q75" s="1886">
        <f ca="1">Q65+Q66</f>
        <v>821</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0.65300000000000002</v>
      </c>
    </row>
    <row r="80" spans="1:18">
      <c r="B80" s="386" t="s">
        <v>1512</v>
      </c>
      <c r="C80" s="318">
        <f ca="1">ROUND(C75/C39,3)</f>
        <v>0.34699999999999998</v>
      </c>
    </row>
    <row r="81" spans="2:3">
      <c r="B81" s="314" t="s">
        <v>1513</v>
      </c>
      <c r="C81" s="282"/>
    </row>
    <row r="82" spans="2:3">
      <c r="B82" s="317" t="s">
        <v>1514</v>
      </c>
      <c r="C82" s="319">
        <f ca="1">1-C83</f>
        <v>-0.89300000000000002</v>
      </c>
    </row>
    <row r="83" spans="2:3">
      <c r="B83" s="317" t="s">
        <v>1515</v>
      </c>
      <c r="C83" s="318">
        <f ca="1">ROUND(C13/C40,3)</f>
        <v>1.893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 zoomScale="85" zoomScaleNormal="90" zoomScaleSheetLayoutView="85" workbookViewId="0">
      <selection activeCell="H4" sqref="H4:M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3090</v>
      </c>
      <c r="D1" s="1820" t="s">
        <v>70</v>
      </c>
      <c r="E1" s="1821" t="s">
        <v>1388</v>
      </c>
      <c r="F1" s="1282">
        <f ca="1">J53</f>
        <v>20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7411</v>
      </c>
      <c r="C2" s="1845" t="s">
        <v>1517</v>
      </c>
      <c r="D2" s="1845"/>
      <c r="E2" s="1846"/>
      <c r="F2" s="1847"/>
      <c r="G2" s="1848"/>
      <c r="H2" s="1840"/>
      <c r="I2" s="1840"/>
      <c r="J2" s="1840"/>
      <c r="K2" s="1841"/>
      <c r="L2" s="1840"/>
      <c r="M2" s="1840"/>
    </row>
    <row r="3" spans="1:37" ht="18" customHeight="1" thickBot="1">
      <c r="A3" s="1849" t="s">
        <v>1518</v>
      </c>
      <c r="B3" s="1850">
        <f ca="1">IF(ISERROR(B2*10000/F43),0,ROUND(B2*10000/F43,0))</f>
        <v>13982</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646</v>
      </c>
      <c r="D5" s="1822" t="s">
        <v>1403</v>
      </c>
      <c r="E5" s="1292"/>
      <c r="F5" s="1293"/>
      <c r="G5" s="1851"/>
      <c r="H5" s="344">
        <v>1</v>
      </c>
      <c r="I5" s="345" t="s">
        <v>1402</v>
      </c>
      <c r="J5" s="1291">
        <f ca="1">J6+J10+J12</f>
        <v>818</v>
      </c>
      <c r="K5" s="1822" t="s">
        <v>1403</v>
      </c>
      <c r="L5" s="1292"/>
      <c r="M5" s="1293"/>
    </row>
    <row r="6" spans="1:37" ht="18" customHeight="1">
      <c r="A6" s="1290" t="s">
        <v>1035</v>
      </c>
      <c r="B6" s="3159" t="s">
        <v>1404</v>
      </c>
      <c r="C6" s="1295">
        <f ca="1">ROUND(F6*F8*F7*(1-F9)/10000,0)</f>
        <v>646</v>
      </c>
      <c r="D6" s="164" t="s">
        <v>3037</v>
      </c>
      <c r="E6" s="347" t="s">
        <v>1406</v>
      </c>
      <c r="F6" s="348">
        <f ca="1">INDIRECT("'数据-取费表'!u"&amp;$G$1)</f>
        <v>3.34</v>
      </c>
      <c r="G6" s="1851"/>
      <c r="H6" s="1290" t="s">
        <v>1035</v>
      </c>
      <c r="I6" s="3159" t="s">
        <v>1404</v>
      </c>
      <c r="J6" s="346">
        <f ca="1">ROUND(M6*M8*M7*(1-M9)/10000,0)</f>
        <v>818</v>
      </c>
      <c r="K6" s="164" t="s">
        <v>3036</v>
      </c>
      <c r="L6" s="347" t="s">
        <v>1406</v>
      </c>
      <c r="M6" s="348">
        <f ca="1">INDIRECT("'数据-取费表'!z"&amp;$G$1)</f>
        <v>4.45</v>
      </c>
    </row>
    <row r="7" spans="1:37" ht="18" customHeight="1">
      <c r="A7" s="1294"/>
      <c r="B7" s="3160"/>
      <c r="C7" s="1296"/>
      <c r="D7" s="352"/>
      <c r="E7" s="2936" t="s">
        <v>1407</v>
      </c>
      <c r="F7" s="348">
        <f ca="1">IF(INDIRECT("'数据-取费表'!ah"&amp;$G$1)="",INDIRECT("'数据-取费表'!k"&amp;$G$1),INDIRECT("'数据-取费表'!ah"&amp;$G$1))</f>
        <v>5300.34</v>
      </c>
      <c r="G7" s="1851"/>
      <c r="H7" s="349"/>
      <c r="I7" s="3160"/>
      <c r="J7" s="351"/>
      <c r="K7" s="352"/>
      <c r="L7" s="347" t="s">
        <v>1407</v>
      </c>
      <c r="M7" s="348">
        <f ca="1">F7</f>
        <v>5300.34</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1929</v>
      </c>
      <c r="D13" s="1330" t="s">
        <v>1416</v>
      </c>
      <c r="E13" s="1330" t="s">
        <v>1417</v>
      </c>
      <c r="F13" s="1331">
        <f ca="1">INDIRECT("'数据-取费表'!y"&amp;$G$1)</f>
        <v>0.9</v>
      </c>
      <c r="G13" s="1851"/>
      <c r="H13" s="1328">
        <v>2</v>
      </c>
      <c r="I13" s="1329" t="s">
        <v>1415</v>
      </c>
      <c r="J13" s="1289">
        <f ca="1">ROUND(J14*J15,0)</f>
        <v>1672</v>
      </c>
      <c r="K13" s="1336" t="s">
        <v>1416</v>
      </c>
      <c r="L13" s="1852"/>
      <c r="M13" s="1853"/>
    </row>
    <row r="14" spans="1:37" ht="18" customHeight="1">
      <c r="A14" s="1200" t="s">
        <v>1034</v>
      </c>
      <c r="B14" s="347" t="s">
        <v>1418</v>
      </c>
      <c r="C14" s="363">
        <f ca="1">INDIRECT("'数据-取费表'!m"&amp;$G$1)+INDIRECT("'数据-取费表'!t"&amp;$G$1)</f>
        <v>1325</v>
      </c>
      <c r="D14" s="2930" t="s">
        <v>1419</v>
      </c>
      <c r="E14" s="2928"/>
      <c r="F14" s="364"/>
      <c r="G14" s="1851"/>
      <c r="H14" s="1200" t="s">
        <v>1035</v>
      </c>
      <c r="I14" s="347" t="s">
        <v>1420</v>
      </c>
      <c r="J14" s="24">
        <f ca="1">C29</f>
        <v>2143</v>
      </c>
      <c r="K14" s="2935"/>
      <c r="L14" s="978"/>
      <c r="M14" s="979"/>
    </row>
    <row r="15" spans="1:37" s="1858" customFormat="1" ht="18" customHeight="1" thickBot="1">
      <c r="A15" s="1200" t="s">
        <v>1036</v>
      </c>
      <c r="B15" s="347" t="s">
        <v>1421</v>
      </c>
      <c r="C15" s="24">
        <f ca="1">ROUND(C14*F15,0)</f>
        <v>40</v>
      </c>
      <c r="D15" s="365" t="s">
        <v>1422</v>
      </c>
      <c r="E15" s="365" t="s">
        <v>1423</v>
      </c>
      <c r="F15" s="366">
        <f>'数据-取费表'!B33</f>
        <v>0.03</v>
      </c>
      <c r="G15" s="1854"/>
      <c r="H15" s="1338" t="s">
        <v>1039</v>
      </c>
      <c r="I15" s="1339" t="s">
        <v>1417</v>
      </c>
      <c r="J15" s="1348">
        <f ca="1">INDIRECT("'数据-取费表'!ad"&amp;$G$1)</f>
        <v>0.78</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177</v>
      </c>
      <c r="K16" s="1336" t="s">
        <v>1426</v>
      </c>
      <c r="L16" s="2931"/>
      <c r="M16" s="1293"/>
    </row>
    <row r="17" spans="1:37" s="1858" customFormat="1" ht="18" customHeight="1">
      <c r="A17" s="1200" t="s">
        <v>1391</v>
      </c>
      <c r="B17" s="347" t="s">
        <v>1427</v>
      </c>
      <c r="C17" s="24">
        <f ca="1">ROUND(F17*(F43+INDIRECT("'数据-取费表'!S"&amp;$G$1))/10000,0)</f>
        <v>106</v>
      </c>
      <c r="D17" s="347" t="s">
        <v>1428</v>
      </c>
      <c r="E17" s="347" t="s">
        <v>1429</v>
      </c>
      <c r="F17" s="26">
        <f>'数据-取费表'!B35</f>
        <v>200</v>
      </c>
      <c r="G17" s="1854"/>
      <c r="H17" s="1200" t="s">
        <v>1035</v>
      </c>
      <c r="I17" s="347" t="s">
        <v>1430</v>
      </c>
      <c r="J17" s="24">
        <f ca="1">ROUND(IF(项目基本情况!B11="自然人",J5*M17,J18+J19+J20),1)</f>
        <v>141.80000000000001</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20</v>
      </c>
      <c r="D18" s="347" t="s">
        <v>1422</v>
      </c>
      <c r="E18" s="347" t="s">
        <v>1423</v>
      </c>
      <c r="F18" s="367">
        <f>'数据-取费表'!B36</f>
        <v>1.4999999999999999E-2</v>
      </c>
      <c r="G18" s="1854"/>
      <c r="H18" s="1200" t="s">
        <v>1034</v>
      </c>
      <c r="I18" s="347" t="s">
        <v>1434</v>
      </c>
      <c r="J18" s="24">
        <f ca="1">ROUND(J5*M18/(1+'数据-取费表'!C42),2)</f>
        <v>43.63</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1491</v>
      </c>
      <c r="D19" s="139" t="s">
        <v>1437</v>
      </c>
      <c r="E19" s="2934"/>
      <c r="F19" s="26"/>
      <c r="G19" s="1851"/>
      <c r="H19" s="1200" t="s">
        <v>1036</v>
      </c>
      <c r="I19" s="347" t="s">
        <v>1438</v>
      </c>
      <c r="J19" s="24">
        <f ca="1">IF(K19="按租金收入计税",ROUND(J5*M19,2),ROUND(C29*M19*0.7,2))</f>
        <v>98.16</v>
      </c>
      <c r="K19" s="1828" t="s">
        <v>3068</v>
      </c>
      <c r="L19" s="347" t="s">
        <v>1423</v>
      </c>
      <c r="M19" s="367">
        <f>IF(K19="按租金收入计税",'数据-取费表'!B51,'数据-取费表'!B50)</f>
        <v>0.12</v>
      </c>
    </row>
    <row r="20" spans="1:37" s="1858" customFormat="1" ht="18" customHeight="1">
      <c r="A20" s="1200" t="s">
        <v>1039</v>
      </c>
      <c r="B20" s="347" t="s">
        <v>1440</v>
      </c>
      <c r="C20" s="24">
        <f ca="1">ROUND(C19*F20,0)</f>
        <v>30</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32.1</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2.5</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0.8</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641</v>
      </c>
      <c r="K25" s="1344" t="s">
        <v>1465</v>
      </c>
      <c r="L25" s="1345"/>
      <c r="M25" s="1346"/>
    </row>
    <row r="26" spans="1:37">
      <c r="A26" s="1200" t="s">
        <v>1034</v>
      </c>
      <c r="B26" s="347" t="s">
        <v>1466</v>
      </c>
      <c r="C26" s="24">
        <f ca="1">ROUND((C19+C20)*F26,0)</f>
        <v>380</v>
      </c>
      <c r="D26" s="369" t="s">
        <v>1467</v>
      </c>
      <c r="E26" s="358" t="s">
        <v>1468</v>
      </c>
      <c r="F26" s="357">
        <f ca="1">INDIRECT("'数据-取费表'!q"&amp;$G$1)</f>
        <v>0.25</v>
      </c>
      <c r="G26" s="1851"/>
      <c r="H26" s="344" t="s">
        <v>1032</v>
      </c>
      <c r="I26" s="345" t="s">
        <v>1469</v>
      </c>
      <c r="J26" s="346">
        <f ca="1">IF(J5&lt;&gt;0,ROUND(J25*(1-((1+M28)/(1+M26))^M27)/(M26-M28),0),0)</f>
        <v>6347</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11.86</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2143</v>
      </c>
      <c r="D29" s="1341"/>
      <c r="E29" s="1339"/>
      <c r="F29" s="1342"/>
      <c r="G29" s="1854"/>
      <c r="H29" s="380" t="s">
        <v>1033</v>
      </c>
      <c r="I29" s="381" t="s">
        <v>1480</v>
      </c>
      <c r="J29" s="382">
        <f ca="1">ROUND(J26/(1+F40)^F41,0)</f>
        <v>4105</v>
      </c>
      <c r="K29" s="383" t="s">
        <v>1481</v>
      </c>
      <c r="L29" s="384"/>
      <c r="M29" s="385">
        <f ca="1">INDIRECT("'数据-取费表'!k"&amp;$G$1)</f>
        <v>5300.34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148</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112</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34.450000000000003</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77.52</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32.1</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2.9</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0.6</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498</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3306</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8.14</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6237</v>
      </c>
      <c r="D43" s="383" t="s">
        <v>1489</v>
      </c>
      <c r="E43" s="384" t="s">
        <v>1490</v>
      </c>
      <c r="F43" s="385">
        <f ca="1">INDIRECT("'数据-取费表'!k"&amp;$G$1)</f>
        <v>5300.34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-4687</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7411</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2143</v>
      </c>
      <c r="R49" s="1886" t="s">
        <v>1530</v>
      </c>
    </row>
    <row r="50" spans="1:18" s="1842" customFormat="1" ht="13.5" thickBot="1">
      <c r="A50" s="1194"/>
      <c r="B50" s="1197"/>
      <c r="C50" s="1367"/>
      <c r="D50" s="1171"/>
      <c r="E50" s="1276" t="s">
        <v>1407</v>
      </c>
      <c r="F50" s="1277">
        <f ca="1">F7</f>
        <v>5300.34</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4283</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7411</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1929</v>
      </c>
      <c r="D56" s="1914"/>
      <c r="E56" s="1915"/>
      <c r="F56" s="1907"/>
      <c r="I56" s="1916" t="s">
        <v>1555</v>
      </c>
      <c r="J56" s="1917" t="s">
        <v>3061</v>
      </c>
      <c r="K56" s="1887" t="s">
        <v>1556</v>
      </c>
      <c r="L56" s="1890" t="str">
        <f ca="1">IF(L48&lt;J51,"——",L48-J53)</f>
        <v>——</v>
      </c>
      <c r="O56" s="1884" t="s">
        <v>1040</v>
      </c>
      <c r="P56" s="1885" t="s">
        <v>1529</v>
      </c>
      <c r="Q56" s="1886">
        <f ca="1">C40+J29</f>
        <v>7411</v>
      </c>
      <c r="R56" s="1886" t="s">
        <v>1530</v>
      </c>
    </row>
    <row r="57" spans="1:18" s="1842" customFormat="1" ht="24.75" thickBot="1">
      <c r="A57" s="1918"/>
      <c r="B57" s="1168" t="s">
        <v>1479</v>
      </c>
      <c r="C57" s="282">
        <f ca="1">C29</f>
        <v>2143</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215</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180</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180.01</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7411</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32.1</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2.9</v>
      </c>
      <c r="D65" s="1182" t="s">
        <v>1455</v>
      </c>
      <c r="E65" s="1168" t="s">
        <v>1423</v>
      </c>
      <c r="F65" s="376">
        <f t="shared" ca="1" si="0"/>
        <v>1.5E-3</v>
      </c>
      <c r="I65" s="1929" t="s">
        <v>1580</v>
      </c>
      <c r="J65" s="1930">
        <v>40</v>
      </c>
      <c r="K65" s="1930">
        <v>30</v>
      </c>
      <c r="L65" s="1930">
        <v>50</v>
      </c>
      <c r="M65" s="1932">
        <v>0.02</v>
      </c>
      <c r="O65" s="1884" t="s">
        <v>1040</v>
      </c>
      <c r="P65" s="1885" t="s">
        <v>1529</v>
      </c>
      <c r="Q65" s="1886">
        <f ca="1">C40+J29</f>
        <v>7411</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-215</v>
      </c>
      <c r="D67" s="1181" t="s">
        <v>1465</v>
      </c>
      <c r="E67" s="1186"/>
      <c r="F67" s="1187"/>
      <c r="O67" s="1894" t="s">
        <v>1042</v>
      </c>
      <c r="P67" s="1885" t="s">
        <v>1563</v>
      </c>
      <c r="Q67" s="1933">
        <f ca="1">L51</f>
        <v>4283</v>
      </c>
      <c r="R67" s="1886" t="s">
        <v>1583</v>
      </c>
    </row>
    <row r="68" spans="1:18" s="1842" customFormat="1" ht="16.5" thickBot="1">
      <c r="A68" s="1165" t="s">
        <v>1032</v>
      </c>
      <c r="B68" s="1166" t="s">
        <v>1486</v>
      </c>
      <c r="C68" s="346">
        <f ca="1">ROUND(C67*(1-((1+F70)/(1+F68))^F69)/(F68-F70),0)</f>
        <v>-1381</v>
      </c>
      <c r="D68" s="1183" t="s">
        <v>1470</v>
      </c>
      <c r="E68" s="1168" t="s">
        <v>1471</v>
      </c>
      <c r="F68" s="357">
        <f ca="1">F40</f>
        <v>5.5E-2</v>
      </c>
      <c r="O68" s="1894" t="s">
        <v>1043</v>
      </c>
      <c r="P68" s="1934" t="s">
        <v>1584</v>
      </c>
      <c r="Q68" s="1886">
        <f ca="1">ROUND(Q69-Q70*Q71,0)</f>
        <v>344</v>
      </c>
      <c r="R68" s="1886" t="s">
        <v>1051</v>
      </c>
    </row>
    <row r="69" spans="1:18" s="1842" customFormat="1" ht="13.5" thickBot="1">
      <c r="A69" s="1169"/>
      <c r="B69" s="1170"/>
      <c r="C69" s="351"/>
      <c r="D69" s="1188" t="s">
        <v>1474</v>
      </c>
      <c r="E69" s="1168" t="s">
        <v>1475</v>
      </c>
      <c r="F69" s="379">
        <f ca="1">F41</f>
        <v>8.14</v>
      </c>
      <c r="O69" s="1894" t="s">
        <v>1048</v>
      </c>
      <c r="P69" s="1934" t="s">
        <v>1585</v>
      </c>
      <c r="Q69" s="1886">
        <f ca="1">C39</f>
        <v>498</v>
      </c>
      <c r="R69" s="1886" t="s">
        <v>1530</v>
      </c>
    </row>
    <row r="70" spans="1:18" s="1842" customFormat="1" ht="13.5" thickBot="1">
      <c r="A70" s="1172"/>
      <c r="B70" s="1173"/>
      <c r="C70" s="355"/>
      <c r="D70" s="1184"/>
      <c r="E70" s="1168" t="s">
        <v>1478</v>
      </c>
      <c r="F70" s="1274"/>
      <c r="O70" s="1894" t="s">
        <v>1049</v>
      </c>
      <c r="P70" s="1934" t="s">
        <v>1586</v>
      </c>
      <c r="Q70" s="1886">
        <f ca="1">C13</f>
        <v>1929</v>
      </c>
      <c r="R70" s="1886" t="s">
        <v>1530</v>
      </c>
    </row>
    <row r="71" spans="1:18" s="1842" customFormat="1" ht="13.5" thickBot="1">
      <c r="A71" s="1189" t="s">
        <v>1033</v>
      </c>
      <c r="B71" s="1190" t="s">
        <v>1488</v>
      </c>
      <c r="C71" s="382">
        <f ca="1">ROUND(C68*10000/F71,0)</f>
        <v>-2605</v>
      </c>
      <c r="D71" s="1191" t="s">
        <v>1489</v>
      </c>
      <c r="E71" s="1192" t="s">
        <v>1490</v>
      </c>
      <c r="F71" s="385">
        <f ca="1">F43</f>
        <v>5300.34</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154</v>
      </c>
      <c r="D75" s="1842"/>
      <c r="E75" s="1842"/>
      <c r="F75" s="1842"/>
      <c r="K75" s="1868"/>
      <c r="L75" s="1842"/>
      <c r="O75" s="1884" t="s">
        <v>1046</v>
      </c>
      <c r="P75" s="1885" t="s">
        <v>1550</v>
      </c>
      <c r="Q75" s="1886">
        <f ca="1">Q65+Q66</f>
        <v>7411</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0.69100000000000006</v>
      </c>
    </row>
    <row r="80" spans="1:18">
      <c r="B80" s="386" t="s">
        <v>1512</v>
      </c>
      <c r="C80" s="318">
        <f ca="1">ROUND(C75/C39,3)</f>
        <v>0.309</v>
      </c>
    </row>
    <row r="81" spans="2:3">
      <c r="B81" s="314" t="s">
        <v>1513</v>
      </c>
      <c r="C81" s="282"/>
    </row>
    <row r="82" spans="2:3">
      <c r="B82" s="317" t="s">
        <v>1514</v>
      </c>
      <c r="C82" s="319">
        <f ca="1">1-C83</f>
        <v>0.41700000000000004</v>
      </c>
    </row>
    <row r="83" spans="2:3">
      <c r="B83" s="317" t="s">
        <v>1515</v>
      </c>
      <c r="C83" s="318">
        <f ca="1">ROUND(C13/C40,3)</f>
        <v>0.58299999999999996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40" zoomScaleSheetLayoutView="7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3091</v>
      </c>
      <c r="D1" s="1820" t="s">
        <v>70</v>
      </c>
      <c r="E1" s="1821" t="s">
        <v>1388</v>
      </c>
      <c r="F1" s="1282">
        <f ca="1">J53</f>
        <v>20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3924</v>
      </c>
      <c r="C2" s="1845" t="s">
        <v>1517</v>
      </c>
      <c r="D2" s="1845"/>
      <c r="E2" s="1846"/>
      <c r="F2" s="1847"/>
      <c r="G2" s="1848"/>
      <c r="H2" s="1840"/>
      <c r="I2" s="1840"/>
      <c r="J2" s="1840"/>
      <c r="K2" s="1841"/>
      <c r="L2" s="1840"/>
      <c r="M2" s="1840"/>
    </row>
    <row r="3" spans="1:37" ht="18" customHeight="1" thickBot="1">
      <c r="A3" s="1849" t="s">
        <v>1518</v>
      </c>
      <c r="B3" s="1850">
        <f ca="1">IF(ISERROR(B2*10000/F43),0,ROUND(B2*10000/F43,0))</f>
        <v>12396</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340</v>
      </c>
      <c r="D5" s="1822" t="s">
        <v>1403</v>
      </c>
      <c r="E5" s="1292"/>
      <c r="F5" s="1293"/>
      <c r="G5" s="1851"/>
      <c r="H5" s="344">
        <v>1</v>
      </c>
      <c r="I5" s="345" t="s">
        <v>1402</v>
      </c>
      <c r="J5" s="1291">
        <f ca="1">J6+J10+J12</f>
        <v>551</v>
      </c>
      <c r="K5" s="1822" t="s">
        <v>1403</v>
      </c>
      <c r="L5" s="1292"/>
      <c r="M5" s="1293"/>
    </row>
    <row r="6" spans="1:37" ht="18" customHeight="1">
      <c r="A6" s="1290" t="s">
        <v>1035</v>
      </c>
      <c r="B6" s="3159" t="s">
        <v>1404</v>
      </c>
      <c r="C6" s="1295">
        <f ca="1">ROUND(F6*F8*F7*(1-F9)/10000,0)</f>
        <v>340</v>
      </c>
      <c r="D6" s="164" t="s">
        <v>3037</v>
      </c>
      <c r="E6" s="347" t="s">
        <v>1406</v>
      </c>
      <c r="F6" s="348">
        <f ca="1">INDIRECT("'数据-取费表'!u"&amp;$G$1)</f>
        <v>2.94</v>
      </c>
      <c r="G6" s="1851"/>
      <c r="H6" s="1290" t="s">
        <v>1035</v>
      </c>
      <c r="I6" s="3159" t="s">
        <v>1404</v>
      </c>
      <c r="J6" s="346">
        <f ca="1">ROUND(M6*M8*M7*(1-M9)/10000,0)</f>
        <v>551</v>
      </c>
      <c r="K6" s="164" t="s">
        <v>3036</v>
      </c>
      <c r="L6" s="347" t="s">
        <v>1406</v>
      </c>
      <c r="M6" s="348">
        <f ca="1">INDIRECT("'数据-取费表'!z"&amp;$G$1)</f>
        <v>5.0199999999999996</v>
      </c>
    </row>
    <row r="7" spans="1:37" ht="18" customHeight="1">
      <c r="A7" s="1294"/>
      <c r="B7" s="3160"/>
      <c r="C7" s="1296"/>
      <c r="D7" s="352"/>
      <c r="E7" s="2936" t="s">
        <v>1407</v>
      </c>
      <c r="F7" s="348">
        <f ca="1">IF(INDIRECT("'数据-取费表'!ah"&amp;$G$1)="",INDIRECT("'数据-取费表'!k"&amp;$G$1),INDIRECT("'数据-取费表'!ah"&amp;$G$1))</f>
        <v>3165.6</v>
      </c>
      <c r="G7" s="1851"/>
      <c r="H7" s="349"/>
      <c r="I7" s="3160"/>
      <c r="J7" s="351"/>
      <c r="K7" s="352"/>
      <c r="L7" s="347" t="s">
        <v>1407</v>
      </c>
      <c r="M7" s="348">
        <f ca="1">F7</f>
        <v>3165.6</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1151</v>
      </c>
      <c r="D13" s="1330" t="s">
        <v>1416</v>
      </c>
      <c r="E13" s="1330" t="s">
        <v>1417</v>
      </c>
      <c r="F13" s="1331">
        <f ca="1">INDIRECT("'数据-取费表'!y"&amp;$G$1)</f>
        <v>0.9</v>
      </c>
      <c r="G13" s="1851"/>
      <c r="H13" s="1328">
        <v>2</v>
      </c>
      <c r="I13" s="1329" t="s">
        <v>1415</v>
      </c>
      <c r="J13" s="1289">
        <f ca="1">ROUND(J14*J15,0)</f>
        <v>895</v>
      </c>
      <c r="K13" s="1336" t="s">
        <v>1416</v>
      </c>
      <c r="L13" s="1852"/>
      <c r="M13" s="1853"/>
    </row>
    <row r="14" spans="1:37" ht="18" customHeight="1">
      <c r="A14" s="1200" t="s">
        <v>1034</v>
      </c>
      <c r="B14" s="347" t="s">
        <v>1418</v>
      </c>
      <c r="C14" s="363">
        <f ca="1">INDIRECT("'数据-取费表'!m"&amp;$G$1)+INDIRECT("'数据-取费表'!t"&amp;$G$1)</f>
        <v>791</v>
      </c>
      <c r="D14" s="2930" t="s">
        <v>1419</v>
      </c>
      <c r="E14" s="2928"/>
      <c r="F14" s="364"/>
      <c r="G14" s="1851"/>
      <c r="H14" s="1200" t="s">
        <v>1035</v>
      </c>
      <c r="I14" s="347" t="s">
        <v>1420</v>
      </c>
      <c r="J14" s="24">
        <f ca="1">C29</f>
        <v>1279</v>
      </c>
      <c r="K14" s="2935"/>
      <c r="L14" s="978"/>
      <c r="M14" s="979"/>
    </row>
    <row r="15" spans="1:37" s="1858" customFormat="1" ht="18" customHeight="1" thickBot="1">
      <c r="A15" s="1200" t="s">
        <v>1036</v>
      </c>
      <c r="B15" s="347" t="s">
        <v>1421</v>
      </c>
      <c r="C15" s="24">
        <f ca="1">ROUND(C14*F15,0)</f>
        <v>24</v>
      </c>
      <c r="D15" s="365" t="s">
        <v>1422</v>
      </c>
      <c r="E15" s="365" t="s">
        <v>1423</v>
      </c>
      <c r="F15" s="366">
        <f>'数据-取费表'!B33</f>
        <v>0.03</v>
      </c>
      <c r="G15" s="1854"/>
      <c r="H15" s="1338" t="s">
        <v>1039</v>
      </c>
      <c r="I15" s="1339" t="s">
        <v>1417</v>
      </c>
      <c r="J15" s="1348">
        <f ca="1">INDIRECT("'数据-取费表'!ad"&amp;$G$1)</f>
        <v>0.7</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117</v>
      </c>
      <c r="K16" s="1336" t="s">
        <v>1426</v>
      </c>
      <c r="L16" s="2931"/>
      <c r="M16" s="1293"/>
    </row>
    <row r="17" spans="1:37" s="1858" customFormat="1" ht="18" customHeight="1">
      <c r="A17" s="1200" t="s">
        <v>1391</v>
      </c>
      <c r="B17" s="347" t="s">
        <v>1427</v>
      </c>
      <c r="C17" s="24">
        <f ca="1">ROUND(F17*(F43+INDIRECT("'数据-取费表'!S"&amp;$G$1))/10000,0)</f>
        <v>63</v>
      </c>
      <c r="D17" s="347" t="s">
        <v>1428</v>
      </c>
      <c r="E17" s="347" t="s">
        <v>1429</v>
      </c>
      <c r="F17" s="26">
        <f>'数据-取费表'!B35</f>
        <v>200</v>
      </c>
      <c r="G17" s="1854"/>
      <c r="H17" s="1200" t="s">
        <v>1035</v>
      </c>
      <c r="I17" s="347" t="s">
        <v>1430</v>
      </c>
      <c r="J17" s="24">
        <f ca="1">ROUND(IF(项目基本情况!B11="自然人",J5*M17,J18+J19+J20),1)</f>
        <v>95.5</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12</v>
      </c>
      <c r="D18" s="347" t="s">
        <v>1422</v>
      </c>
      <c r="E18" s="347" t="s">
        <v>1423</v>
      </c>
      <c r="F18" s="367">
        <f>'数据-取费表'!B36</f>
        <v>1.4999999999999999E-2</v>
      </c>
      <c r="G18" s="1854"/>
      <c r="H18" s="1200" t="s">
        <v>1034</v>
      </c>
      <c r="I18" s="347" t="s">
        <v>1434</v>
      </c>
      <c r="J18" s="24">
        <f ca="1">ROUND(J5*M18/(1+'数据-取费表'!C42),2)</f>
        <v>29.39</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890</v>
      </c>
      <c r="D19" s="139" t="s">
        <v>1437</v>
      </c>
      <c r="E19" s="2934"/>
      <c r="F19" s="26"/>
      <c r="G19" s="1851"/>
      <c r="H19" s="1200" t="s">
        <v>1036</v>
      </c>
      <c r="I19" s="347" t="s">
        <v>1438</v>
      </c>
      <c r="J19" s="24">
        <f ca="1">IF(K19="按租金收入计税",ROUND(J5*M19,2),ROUND(C29*M19*0.7,2))</f>
        <v>66.12</v>
      </c>
      <c r="K19" s="1828" t="s">
        <v>3068</v>
      </c>
      <c r="L19" s="347" t="s">
        <v>1423</v>
      </c>
      <c r="M19" s="367">
        <f>IF(K19="按租金收入计税",'数据-取费表'!B51,'数据-取费表'!B50)</f>
        <v>0.12</v>
      </c>
    </row>
    <row r="20" spans="1:37" s="1858" customFormat="1" ht="18" customHeight="1">
      <c r="A20" s="1200" t="s">
        <v>1039</v>
      </c>
      <c r="B20" s="347" t="s">
        <v>1440</v>
      </c>
      <c r="C20" s="24">
        <f ca="1">ROUND(C19*F20,0)</f>
        <v>18</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19.2</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43</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1.3</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0.6</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434</v>
      </c>
      <c r="K25" s="1344" t="s">
        <v>1465</v>
      </c>
      <c r="L25" s="1345"/>
      <c r="M25" s="1346"/>
    </row>
    <row r="26" spans="1:37">
      <c r="A26" s="1200" t="s">
        <v>1034</v>
      </c>
      <c r="B26" s="347" t="s">
        <v>1466</v>
      </c>
      <c r="C26" s="24">
        <f ca="1">ROUND((C19+C20)*F26,0)</f>
        <v>227</v>
      </c>
      <c r="D26" s="369" t="s">
        <v>1467</v>
      </c>
      <c r="E26" s="358" t="s">
        <v>1468</v>
      </c>
      <c r="F26" s="357">
        <f ca="1">INDIRECT("'数据-取费表'!q"&amp;$G$1)</f>
        <v>0.25</v>
      </c>
      <c r="G26" s="1851"/>
      <c r="H26" s="344" t="s">
        <v>1032</v>
      </c>
      <c r="I26" s="345" t="s">
        <v>1469</v>
      </c>
      <c r="J26" s="346">
        <f ca="1">IF(J5&lt;&gt;0,ROUND(J25*(1-((1+M28)/(1+M26))^M27)/(M26-M28),0),0)</f>
        <v>2962</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7.8000000000000007</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1279</v>
      </c>
      <c r="D29" s="1341"/>
      <c r="E29" s="1339"/>
      <c r="F29" s="1342"/>
      <c r="G29" s="1854"/>
      <c r="H29" s="380" t="s">
        <v>1033</v>
      </c>
      <c r="I29" s="381" t="s">
        <v>1480</v>
      </c>
      <c r="J29" s="382">
        <f ca="1">ROUND(J26/(1+F40)^F41,0)</f>
        <v>1541</v>
      </c>
      <c r="K29" s="383" t="s">
        <v>1481</v>
      </c>
      <c r="L29" s="384"/>
      <c r="M29" s="385">
        <f ca="1">INDIRECT("'数据-取费表'!k"&amp;$G$1)</f>
        <v>3165.6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80</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58.9</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18.13</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40.799999999999997</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19.2</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1.7</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0.3</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260</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2383</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12.2</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7528</v>
      </c>
      <c r="D43" s="383" t="s">
        <v>1489</v>
      </c>
      <c r="E43" s="384" t="s">
        <v>1490</v>
      </c>
      <c r="F43" s="385">
        <f ca="1">INDIRECT("'数据-取费表'!k"&amp;$G$1)</f>
        <v>3165.6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-3499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3924</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1279</v>
      </c>
      <c r="R49" s="1886" t="s">
        <v>1530</v>
      </c>
    </row>
    <row r="50" spans="1:18" s="1842" customFormat="1" ht="13.5" thickBot="1">
      <c r="A50" s="1194"/>
      <c r="B50" s="1197"/>
      <c r="C50" s="1367"/>
      <c r="D50" s="1171"/>
      <c r="E50" s="1276" t="s">
        <v>1407</v>
      </c>
      <c r="F50" s="1277">
        <f ca="1">F7</f>
        <v>3165.6</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2093</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3924</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1151</v>
      </c>
      <c r="D56" s="1914"/>
      <c r="E56" s="1915"/>
      <c r="F56" s="1907"/>
      <c r="I56" s="1916" t="s">
        <v>1555</v>
      </c>
      <c r="J56" s="1917" t="s">
        <v>3061</v>
      </c>
      <c r="K56" s="1887" t="s">
        <v>1556</v>
      </c>
      <c r="L56" s="1890" t="str">
        <f ca="1">IF(L48&lt;J51,"——",L48-J53)</f>
        <v>——</v>
      </c>
      <c r="O56" s="1884" t="s">
        <v>1040</v>
      </c>
      <c r="P56" s="1885" t="s">
        <v>1529</v>
      </c>
      <c r="Q56" s="1886">
        <f ca="1">C40+J29</f>
        <v>3924</v>
      </c>
      <c r="R56" s="1886" t="s">
        <v>1530</v>
      </c>
    </row>
    <row r="57" spans="1:18" s="1842" customFormat="1" ht="24.75" thickBot="1">
      <c r="A57" s="1918"/>
      <c r="B57" s="1168" t="s">
        <v>1479</v>
      </c>
      <c r="C57" s="282">
        <f ca="1">C29</f>
        <v>1279</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128</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107.4</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107.44</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3924</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19.2</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1.7</v>
      </c>
      <c r="D65" s="1182" t="s">
        <v>1455</v>
      </c>
      <c r="E65" s="1168" t="s">
        <v>1423</v>
      </c>
      <c r="F65" s="376">
        <f t="shared" ca="1" si="0"/>
        <v>1.5E-3</v>
      </c>
      <c r="I65" s="1929" t="s">
        <v>1580</v>
      </c>
      <c r="J65" s="1930">
        <v>40</v>
      </c>
      <c r="K65" s="1930">
        <v>30</v>
      </c>
      <c r="L65" s="1930">
        <v>50</v>
      </c>
      <c r="M65" s="1932">
        <v>0.02</v>
      </c>
      <c r="O65" s="1884" t="s">
        <v>1040</v>
      </c>
      <c r="P65" s="1885" t="s">
        <v>1529</v>
      </c>
      <c r="Q65" s="1886">
        <f ca="1">C40+J29</f>
        <v>3924</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-128</v>
      </c>
      <c r="D67" s="1181" t="s">
        <v>1465</v>
      </c>
      <c r="E67" s="1186"/>
      <c r="F67" s="1187"/>
      <c r="O67" s="1894" t="s">
        <v>1042</v>
      </c>
      <c r="P67" s="1885" t="s">
        <v>1563</v>
      </c>
      <c r="Q67" s="1933">
        <f ca="1">L51</f>
        <v>2093</v>
      </c>
      <c r="R67" s="1886" t="s">
        <v>1583</v>
      </c>
    </row>
    <row r="68" spans="1:18" s="1842" customFormat="1" ht="16.5" thickBot="1">
      <c r="A68" s="1165" t="s">
        <v>1032</v>
      </c>
      <c r="B68" s="1166" t="s">
        <v>1486</v>
      </c>
      <c r="C68" s="346">
        <f ca="1">ROUND(C67*(1-((1+F70)/(1+F68))^F69)/(F68-F70),0)</f>
        <v>-1116</v>
      </c>
      <c r="D68" s="1183" t="s">
        <v>1470</v>
      </c>
      <c r="E68" s="1168" t="s">
        <v>1471</v>
      </c>
      <c r="F68" s="357">
        <f ca="1">F40</f>
        <v>5.5E-2</v>
      </c>
      <c r="O68" s="1894" t="s">
        <v>1043</v>
      </c>
      <c r="P68" s="1934" t="s">
        <v>1584</v>
      </c>
      <c r="Q68" s="1886">
        <f ca="1">ROUND(Q69-Q70*Q71,0)</f>
        <v>168</v>
      </c>
      <c r="R68" s="1886" t="s">
        <v>1051</v>
      </c>
    </row>
    <row r="69" spans="1:18" s="1842" customFormat="1" ht="13.5" thickBot="1">
      <c r="A69" s="1169"/>
      <c r="B69" s="1170"/>
      <c r="C69" s="351"/>
      <c r="D69" s="1188" t="s">
        <v>1474</v>
      </c>
      <c r="E69" s="1168" t="s">
        <v>1475</v>
      </c>
      <c r="F69" s="379">
        <f ca="1">F41</f>
        <v>12.2</v>
      </c>
      <c r="O69" s="1894" t="s">
        <v>1048</v>
      </c>
      <c r="P69" s="1934" t="s">
        <v>1585</v>
      </c>
      <c r="Q69" s="1886">
        <f ca="1">C39</f>
        <v>260</v>
      </c>
      <c r="R69" s="1886" t="s">
        <v>1530</v>
      </c>
    </row>
    <row r="70" spans="1:18" s="1842" customFormat="1" ht="13.5" thickBot="1">
      <c r="A70" s="1172"/>
      <c r="B70" s="1173"/>
      <c r="C70" s="355"/>
      <c r="D70" s="1184"/>
      <c r="E70" s="1168" t="s">
        <v>1478</v>
      </c>
      <c r="F70" s="1274"/>
      <c r="O70" s="1894" t="s">
        <v>1049</v>
      </c>
      <c r="P70" s="1934" t="s">
        <v>1586</v>
      </c>
      <c r="Q70" s="1886">
        <f ca="1">C13</f>
        <v>1151</v>
      </c>
      <c r="R70" s="1886" t="s">
        <v>1530</v>
      </c>
    </row>
    <row r="71" spans="1:18" s="1842" customFormat="1" ht="13.5" thickBot="1">
      <c r="A71" s="1189" t="s">
        <v>1033</v>
      </c>
      <c r="B71" s="1190" t="s">
        <v>1488</v>
      </c>
      <c r="C71" s="382">
        <f ca="1">ROUND(C68*10000/F71,0)</f>
        <v>-3525</v>
      </c>
      <c r="D71" s="1191" t="s">
        <v>1489</v>
      </c>
      <c r="E71" s="1192" t="s">
        <v>1490</v>
      </c>
      <c r="F71" s="385">
        <f ca="1">F43</f>
        <v>3165.6</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92</v>
      </c>
      <c r="D75" s="1842"/>
      <c r="E75" s="1842"/>
      <c r="F75" s="1842"/>
      <c r="K75" s="1868"/>
      <c r="L75" s="1842"/>
      <c r="O75" s="1884" t="s">
        <v>1046</v>
      </c>
      <c r="P75" s="1885" t="s">
        <v>1550</v>
      </c>
      <c r="Q75" s="1886">
        <f ca="1">Q65+Q66</f>
        <v>3924</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0.64600000000000002</v>
      </c>
    </row>
    <row r="80" spans="1:18">
      <c r="B80" s="386" t="s">
        <v>1512</v>
      </c>
      <c r="C80" s="318">
        <f ca="1">ROUND(C75/C39,3)</f>
        <v>0.35399999999999998</v>
      </c>
    </row>
    <row r="81" spans="2:3">
      <c r="B81" s="314" t="s">
        <v>1513</v>
      </c>
      <c r="C81" s="282"/>
    </row>
    <row r="82" spans="2:3">
      <c r="B82" s="317" t="s">
        <v>1514</v>
      </c>
      <c r="C82" s="319">
        <f ca="1">1-C83</f>
        <v>0.51700000000000002</v>
      </c>
    </row>
    <row r="83" spans="2:3">
      <c r="B83" s="317" t="s">
        <v>1515</v>
      </c>
      <c r="C83" s="318">
        <f ca="1">ROUND(C13/C40,3)</f>
        <v>0.48299999999999998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J1" zoomScale="85" zoomScaleNormal="25" zoomScaleSheetLayoutView="85" workbookViewId="0">
      <selection activeCell="L18" sqref="L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3092</v>
      </c>
      <c r="D1" s="1820" t="s">
        <v>70</v>
      </c>
      <c r="E1" s="1821" t="s">
        <v>1388</v>
      </c>
      <c r="F1" s="1282">
        <f ca="1">J53</f>
        <v>20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31948</v>
      </c>
      <c r="C2" s="1845" t="s">
        <v>1517</v>
      </c>
      <c r="D2" s="1845"/>
      <c r="E2" s="1846"/>
      <c r="F2" s="1847"/>
      <c r="G2" s="1848"/>
      <c r="H2" s="1840"/>
      <c r="I2" s="1840"/>
      <c r="J2" s="1840"/>
      <c r="K2" s="1841"/>
      <c r="L2" s="1840"/>
      <c r="M2" s="1840"/>
    </row>
    <row r="3" spans="1:37" ht="18" customHeight="1" thickBot="1">
      <c r="A3" s="1849" t="s">
        <v>1518</v>
      </c>
      <c r="B3" s="1850">
        <f ca="1">IF(ISERROR(B2*10000/F43),0,ROUND(B2*10000/F43,0))</f>
        <v>9220</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3238</v>
      </c>
      <c r="D5" s="1822" t="s">
        <v>1403</v>
      </c>
      <c r="E5" s="1292"/>
      <c r="F5" s="1293"/>
      <c r="G5" s="1851"/>
      <c r="H5" s="344">
        <v>1</v>
      </c>
      <c r="I5" s="345" t="s">
        <v>1402</v>
      </c>
      <c r="J5" s="1291">
        <f ca="1">J6+J10+J12</f>
        <v>7522</v>
      </c>
      <c r="K5" s="1822" t="s">
        <v>1403</v>
      </c>
      <c r="L5" s="1292"/>
      <c r="M5" s="1293"/>
    </row>
    <row r="6" spans="1:37" ht="18" customHeight="1">
      <c r="A6" s="1290" t="s">
        <v>1035</v>
      </c>
      <c r="B6" s="3159" t="s">
        <v>1404</v>
      </c>
      <c r="C6" s="1295">
        <f ca="1">ROUND(F6*F8*F7*(1-F9)/10000,0)</f>
        <v>3238</v>
      </c>
      <c r="D6" s="164" t="s">
        <v>3037</v>
      </c>
      <c r="E6" s="347" t="s">
        <v>1406</v>
      </c>
      <c r="F6" s="348">
        <f ca="1">INDIRECT("'数据-取费表'!u"&amp;$G$1)</f>
        <v>2.56</v>
      </c>
      <c r="G6" s="1851"/>
      <c r="H6" s="1290" t="s">
        <v>1035</v>
      </c>
      <c r="I6" s="3159" t="s">
        <v>1404</v>
      </c>
      <c r="J6" s="346">
        <f ca="1">ROUND(M6*M8*M7*(1-M9)/10000,0)</f>
        <v>7522</v>
      </c>
      <c r="K6" s="164" t="s">
        <v>3036</v>
      </c>
      <c r="L6" s="347" t="s">
        <v>1406</v>
      </c>
      <c r="M6" s="348">
        <f ca="1">INDIRECT("'数据-取费表'!z"&amp;$G$1)</f>
        <v>6.26</v>
      </c>
    </row>
    <row r="7" spans="1:37" ht="18" customHeight="1">
      <c r="A7" s="1294"/>
      <c r="B7" s="3160"/>
      <c r="C7" s="1296"/>
      <c r="D7" s="352"/>
      <c r="E7" s="2936" t="s">
        <v>1407</v>
      </c>
      <c r="F7" s="348">
        <f ca="1">IF(INDIRECT("'数据-取费表'!ah"&amp;$G$1)="",INDIRECT("'数据-取费表'!k"&amp;$G$1),INDIRECT("'数据-取费表'!ah"&amp;$G$1))</f>
        <v>34651.310000000005</v>
      </c>
      <c r="G7" s="1851"/>
      <c r="H7" s="349"/>
      <c r="I7" s="3160"/>
      <c r="J7" s="351"/>
      <c r="K7" s="352"/>
      <c r="L7" s="347" t="s">
        <v>1407</v>
      </c>
      <c r="M7" s="348">
        <f ca="1">F7</f>
        <v>34651.310000000005</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12608</v>
      </c>
      <c r="D13" s="1330" t="s">
        <v>1416</v>
      </c>
      <c r="E13" s="1330" t="s">
        <v>1417</v>
      </c>
      <c r="F13" s="1331">
        <f ca="1">INDIRECT("'数据-取费表'!y"&amp;$G$1)</f>
        <v>0.9</v>
      </c>
      <c r="G13" s="1851"/>
      <c r="H13" s="1328">
        <v>2</v>
      </c>
      <c r="I13" s="1329" t="s">
        <v>1415</v>
      </c>
      <c r="J13" s="1289">
        <f ca="1">ROUND(J14*J15,0)</f>
        <v>8405</v>
      </c>
      <c r="K13" s="1336" t="s">
        <v>1416</v>
      </c>
      <c r="L13" s="1852"/>
      <c r="M13" s="1853"/>
    </row>
    <row r="14" spans="1:37" ht="18" customHeight="1">
      <c r="A14" s="1200" t="s">
        <v>1034</v>
      </c>
      <c r="B14" s="347" t="s">
        <v>1418</v>
      </c>
      <c r="C14" s="363">
        <f ca="1">INDIRECT("'数据-取费表'!m"&amp;$G$1)+INDIRECT("'数据-取费表'!t"&amp;$G$1)</f>
        <v>8663</v>
      </c>
      <c r="D14" s="2930" t="s">
        <v>1419</v>
      </c>
      <c r="E14" s="2928"/>
      <c r="F14" s="364"/>
      <c r="G14" s="1851"/>
      <c r="H14" s="1200" t="s">
        <v>1035</v>
      </c>
      <c r="I14" s="347" t="s">
        <v>1420</v>
      </c>
      <c r="J14" s="24">
        <f ca="1">C29</f>
        <v>14009</v>
      </c>
      <c r="K14" s="2935"/>
      <c r="L14" s="978"/>
      <c r="M14" s="979"/>
    </row>
    <row r="15" spans="1:37" s="1858" customFormat="1" ht="18" customHeight="1" thickBot="1">
      <c r="A15" s="1200" t="s">
        <v>1036</v>
      </c>
      <c r="B15" s="347" t="s">
        <v>1421</v>
      </c>
      <c r="C15" s="24">
        <f ca="1">ROUND(C14*F15,0)</f>
        <v>260</v>
      </c>
      <c r="D15" s="365" t="s">
        <v>1422</v>
      </c>
      <c r="E15" s="365" t="s">
        <v>1423</v>
      </c>
      <c r="F15" s="366">
        <f>'数据-取费表'!B33</f>
        <v>0.03</v>
      </c>
      <c r="G15" s="1854"/>
      <c r="H15" s="1338" t="s">
        <v>1039</v>
      </c>
      <c r="I15" s="1339" t="s">
        <v>1417</v>
      </c>
      <c r="J15" s="1348">
        <f ca="1">INDIRECT("'数据-取费表'!ad"&amp;$G$1)</f>
        <v>0.6</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1534</v>
      </c>
      <c r="K16" s="1336" t="s">
        <v>1426</v>
      </c>
      <c r="L16" s="2931"/>
      <c r="M16" s="1293"/>
    </row>
    <row r="17" spans="1:37" s="1858" customFormat="1" ht="18" customHeight="1">
      <c r="A17" s="1200" t="s">
        <v>1391</v>
      </c>
      <c r="B17" s="347" t="s">
        <v>1427</v>
      </c>
      <c r="C17" s="24">
        <f ca="1">ROUND(F17*(F43+INDIRECT("'数据-取费表'!S"&amp;$G$1))/10000,0)</f>
        <v>693</v>
      </c>
      <c r="D17" s="347" t="s">
        <v>1428</v>
      </c>
      <c r="E17" s="347" t="s">
        <v>1429</v>
      </c>
      <c r="F17" s="26">
        <f>'数据-取费表'!B35</f>
        <v>200</v>
      </c>
      <c r="G17" s="1854"/>
      <c r="H17" s="1200" t="s">
        <v>1035</v>
      </c>
      <c r="I17" s="347" t="s">
        <v>1430</v>
      </c>
      <c r="J17" s="24">
        <f ca="1">ROUND(IF(项目基本情况!B11="自然人",J5*M17,J18+J19+J20),1)</f>
        <v>1303.8</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130</v>
      </c>
      <c r="D18" s="347" t="s">
        <v>1422</v>
      </c>
      <c r="E18" s="347" t="s">
        <v>1423</v>
      </c>
      <c r="F18" s="367">
        <f>'数据-取费表'!B36</f>
        <v>1.4999999999999999E-2</v>
      </c>
      <c r="G18" s="1854"/>
      <c r="H18" s="1200" t="s">
        <v>1034</v>
      </c>
      <c r="I18" s="347" t="s">
        <v>1434</v>
      </c>
      <c r="J18" s="24">
        <f ca="1">ROUND(J5*M18/(1+'数据-取费表'!C42),2)</f>
        <v>401.17</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9746</v>
      </c>
      <c r="D19" s="139" t="s">
        <v>1437</v>
      </c>
      <c r="E19" s="2934"/>
      <c r="F19" s="26"/>
      <c r="G19" s="1851"/>
      <c r="H19" s="1200" t="s">
        <v>1036</v>
      </c>
      <c r="I19" s="347" t="s">
        <v>1438</v>
      </c>
      <c r="J19" s="24">
        <f ca="1">IF(K19="按租金收入计税",ROUND(J5*M19,2),ROUND(C29*M19*0.7,2))</f>
        <v>902.64</v>
      </c>
      <c r="K19" s="1828" t="s">
        <v>3068</v>
      </c>
      <c r="L19" s="347" t="s">
        <v>1423</v>
      </c>
      <c r="M19" s="367">
        <f>IF(K19="按租金收入计税",'数据-取费表'!B51,'数据-取费表'!B50)</f>
        <v>0.12</v>
      </c>
    </row>
    <row r="20" spans="1:37" s="1858" customFormat="1" ht="18" customHeight="1">
      <c r="A20" s="1200" t="s">
        <v>1039</v>
      </c>
      <c r="B20" s="347" t="s">
        <v>1440</v>
      </c>
      <c r="C20" s="24">
        <f ca="1">ROUND(C19*F20,0)</f>
        <v>195</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210.1</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472</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12.6</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7.5</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5988</v>
      </c>
      <c r="K25" s="1344" t="s">
        <v>1465</v>
      </c>
      <c r="L25" s="1345"/>
      <c r="M25" s="1346"/>
    </row>
    <row r="26" spans="1:37">
      <c r="A26" s="1200" t="s">
        <v>1034</v>
      </c>
      <c r="B26" s="347" t="s">
        <v>1466</v>
      </c>
      <c r="C26" s="24">
        <f ca="1">ROUND((C19+C20)*F26,0)</f>
        <v>2485</v>
      </c>
      <c r="D26" s="369" t="s">
        <v>1467</v>
      </c>
      <c r="E26" s="358" t="s">
        <v>1468</v>
      </c>
      <c r="F26" s="357">
        <f ca="1">INDIRECT("'数据-取费表'!q"&amp;$G$1)</f>
        <v>0.25</v>
      </c>
      <c r="G26" s="1851"/>
      <c r="H26" s="344" t="s">
        <v>1032</v>
      </c>
      <c r="I26" s="345" t="s">
        <v>1469</v>
      </c>
      <c r="J26" s="346">
        <f ca="1">IF(J5&lt;&gt;0,ROUND(J25*(1-((1+M28)/(1+M26))^M27)/(M26-M28),0),0)</f>
        <v>2002</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0.35000000000000142</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14009</v>
      </c>
      <c r="D29" s="1341"/>
      <c r="E29" s="1339"/>
      <c r="F29" s="1342"/>
      <c r="G29" s="1854"/>
      <c r="H29" s="380" t="s">
        <v>1033</v>
      </c>
      <c r="I29" s="381" t="s">
        <v>1480</v>
      </c>
      <c r="J29" s="382">
        <f ca="1">ROUND(J26/(1+F40)^F41,0)</f>
        <v>699</v>
      </c>
      <c r="K29" s="383" t="s">
        <v>1481</v>
      </c>
      <c r="L29" s="384"/>
      <c r="M29" s="385">
        <f ca="1">INDIRECT("'数据-取费表'!k"&amp;$G$1)</f>
        <v>34651.310000000005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794</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561.29999999999995</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172.69</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388.56</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210.1</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18.899999999999999</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3.2</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2444</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31249</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19.649999999999999</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9018</v>
      </c>
      <c r="D43" s="383" t="s">
        <v>1489</v>
      </c>
      <c r="E43" s="384" t="s">
        <v>1490</v>
      </c>
      <c r="F43" s="385">
        <f ca="1">INDIRECT("'数据-取费表'!k"&amp;$G$1)</f>
        <v>34651.310000000005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-47886</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31948</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14009</v>
      </c>
      <c r="R49" s="1886" t="s">
        <v>1530</v>
      </c>
    </row>
    <row r="50" spans="1:18" s="1842" customFormat="1" ht="13.5" thickBot="1">
      <c r="A50" s="1194"/>
      <c r="B50" s="1197"/>
      <c r="C50" s="1367"/>
      <c r="D50" s="1171"/>
      <c r="E50" s="1276" t="s">
        <v>1407</v>
      </c>
      <c r="F50" s="1277">
        <f ca="1">F7</f>
        <v>34651.310000000005</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17888</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31948</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12608</v>
      </c>
      <c r="D56" s="1914"/>
      <c r="E56" s="1915"/>
      <c r="F56" s="1907"/>
      <c r="I56" s="1916" t="s">
        <v>1555</v>
      </c>
      <c r="J56" s="1917" t="s">
        <v>3061</v>
      </c>
      <c r="K56" s="1887" t="s">
        <v>1556</v>
      </c>
      <c r="L56" s="1890" t="str">
        <f ca="1">IF(L48&lt;J51,"——",L48-J53)</f>
        <v>——</v>
      </c>
      <c r="O56" s="1884" t="s">
        <v>1040</v>
      </c>
      <c r="P56" s="1885" t="s">
        <v>1529</v>
      </c>
      <c r="Q56" s="1886">
        <f ca="1">C40+J29</f>
        <v>31948</v>
      </c>
      <c r="R56" s="1886" t="s">
        <v>1530</v>
      </c>
    </row>
    <row r="57" spans="1:18" s="1842" customFormat="1" ht="24.75" thickBot="1">
      <c r="A57" s="1918"/>
      <c r="B57" s="1168" t="s">
        <v>1479</v>
      </c>
      <c r="C57" s="282">
        <f ca="1">C29</f>
        <v>14009</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1406</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1176.8</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1176.76</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31948</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210.1</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18.899999999999999</v>
      </c>
      <c r="D65" s="1182" t="s">
        <v>1455</v>
      </c>
      <c r="E65" s="1168" t="s">
        <v>1423</v>
      </c>
      <c r="F65" s="376">
        <f t="shared" ca="1" si="0"/>
        <v>1.5E-3</v>
      </c>
      <c r="I65" s="1929" t="s">
        <v>1580</v>
      </c>
      <c r="J65" s="1930">
        <v>40</v>
      </c>
      <c r="K65" s="1930">
        <v>30</v>
      </c>
      <c r="L65" s="1930">
        <v>50</v>
      </c>
      <c r="M65" s="1932">
        <v>0.02</v>
      </c>
      <c r="O65" s="1884" t="s">
        <v>1040</v>
      </c>
      <c r="P65" s="1885" t="s">
        <v>1529</v>
      </c>
      <c r="Q65" s="1886">
        <f ca="1">C40+J29</f>
        <v>31948</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-1406</v>
      </c>
      <c r="D67" s="1181" t="s">
        <v>1465</v>
      </c>
      <c r="E67" s="1186"/>
      <c r="F67" s="1187"/>
      <c r="O67" s="1894" t="s">
        <v>1042</v>
      </c>
      <c r="P67" s="1885" t="s">
        <v>1563</v>
      </c>
      <c r="Q67" s="1933">
        <f ca="1">L51</f>
        <v>17888</v>
      </c>
      <c r="R67" s="1886" t="s">
        <v>1583</v>
      </c>
    </row>
    <row r="68" spans="1:18" s="1842" customFormat="1" ht="16.5" thickBot="1">
      <c r="A68" s="1165" t="s">
        <v>1032</v>
      </c>
      <c r="B68" s="1166" t="s">
        <v>1486</v>
      </c>
      <c r="C68" s="346">
        <f ca="1">ROUND(C67*(1-((1+F70)/(1+F68))^F69)/(F68-F70),0)</f>
        <v>-16637</v>
      </c>
      <c r="D68" s="1183" t="s">
        <v>1470</v>
      </c>
      <c r="E68" s="1168" t="s">
        <v>1471</v>
      </c>
      <c r="F68" s="357">
        <f ca="1">F40</f>
        <v>5.5E-2</v>
      </c>
      <c r="O68" s="1894" t="s">
        <v>1043</v>
      </c>
      <c r="P68" s="1934" t="s">
        <v>1584</v>
      </c>
      <c r="Q68" s="1886">
        <f ca="1">ROUND(Q69-Q70*Q71,0)</f>
        <v>1435</v>
      </c>
      <c r="R68" s="1886" t="s">
        <v>1051</v>
      </c>
    </row>
    <row r="69" spans="1:18" s="1842" customFormat="1" ht="13.5" thickBot="1">
      <c r="A69" s="1169"/>
      <c r="B69" s="1170"/>
      <c r="C69" s="351"/>
      <c r="D69" s="1188" t="s">
        <v>1474</v>
      </c>
      <c r="E69" s="1168" t="s">
        <v>1475</v>
      </c>
      <c r="F69" s="379">
        <f ca="1">F41</f>
        <v>19.649999999999999</v>
      </c>
      <c r="O69" s="1894" t="s">
        <v>1048</v>
      </c>
      <c r="P69" s="1934" t="s">
        <v>1585</v>
      </c>
      <c r="Q69" s="1886">
        <f ca="1">C39</f>
        <v>2444</v>
      </c>
      <c r="R69" s="1886" t="s">
        <v>1530</v>
      </c>
    </row>
    <row r="70" spans="1:18" s="1842" customFormat="1" ht="13.5" thickBot="1">
      <c r="A70" s="1172"/>
      <c r="B70" s="1173"/>
      <c r="C70" s="355"/>
      <c r="D70" s="1184"/>
      <c r="E70" s="1168" t="s">
        <v>1478</v>
      </c>
      <c r="F70" s="1274"/>
      <c r="O70" s="1894" t="s">
        <v>1049</v>
      </c>
      <c r="P70" s="1934" t="s">
        <v>1586</v>
      </c>
      <c r="Q70" s="1886">
        <f ca="1">C13</f>
        <v>12608</v>
      </c>
      <c r="R70" s="1886" t="s">
        <v>1530</v>
      </c>
    </row>
    <row r="71" spans="1:18" s="1842" customFormat="1" ht="13.5" thickBot="1">
      <c r="A71" s="1189" t="s">
        <v>1033</v>
      </c>
      <c r="B71" s="1190" t="s">
        <v>1488</v>
      </c>
      <c r="C71" s="382">
        <f ca="1">ROUND(C68*10000/F71,0)</f>
        <v>-4801</v>
      </c>
      <c r="D71" s="1191" t="s">
        <v>1489</v>
      </c>
      <c r="E71" s="1192" t="s">
        <v>1490</v>
      </c>
      <c r="F71" s="385">
        <f ca="1">F43</f>
        <v>34651.310000000005</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1009</v>
      </c>
      <c r="D75" s="1842"/>
      <c r="E75" s="1842"/>
      <c r="F75" s="1842"/>
      <c r="K75" s="1868"/>
      <c r="L75" s="1842"/>
      <c r="O75" s="1884" t="s">
        <v>1046</v>
      </c>
      <c r="P75" s="1885" t="s">
        <v>1550</v>
      </c>
      <c r="Q75" s="1886">
        <f ca="1">Q65+Q66</f>
        <v>31948</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0.58699999999999997</v>
      </c>
    </row>
    <row r="80" spans="1:18">
      <c r="B80" s="386" t="s">
        <v>1512</v>
      </c>
      <c r="C80" s="318">
        <f ca="1">ROUND(C75/C39,3)</f>
        <v>0.41299999999999998</v>
      </c>
    </row>
    <row r="81" spans="2:3">
      <c r="B81" s="314" t="s">
        <v>1513</v>
      </c>
      <c r="C81" s="282"/>
    </row>
    <row r="82" spans="2:3">
      <c r="B82" s="317" t="s">
        <v>1514</v>
      </c>
      <c r="C82" s="319">
        <f ca="1">1-C83</f>
        <v>0.59699999999999998</v>
      </c>
    </row>
    <row r="83" spans="2:3">
      <c r="B83" s="317" t="s">
        <v>1515</v>
      </c>
      <c r="C83" s="318">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1">
        <f ca="1">C6+C10+C12</f>
        <v>0</v>
      </c>
      <c r="D5" s="1822" t="s">
        <v>1602</v>
      </c>
      <c r="E5" s="1292"/>
      <c r="F5" s="1293"/>
      <c r="G5" s="1851"/>
      <c r="H5" s="344">
        <v>1</v>
      </c>
      <c r="I5" s="345" t="s">
        <v>1601</v>
      </c>
      <c r="J5" s="1291">
        <f ca="1">J6+J10+J12</f>
        <v>0</v>
      </c>
      <c r="K5" s="1822" t="s">
        <v>1602</v>
      </c>
      <c r="L5" s="1292"/>
      <c r="M5" s="1293"/>
    </row>
    <row r="6" spans="1:37" ht="18" customHeight="1">
      <c r="A6" s="1290" t="s">
        <v>1035</v>
      </c>
      <c r="B6" s="3159" t="s">
        <v>1404</v>
      </c>
      <c r="C6" s="1295">
        <f ca="1">ROUND(F6*F8*F7*(1-F9),0)</f>
        <v>0</v>
      </c>
      <c r="D6" s="164" t="s">
        <v>3032</v>
      </c>
      <c r="E6" s="347" t="s">
        <v>1406</v>
      </c>
      <c r="F6" s="348">
        <f ca="1">INDIRECT("'数据-取费表'!u"&amp;$G$1)</f>
        <v>0</v>
      </c>
      <c r="G6" s="1851"/>
      <c r="H6" s="1290" t="s">
        <v>1035</v>
      </c>
      <c r="I6" s="3159" t="s">
        <v>1404</v>
      </c>
      <c r="J6" s="346">
        <f ca="1">ROUND(M6*M8*M7*(1-M9),0)</f>
        <v>0</v>
      </c>
      <c r="K6" s="1834" t="s">
        <v>3035</v>
      </c>
      <c r="L6" s="347" t="s">
        <v>1406</v>
      </c>
      <c r="M6" s="348">
        <f ca="1">INDIRECT("'数据-取费表'!z"&amp;$G$1)</f>
        <v>0</v>
      </c>
    </row>
    <row r="7" spans="1:37" ht="18" customHeight="1">
      <c r="A7" s="1294"/>
      <c r="B7" s="3160"/>
      <c r="C7" s="1296"/>
      <c r="D7" s="352"/>
      <c r="E7" s="1297" t="s">
        <v>1407</v>
      </c>
      <c r="F7" s="348">
        <f ca="1">IF(INDIRECT("'数据-取费表'!ah"&amp;$G$1)="",INDIRECT("'数据-取费表'!k"&amp;$G$1),INDIRECT("'数据-取费表'!ah"&amp;$G$1))</f>
        <v>0</v>
      </c>
      <c r="G7" s="1851"/>
      <c r="H7" s="349"/>
      <c r="I7" s="3160"/>
      <c r="J7" s="351"/>
      <c r="K7" s="352"/>
      <c r="L7" s="347" t="s">
        <v>1407</v>
      </c>
      <c r="M7" s="348">
        <f ca="1">F7</f>
        <v>0</v>
      </c>
    </row>
    <row r="8" spans="1:37" ht="18" customHeight="1">
      <c r="A8" s="349"/>
      <c r="B8" s="3160"/>
      <c r="C8" s="351"/>
      <c r="D8" s="352"/>
      <c r="E8" s="347" t="s">
        <v>1408</v>
      </c>
      <c r="F8" s="348">
        <f ca="1">INDIRECT("'数据-取费表'!ai"&amp;$G$1)</f>
        <v>0</v>
      </c>
      <c r="G8" s="1851"/>
      <c r="H8" s="349"/>
      <c r="I8" s="3160"/>
      <c r="J8" s="351"/>
      <c r="K8" s="352"/>
      <c r="L8" s="347" t="s">
        <v>1408</v>
      </c>
      <c r="M8" s="348">
        <f ca="1">INDIRECT("'数据-取费表'!ai"&amp;$G$1)</f>
        <v>0</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3033</v>
      </c>
      <c r="E10" s="358" t="s">
        <v>1412</v>
      </c>
      <c r="F10" s="1365"/>
      <c r="G10" s="1851"/>
      <c r="H10" s="1290" t="s">
        <v>1039</v>
      </c>
      <c r="I10" s="1823" t="s">
        <v>1410</v>
      </c>
      <c r="J10" s="346">
        <f ca="1">ROUND(IF(M10="押一",M6*M8*M7/12*M11,IF(M10="押二",M6*M8*M7/12*2*M11,IF(M10="押三",M6*M8*M7/12*3*M11,J11*M11))),0)</f>
        <v>0</v>
      </c>
      <c r="K10" s="1835" t="s">
        <v>3034</v>
      </c>
      <c r="L10" s="358" t="s">
        <v>1412</v>
      </c>
      <c r="M10" s="1365"/>
    </row>
    <row r="11" spans="1:37" ht="18" customHeight="1">
      <c r="A11" s="353"/>
      <c r="B11" s="1825" t="s">
        <v>1603</v>
      </c>
      <c r="C11" s="1177"/>
      <c r="D11" s="352"/>
      <c r="E11" s="358" t="s">
        <v>1413</v>
      </c>
      <c r="F11" s="359">
        <f ca="1">'数据-取费表'!B39</f>
        <v>1.4999999999999999E-2</v>
      </c>
      <c r="G11" s="1851"/>
      <c r="H11" s="1298"/>
      <c r="I11" s="1825" t="s">
        <v>1604</v>
      </c>
      <c r="J11" s="1177"/>
      <c r="K11" s="748"/>
      <c r="L11" s="358" t="s">
        <v>1413</v>
      </c>
      <c r="M11" s="1055">
        <f ca="1">'数据-取费表'!B39</f>
        <v>1.4999999999999999E-2</v>
      </c>
    </row>
    <row r="12" spans="1:37" ht="18"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thickTop="1">
      <c r="A13" s="1328">
        <v>2</v>
      </c>
      <c r="B13" s="1329" t="s">
        <v>1415</v>
      </c>
      <c r="C13" s="355">
        <f ca="1">ROUND(C29*F13,0)</f>
        <v>0</v>
      </c>
      <c r="D13" s="1330" t="s">
        <v>1416</v>
      </c>
      <c r="E13" s="1330" t="s">
        <v>1417</v>
      </c>
      <c r="F13" s="1331">
        <f ca="1">INDIRECT("'数据-取费表'!y"&amp;$G$1)</f>
        <v>0</v>
      </c>
      <c r="G13" s="1851"/>
      <c r="H13" s="1328">
        <v>2</v>
      </c>
      <c r="I13" s="1329" t="s">
        <v>1415</v>
      </c>
      <c r="J13" s="1289">
        <f ca="1">ROUND(J14*J15,0)</f>
        <v>0</v>
      </c>
      <c r="K13" s="1336" t="s">
        <v>1416</v>
      </c>
      <c r="L13" s="1852"/>
      <c r="M13" s="1853"/>
    </row>
    <row r="14" spans="1:37" ht="18" customHeight="1">
      <c r="A14" s="1200" t="s">
        <v>1034</v>
      </c>
      <c r="B14" s="347" t="s">
        <v>1418</v>
      </c>
      <c r="C14" s="363">
        <f ca="1">ROUND(INDIRECT("'数据-取费表'!l"&amp;$G$1)*F43+'数据-取费表'!L14*INDIRECT("'数据-取费表'!S"&amp;$G$1),0)</f>
        <v>0</v>
      </c>
      <c r="D14" s="1800" t="s">
        <v>1419</v>
      </c>
      <c r="E14" s="1794"/>
      <c r="F14" s="364"/>
      <c r="G14" s="1851"/>
      <c r="H14" s="1200" t="s">
        <v>1035</v>
      </c>
      <c r="I14" s="347" t="s">
        <v>1420</v>
      </c>
      <c r="J14" s="24">
        <f ca="1">C29</f>
        <v>0</v>
      </c>
      <c r="K14" s="15"/>
      <c r="L14" s="978"/>
      <c r="M14" s="979"/>
    </row>
    <row r="15" spans="1:37" s="1858" customFormat="1" ht="18" customHeight="1" thickBot="1">
      <c r="A15" s="1200" t="s">
        <v>1036</v>
      </c>
      <c r="B15" s="347" t="s">
        <v>1421</v>
      </c>
      <c r="C15" s="24">
        <f ca="1">ROUND(C14*F15,0)</f>
        <v>0</v>
      </c>
      <c r="D15" s="365" t="s">
        <v>1422</v>
      </c>
      <c r="E15" s="365" t="s">
        <v>1423</v>
      </c>
      <c r="F15" s="366">
        <f>'数据-取费表'!B33</f>
        <v>0.03</v>
      </c>
      <c r="G15" s="1854"/>
      <c r="H15" s="1338" t="s">
        <v>1039</v>
      </c>
      <c r="I15" s="1339" t="s">
        <v>1417</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ROUND(INDIRECT("'数据-取费表'!l"&amp;$G$1)*F43*F16,0)</f>
        <v>0</v>
      </c>
      <c r="D16" s="347" t="s">
        <v>1422</v>
      </c>
      <c r="E16" s="347" t="s">
        <v>1423</v>
      </c>
      <c r="F16" s="367">
        <f ca="1">IF(INDIRECT("'数据-取费表'!c"&amp;$G$1)="住宅",'数据-取费表'!B34,0)</f>
        <v>0</v>
      </c>
      <c r="G16" s="1851"/>
      <c r="H16" s="1328" t="s">
        <v>1030</v>
      </c>
      <c r="I16" s="1329" t="s">
        <v>1425</v>
      </c>
      <c r="J16" s="355">
        <f ca="1">ROUND(J17+J22+J23+J24,0)</f>
        <v>0</v>
      </c>
      <c r="K16" s="1336" t="s">
        <v>1426</v>
      </c>
      <c r="L16" s="1337"/>
      <c r="M16" s="1293"/>
    </row>
    <row r="17" spans="1:37" s="1858" customFormat="1" ht="18" customHeight="1">
      <c r="A17" s="1200" t="s">
        <v>1391</v>
      </c>
      <c r="B17" s="347" t="s">
        <v>1427</v>
      </c>
      <c r="C17" s="24">
        <f ca="1">ROUND(F17*(F43+INDIRECT("'数据-取费表'!S"&amp;$G$1)),0)</f>
        <v>0</v>
      </c>
      <c r="D17" s="347" t="s">
        <v>1428</v>
      </c>
      <c r="E17" s="347" t="s">
        <v>1429</v>
      </c>
      <c r="F17" s="26">
        <f>'数据-取费表'!B35</f>
        <v>200</v>
      </c>
      <c r="G17" s="1854"/>
      <c r="H17" s="1200"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0</v>
      </c>
      <c r="D18" s="347" t="s">
        <v>1422</v>
      </c>
      <c r="E18" s="347" t="s">
        <v>1423</v>
      </c>
      <c r="F18" s="367">
        <f>'数据-取费表'!B36</f>
        <v>1.4999999999999999E-2</v>
      </c>
      <c r="G18" s="1854"/>
      <c r="H18" s="1200" t="s">
        <v>1034</v>
      </c>
      <c r="I18" s="347" t="s">
        <v>1434</v>
      </c>
      <c r="J18" s="24">
        <f ca="1">ROUND(J5*M18/(1+'数据-取费表'!C42),0)</f>
        <v>0</v>
      </c>
      <c r="K18" s="1798"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0</v>
      </c>
      <c r="D19" s="139" t="s">
        <v>1437</v>
      </c>
      <c r="E19" s="1818"/>
      <c r="F19" s="26"/>
      <c r="G19" s="1851"/>
      <c r="H19" s="1200"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0" t="s">
        <v>1039</v>
      </c>
      <c r="B20" s="347" t="s">
        <v>1440</v>
      </c>
      <c r="C20" s="24">
        <f ca="1">ROUND(C19*F20,0)</f>
        <v>0</v>
      </c>
      <c r="D20" s="369" t="s">
        <v>1441</v>
      </c>
      <c r="E20" s="347" t="s">
        <v>1423</v>
      </c>
      <c r="F20" s="367">
        <f>'数据-取费表'!B37</f>
        <v>0.02</v>
      </c>
      <c r="G20" s="1854"/>
      <c r="H20" s="1200" t="s">
        <v>1390</v>
      </c>
      <c r="I20" s="164" t="s">
        <v>1442</v>
      </c>
      <c r="J20" s="25">
        <f ca="1">ROUND(M20*M21,0)</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1818"/>
      <c r="F22" s="26"/>
      <c r="G22" s="1851"/>
      <c r="H22" s="1200" t="s">
        <v>1039</v>
      </c>
      <c r="I22" s="347" t="s">
        <v>1450</v>
      </c>
      <c r="J22" s="24">
        <f ca="1">ROUND(J14*M22,0)</f>
        <v>0</v>
      </c>
      <c r="K22" s="1798" t="s">
        <v>1451</v>
      </c>
      <c r="L22" s="347" t="s">
        <v>1423</v>
      </c>
      <c r="M22" s="374">
        <f ca="1">INDIRECT("'数据-取费表'!Ak"&amp;$G$1)</f>
        <v>0</v>
      </c>
    </row>
    <row r="23" spans="1:37" s="1858" customFormat="1" ht="18" customHeight="1">
      <c r="A23" s="1200"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1394</v>
      </c>
      <c r="I24" s="1339" t="s">
        <v>1440</v>
      </c>
      <c r="J24" s="1340">
        <f ca="1">ROUND(J5*M24,0)</f>
        <v>0</v>
      </c>
      <c r="K24" s="1341" t="s">
        <v>1460</v>
      </c>
      <c r="L24" s="1339" t="s">
        <v>1456</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1461</v>
      </c>
      <c r="B25" s="347" t="s">
        <v>1462</v>
      </c>
      <c r="C25" s="24"/>
      <c r="D25" s="139" t="s">
        <v>1463</v>
      </c>
      <c r="E25" s="1818"/>
      <c r="F25" s="26"/>
      <c r="G25" s="1851"/>
      <c r="H25" s="1328" t="s">
        <v>1031</v>
      </c>
      <c r="I25" s="1343" t="s">
        <v>1464</v>
      </c>
      <c r="J25" s="355">
        <f ca="1">J5-J16</f>
        <v>0</v>
      </c>
      <c r="K25" s="1344" t="s">
        <v>1465</v>
      </c>
      <c r="L25" s="1345"/>
      <c r="M25" s="1346"/>
    </row>
    <row r="26" spans="1:37" ht="18" customHeight="1">
      <c r="A26" s="1200"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0"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0</v>
      </c>
      <c r="D29" s="1341"/>
      <c r="E29" s="1339"/>
      <c r="F29" s="1342"/>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0</v>
      </c>
      <c r="D30" s="1336" t="s">
        <v>1426</v>
      </c>
      <c r="E30" s="1337"/>
      <c r="F30" s="1293"/>
      <c r="G30" s="1851"/>
      <c r="H30" s="745"/>
      <c r="I30" s="746"/>
      <c r="J30" s="747"/>
      <c r="K30" s="748"/>
      <c r="L30" s="749"/>
      <c r="M30" s="750"/>
    </row>
    <row r="31" spans="1:37" ht="18" customHeight="1">
      <c r="A31" s="1200"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IF(项目基本情况!B11="自然人","——",ROUND(C5*F32/(1+'数据-取费表'!C42),0))</f>
        <v>0</v>
      </c>
      <c r="D32" s="1798"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0" t="s">
        <v>1390</v>
      </c>
      <c r="B34" s="164" t="s">
        <v>1442</v>
      </c>
      <c r="C34" s="25">
        <f ca="1">IF(项目基本情况!B11="自然人","——",ROUND(F34*F35,))</f>
        <v>0</v>
      </c>
      <c r="D34" s="370" t="s">
        <v>1443</v>
      </c>
      <c r="E34" s="347" t="s">
        <v>1444</v>
      </c>
      <c r="F34" s="371">
        <f>'数据-取费表'!B52</f>
        <v>0</v>
      </c>
      <c r="G34" s="1851"/>
      <c r="H34" s="745"/>
      <c r="I34" s="1860"/>
      <c r="J34" s="1861"/>
      <c r="K34" s="1863"/>
      <c r="L34" s="1864"/>
      <c r="M34" s="1864"/>
    </row>
    <row r="35" spans="1:18" ht="18"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0"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8" t="s">
        <v>1394</v>
      </c>
      <c r="B38" s="1339" t="s">
        <v>1440</v>
      </c>
      <c r="C38" s="1340">
        <f ca="1">ROUND(C5*F38,1)</f>
        <v>0</v>
      </c>
      <c r="D38" s="1341" t="s">
        <v>1460</v>
      </c>
      <c r="E38" s="1339" t="s">
        <v>1456</v>
      </c>
      <c r="F38" s="1335">
        <f ca="1">INDIRECT("'数据-取费表'!Am"&amp;$G$1)</f>
        <v>0</v>
      </c>
      <c r="G38" s="1851"/>
      <c r="H38" s="1859"/>
      <c r="I38" s="1860"/>
      <c r="J38" s="1861"/>
      <c r="K38" s="1865"/>
      <c r="L38" s="1859"/>
      <c r="M38" s="1859"/>
    </row>
    <row r="39" spans="1:18" ht="24.6" customHeight="1" thickTop="1">
      <c r="A39" s="1328" t="s">
        <v>1031</v>
      </c>
      <c r="B39" s="1343" t="s">
        <v>1484</v>
      </c>
      <c r="C39" s="355">
        <f ca="1">C5-C30</f>
        <v>0</v>
      </c>
      <c r="D39" s="1344" t="s">
        <v>1485</v>
      </c>
      <c r="E39" s="1345"/>
      <c r="F39" s="1346"/>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4" t="s">
        <v>1397</v>
      </c>
      <c r="B47" s="1196" t="s">
        <v>1398</v>
      </c>
      <c r="C47" s="1196" t="s">
        <v>1399</v>
      </c>
      <c r="D47" s="1196" t="s">
        <v>1400</v>
      </c>
      <c r="E47" s="1278" t="s">
        <v>1401</v>
      </c>
      <c r="F47" s="1279"/>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59" t="s">
        <v>1135</v>
      </c>
      <c r="B48" s="345" t="s">
        <v>1402</v>
      </c>
      <c r="C48" s="1817">
        <f ca="1">C49+C53+C55</f>
        <v>0</v>
      </c>
      <c r="D48" s="1361"/>
      <c r="E48" s="1362"/>
      <c r="F48" s="1180"/>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3" t="s">
        <v>1136</v>
      </c>
      <c r="B49" s="1829" t="s">
        <v>1491</v>
      </c>
      <c r="C49" s="1363">
        <f ca="1">ROUND(F49*F51*F50*(1-F52),0)</f>
        <v>0</v>
      </c>
      <c r="D49" s="1275" t="s">
        <v>1405</v>
      </c>
      <c r="E49" s="1830" t="s">
        <v>1492</v>
      </c>
      <c r="F49" s="1280"/>
      <c r="G49" s="1891"/>
      <c r="H49" s="793"/>
      <c r="I49" s="1887" t="s">
        <v>1535</v>
      </c>
      <c r="J49" s="1892"/>
      <c r="K49" s="1889" t="s">
        <v>1536</v>
      </c>
      <c r="L49" s="1893"/>
      <c r="O49" s="1894" t="s">
        <v>1042</v>
      </c>
      <c r="P49" s="1885" t="s">
        <v>1537</v>
      </c>
      <c r="Q49" s="1886">
        <f ca="1">C29</f>
        <v>0</v>
      </c>
      <c r="R49" s="1886" t="s">
        <v>1530</v>
      </c>
    </row>
    <row r="50" spans="1:18" s="1842" customFormat="1" ht="13.5" thickBot="1">
      <c r="A50" s="1194"/>
      <c r="B50" s="1197"/>
      <c r="C50" s="1198"/>
      <c r="D50" s="1171"/>
      <c r="E50" s="1276" t="s">
        <v>1407</v>
      </c>
      <c r="F50" s="1277">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5"/>
      <c r="B51" s="1197"/>
      <c r="C51" s="1198"/>
      <c r="D51" s="1171"/>
      <c r="E51" s="1199" t="s">
        <v>1408</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5"/>
      <c r="B52" s="1197"/>
      <c r="C52" s="1198"/>
      <c r="D52" s="1171"/>
      <c r="E52" s="1199" t="s">
        <v>1409</v>
      </c>
      <c r="F52" s="1274"/>
      <c r="I52" s="1903" t="s">
        <v>1544</v>
      </c>
      <c r="J52" s="1904"/>
      <c r="K52" s="1903" t="s">
        <v>1545</v>
      </c>
      <c r="L52" s="1904"/>
      <c r="O52" s="1894" t="s">
        <v>1045</v>
      </c>
      <c r="P52" s="1885" t="s">
        <v>1546</v>
      </c>
      <c r="Q52" s="1886" t="b">
        <f>J53</f>
        <v>0</v>
      </c>
      <c r="R52" s="1886" t="s">
        <v>1547</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1548</v>
      </c>
      <c r="J53" s="1906" t="b">
        <f>IF(M47="住宅",J51,IF(D1="——",MIN(J51,L48),IF(D1="在建（套用方法）",MIN(J51,L48-'数据-取费表'!B24),IF(D1="土地（套用方法）",MIN(J51,L48-'数据-取费表'!B20)))))</f>
        <v>0</v>
      </c>
      <c r="K53" s="3157" t="s">
        <v>1549</v>
      </c>
      <c r="L53" s="3158"/>
      <c r="O53" s="1884" t="s">
        <v>1046</v>
      </c>
      <c r="P53" s="1885" t="s">
        <v>1550</v>
      </c>
      <c r="Q53" s="1886" t="e">
        <f ca="1">Q47+Q48</f>
        <v>#DIV/0!</v>
      </c>
      <c r="R53" s="1886" t="s">
        <v>1047</v>
      </c>
    </row>
    <row r="54" spans="1:18" s="1842" customFormat="1" ht="13.5" thickBot="1">
      <c r="A54" s="1193"/>
      <c r="B54" s="1941" t="s">
        <v>1604</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2" t="s">
        <v>1075</v>
      </c>
      <c r="B55" s="1827" t="s">
        <v>1414</v>
      </c>
      <c r="C55" s="1333"/>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5">
        <v>2</v>
      </c>
      <c r="B56" s="1176"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8"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6" t="s">
        <v>1425</v>
      </c>
      <c r="C58" s="361">
        <f ca="1">ROUND(C59+C64+C65+C66,0)</f>
        <v>0</v>
      </c>
      <c r="D58" s="1178" t="s">
        <v>1426</v>
      </c>
      <c r="E58" s="1179"/>
      <c r="F58" s="1180"/>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ROUND(IF(项目基本情况!B11="自然人",C48*F59,C60+C61+C62),0)</f>
        <v>0</v>
      </c>
      <c r="D59" s="1181" t="s">
        <v>1431</v>
      </c>
      <c r="E59" s="1182"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IF(项目基本情况!B11="自然人","——",ROUND(C48*F60/(1+'数据-取费表'!C42),0))</f>
        <v>0</v>
      </c>
      <c r="D60" s="1182" t="s">
        <v>1435</v>
      </c>
      <c r="E60" s="1168" t="s">
        <v>1423</v>
      </c>
      <c r="F60" s="377">
        <f t="shared" ref="F60:F66" si="0">F32</f>
        <v>5.6000000000000001E-2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0" t="s">
        <v>1493</v>
      </c>
      <c r="B61" s="1168" t="s">
        <v>1494</v>
      </c>
      <c r="C61" s="24">
        <f ca="1">IF(项目基本情况!B11="自然人","——",IF(D61="按租金收入计税",ROUND(C48*F61,0),IF(D61="按房产原值计税",ROUND(C57*F61*0.7,0),INDIRECT("'数据-取费表'!Aj"&amp;$G$1))))</f>
        <v>0</v>
      </c>
      <c r="D61" s="1828" t="s">
        <v>1439</v>
      </c>
      <c r="E61" s="1168"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0" t="s">
        <v>1496</v>
      </c>
      <c r="B62" s="1167" t="s">
        <v>1497</v>
      </c>
      <c r="C62" s="25">
        <f ca="1">IF(项目基本情况!B11="自然人","——",ROUND(F62*F63,0))</f>
        <v>0</v>
      </c>
      <c r="D62" s="1183" t="s">
        <v>1498</v>
      </c>
      <c r="E62" s="1168" t="s">
        <v>1499</v>
      </c>
      <c r="F62" s="371">
        <f t="shared" si="0"/>
        <v>0</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4"/>
      <c r="C63" s="29"/>
      <c r="D63" s="1184"/>
      <c r="E63" s="1168"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1501</v>
      </c>
      <c r="B64" s="1168" t="s">
        <v>1502</v>
      </c>
      <c r="C64" s="24">
        <f ca="1">ROUND(C57*F64,0)</f>
        <v>0</v>
      </c>
      <c r="D64" s="1182" t="s">
        <v>1503</v>
      </c>
      <c r="E64" s="1168"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ROUND(C56*F65,0)</f>
        <v>0</v>
      </c>
      <c r="D65" s="1182" t="s">
        <v>1455</v>
      </c>
      <c r="E65" s="1168"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0" t="s">
        <v>1505</v>
      </c>
      <c r="B66" s="1168" t="s">
        <v>1440</v>
      </c>
      <c r="C66" s="24">
        <f ca="1">ROUND(C48*F66,0)</f>
        <v>0</v>
      </c>
      <c r="D66" s="1182" t="s">
        <v>1506</v>
      </c>
      <c r="E66" s="1168" t="s">
        <v>1423</v>
      </c>
      <c r="F66" s="357">
        <f t="shared" ca="1" si="0"/>
        <v>0</v>
      </c>
      <c r="O66" s="1884" t="s">
        <v>1041</v>
      </c>
      <c r="P66" s="1885" t="s">
        <v>1559</v>
      </c>
      <c r="Q66" s="1886" t="e">
        <f ca="1">L60</f>
        <v>#DIV/0!</v>
      </c>
      <c r="R66" s="1886" t="s">
        <v>1582</v>
      </c>
    </row>
    <row r="67" spans="1:18" s="1842" customFormat="1" ht="16.5" thickBot="1">
      <c r="A67" s="1175" t="s">
        <v>1031</v>
      </c>
      <c r="B67" s="1185" t="s">
        <v>1464</v>
      </c>
      <c r="C67" s="361">
        <f ca="1">C48-C58</f>
        <v>0</v>
      </c>
      <c r="D67" s="1181" t="s">
        <v>1465</v>
      </c>
      <c r="E67" s="1186"/>
      <c r="F67" s="1187"/>
      <c r="O67" s="1894" t="s">
        <v>1042</v>
      </c>
      <c r="P67" s="1885" t="s">
        <v>1563</v>
      </c>
      <c r="Q67" s="1933">
        <f ca="1">L51</f>
        <v>0</v>
      </c>
      <c r="R67" s="1886" t="s">
        <v>1583</v>
      </c>
    </row>
    <row r="68" spans="1:18" s="1842" customFormat="1" ht="16.5" thickBot="1">
      <c r="A68" s="1165" t="s">
        <v>1032</v>
      </c>
      <c r="B68" s="1166" t="s">
        <v>1486</v>
      </c>
      <c r="C68" s="346" t="e">
        <f ca="1">ROUND(C67*(1-((1+F70)/(1+F68))^F69)/(F68-F70),0)</f>
        <v>#DIV/0!</v>
      </c>
      <c r="D68" s="1183" t="s">
        <v>1470</v>
      </c>
      <c r="E68" s="1168" t="s">
        <v>1471</v>
      </c>
      <c r="F68" s="357">
        <f ca="1">F40</f>
        <v>0</v>
      </c>
      <c r="O68" s="1894" t="s">
        <v>1043</v>
      </c>
      <c r="P68" s="1934" t="s">
        <v>1584</v>
      </c>
      <c r="Q68" s="1886">
        <f ca="1">ROUND(Q69-Q70*Q71,0)</f>
        <v>0</v>
      </c>
      <c r="R68" s="1886" t="s">
        <v>1051</v>
      </c>
    </row>
    <row r="69" spans="1:18" s="1842" customFormat="1" ht="13.5" thickBot="1">
      <c r="A69" s="1169"/>
      <c r="B69" s="1170"/>
      <c r="C69" s="351"/>
      <c r="D69" s="1188" t="s">
        <v>1474</v>
      </c>
      <c r="E69" s="1168" t="s">
        <v>1475</v>
      </c>
      <c r="F69" s="379">
        <f ca="1">F41</f>
        <v>0</v>
      </c>
      <c r="O69" s="1894" t="s">
        <v>1048</v>
      </c>
      <c r="P69" s="1934" t="s">
        <v>1585</v>
      </c>
      <c r="Q69" s="1886">
        <f ca="1">C39</f>
        <v>0</v>
      </c>
      <c r="R69" s="1886" t="s">
        <v>1530</v>
      </c>
    </row>
    <row r="70" spans="1:18" s="1842" customFormat="1" ht="13.5" thickBot="1">
      <c r="A70" s="1172"/>
      <c r="B70" s="1173"/>
      <c r="C70" s="355"/>
      <c r="D70" s="1184"/>
      <c r="E70" s="1168" t="s">
        <v>1478</v>
      </c>
      <c r="F70" s="1274">
        <f ca="1">F42</f>
        <v>0</v>
      </c>
      <c r="O70" s="1894" t="s">
        <v>1049</v>
      </c>
      <c r="P70" s="1934" t="s">
        <v>1586</v>
      </c>
      <c r="Q70" s="1886">
        <f ca="1">C13</f>
        <v>0</v>
      </c>
      <c r="R70" s="1886" t="s">
        <v>1530</v>
      </c>
    </row>
    <row r="71" spans="1:18" s="1842" customFormat="1" ht="13.5" thickBot="1">
      <c r="A71" s="1189" t="s">
        <v>1033</v>
      </c>
      <c r="B71" s="1190" t="s">
        <v>1488</v>
      </c>
      <c r="C71" s="382" t="e">
        <f ca="1">ROUND(C68/F71,0)</f>
        <v>#DIV/0!</v>
      </c>
      <c r="D71" s="1191" t="s">
        <v>1489</v>
      </c>
      <c r="E71" s="1192"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60" zoomScaleNormal="100" workbookViewId="0">
      <selection activeCell="B9" sqref="B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2530</v>
      </c>
      <c r="B1" s="2563"/>
      <c r="C1" s="2563"/>
      <c r="D1" s="2563"/>
      <c r="E1" s="2564"/>
    </row>
    <row r="2" spans="1:6" ht="15.75">
      <c r="A2" s="2565" t="s">
        <v>2331</v>
      </c>
      <c r="B2" s="2566">
        <f ca="1">SUMIF(B6:B13,"&lt;&gt;#ref!",B6:B13)</f>
        <v>44104</v>
      </c>
      <c r="C2" s="2567" t="s">
        <v>2523</v>
      </c>
      <c r="D2" s="2568" t="s">
        <v>2524</v>
      </c>
      <c r="E2" s="2569">
        <f>SUM(E6:E13)</f>
        <v>43696.250000000007</v>
      </c>
    </row>
    <row r="3" spans="1:6" ht="15.75">
      <c r="A3" s="2565" t="s">
        <v>1396</v>
      </c>
      <c r="B3" s="2566">
        <f ca="1">ROUND(B2*10000/E2,0)</f>
        <v>10093</v>
      </c>
      <c r="C3" s="2567" t="s">
        <v>2531</v>
      </c>
      <c r="D3" s="2570"/>
      <c r="E3" s="2571"/>
    </row>
    <row r="4" spans="1:6" ht="15.75">
      <c r="A4" s="2572"/>
      <c r="B4" s="2570"/>
      <c r="C4" s="2570"/>
      <c r="D4" s="2570"/>
      <c r="E4" s="2571"/>
    </row>
    <row r="5" spans="1:6" ht="15">
      <c r="A5" s="2573" t="s">
        <v>2525</v>
      </c>
      <c r="B5" s="3162" t="s">
        <v>2526</v>
      </c>
      <c r="C5" s="3162"/>
      <c r="D5" s="2574"/>
      <c r="E5" s="2575" t="s">
        <v>2527</v>
      </c>
      <c r="F5" s="2576" t="s">
        <v>2528</v>
      </c>
    </row>
    <row r="6" spans="1:6">
      <c r="A6" s="2577" t="str">
        <f>'数据-取费表'!AN6</f>
        <v>收益法1</v>
      </c>
      <c r="B6" s="2576">
        <f ca="1">IF(F6="是",'数据-取费表'!AO6,0)</f>
        <v>821</v>
      </c>
      <c r="C6" s="2567" t="s">
        <v>2523</v>
      </c>
      <c r="D6" s="2570"/>
      <c r="E6" s="2578">
        <f>IF(OR(A6=0,F6="否"),0,'数据-取费表'!K6+'数据-取费表'!S6)</f>
        <v>579</v>
      </c>
      <c r="F6" s="2579" t="s">
        <v>2529</v>
      </c>
    </row>
    <row r="7" spans="1:6">
      <c r="A7" s="2577" t="str">
        <f>'数据-取费表'!AN7</f>
        <v>收益法2</v>
      </c>
      <c r="B7" s="2576">
        <f ca="1">IF(F7="是",'数据-取费表'!AO7,0)</f>
        <v>7411</v>
      </c>
      <c r="C7" s="2567" t="s">
        <v>2523</v>
      </c>
      <c r="D7" s="2570"/>
      <c r="E7" s="2578">
        <f>IF(OR(A7=0,F7="否"),0,'数据-取费表'!K7+'数据-取费表'!S7)</f>
        <v>5300.34</v>
      </c>
      <c r="F7" s="2579" t="s">
        <v>2529</v>
      </c>
    </row>
    <row r="8" spans="1:6">
      <c r="A8" s="2577" t="str">
        <f>'数据-取费表'!AN8</f>
        <v>收益法3</v>
      </c>
      <c r="B8" s="2576">
        <f ca="1">IF(F8="是",'数据-取费表'!AO8,0)</f>
        <v>3924</v>
      </c>
      <c r="C8" s="2567" t="s">
        <v>2523</v>
      </c>
      <c r="D8" s="2570"/>
      <c r="E8" s="2578">
        <f>IF(OR(A8=0,F8="否"),0,'数据-取费表'!K8+'数据-取费表'!S8)</f>
        <v>3165.6</v>
      </c>
      <c r="F8" s="2579" t="s">
        <v>2529</v>
      </c>
    </row>
    <row r="9" spans="1:6">
      <c r="A9" s="2577" t="str">
        <f>'数据-取费表'!AN9</f>
        <v>收益法4</v>
      </c>
      <c r="B9" s="2576">
        <f ca="1">IF(F9="是",'数据-取费表'!AO9,0)</f>
        <v>31948</v>
      </c>
      <c r="C9" s="2567" t="s">
        <v>2523</v>
      </c>
      <c r="D9" s="2570"/>
      <c r="E9" s="2578">
        <f>IF(OR(A9=0,F9="否"),0,'数据-取费表'!K9+'数据-取费表'!S9)</f>
        <v>34651.310000000005</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63" t="s">
        <v>1076</v>
      </c>
      <c r="B1" s="3164"/>
      <c r="C1" s="3165"/>
      <c r="D1" s="3166">
        <f>SUM(I10,I15,I20,I21,I23)</f>
        <v>0</v>
      </c>
      <c r="E1" s="3166"/>
      <c r="F1" s="3166"/>
      <c r="G1" s="3166"/>
      <c r="H1" s="3166"/>
      <c r="I1" s="3167"/>
    </row>
    <row r="2" spans="1:9">
      <c r="A2" s="3168" t="s">
        <v>1077</v>
      </c>
      <c r="B2" s="3169" t="s">
        <v>1078</v>
      </c>
      <c r="C2" s="3169"/>
      <c r="D2" s="1300" t="s">
        <v>1079</v>
      </c>
      <c r="E2" s="1300" t="s">
        <v>1080</v>
      </c>
      <c r="F2" s="1300" t="s">
        <v>1081</v>
      </c>
      <c r="G2" s="1300" t="s">
        <v>1082</v>
      </c>
      <c r="H2" s="1300" t="s">
        <v>1083</v>
      </c>
      <c r="I2" s="1301" t="s">
        <v>1084</v>
      </c>
    </row>
    <row r="3" spans="1:9">
      <c r="A3" s="3168"/>
      <c r="B3" s="3169" t="s">
        <v>1085</v>
      </c>
      <c r="C3" s="3169"/>
      <c r="D3" s="1302"/>
      <c r="E3" s="1300"/>
      <c r="F3" s="1303"/>
      <c r="G3" s="1303"/>
      <c r="H3" s="1304"/>
      <c r="I3" s="1305">
        <f>ROUND(D3*E3*F3*G3*H3/10000,0)</f>
        <v>0</v>
      </c>
    </row>
    <row r="4" spans="1:9">
      <c r="A4" s="3168"/>
      <c r="B4" s="3169" t="s">
        <v>1086</v>
      </c>
      <c r="C4" s="3169"/>
      <c r="D4" s="1302"/>
      <c r="E4" s="1300"/>
      <c r="F4" s="1303"/>
      <c r="G4" s="1303"/>
      <c r="H4" s="1304"/>
      <c r="I4" s="1305">
        <f t="shared" ref="I4:I9" si="0">ROUND(D4*E4*F4*G4*H4/10000,0)</f>
        <v>0</v>
      </c>
    </row>
    <row r="5" spans="1:9">
      <c r="A5" s="3168"/>
      <c r="B5" s="3169" t="s">
        <v>1087</v>
      </c>
      <c r="C5" s="3169"/>
      <c r="D5" s="1302"/>
      <c r="E5" s="1300"/>
      <c r="F5" s="1303"/>
      <c r="G5" s="1303"/>
      <c r="H5" s="1304"/>
      <c r="I5" s="1305">
        <f t="shared" si="0"/>
        <v>0</v>
      </c>
    </row>
    <row r="6" spans="1:9">
      <c r="A6" s="3168"/>
      <c r="B6" s="3169" t="s">
        <v>1088</v>
      </c>
      <c r="C6" s="3169"/>
      <c r="D6" s="1302"/>
      <c r="E6" s="1300"/>
      <c r="F6" s="1303"/>
      <c r="G6" s="1303"/>
      <c r="H6" s="1304"/>
      <c r="I6" s="1305">
        <f t="shared" si="0"/>
        <v>0</v>
      </c>
    </row>
    <row r="7" spans="1:9">
      <c r="A7" s="3168"/>
      <c r="B7" s="3169" t="s">
        <v>1089</v>
      </c>
      <c r="C7" s="3169"/>
      <c r="D7" s="1302"/>
      <c r="E7" s="1300"/>
      <c r="F7" s="1303"/>
      <c r="G7" s="1303"/>
      <c r="H7" s="1304"/>
      <c r="I7" s="1305">
        <f t="shared" si="0"/>
        <v>0</v>
      </c>
    </row>
    <row r="8" spans="1:9">
      <c r="A8" s="3168"/>
      <c r="B8" s="3169" t="s">
        <v>1090</v>
      </c>
      <c r="C8" s="3169"/>
      <c r="D8" s="1302"/>
      <c r="E8" s="1300"/>
      <c r="F8" s="1303"/>
      <c r="G8" s="1303"/>
      <c r="H8" s="1304"/>
      <c r="I8" s="1305">
        <f t="shared" si="0"/>
        <v>0</v>
      </c>
    </row>
    <row r="9" spans="1:9">
      <c r="A9" s="3168"/>
      <c r="B9" s="3169" t="s">
        <v>1091</v>
      </c>
      <c r="C9" s="3169"/>
      <c r="D9" s="1302"/>
      <c r="E9" s="1300"/>
      <c r="F9" s="1303"/>
      <c r="G9" s="1303"/>
      <c r="H9" s="1304"/>
      <c r="I9" s="1305">
        <f t="shared" si="0"/>
        <v>0</v>
      </c>
    </row>
    <row r="10" spans="1:9">
      <c r="A10" s="3168"/>
      <c r="B10" s="3170" t="s">
        <v>1092</v>
      </c>
      <c r="C10" s="3170"/>
      <c r="D10" s="1306"/>
      <c r="E10" s="1306" t="e">
        <f>ROUND(D1*10000/D10/H9,0)</f>
        <v>#DIV/0!</v>
      </c>
      <c r="F10" s="1307"/>
      <c r="G10" s="1307"/>
      <c r="H10" s="1308"/>
      <c r="I10" s="1309">
        <f>SUM(I3:I9)</f>
        <v>0</v>
      </c>
    </row>
    <row r="11" spans="1:9" ht="14.25">
      <c r="A11" s="3168" t="s">
        <v>1093</v>
      </c>
      <c r="B11" s="3169" t="s">
        <v>1094</v>
      </c>
      <c r="C11" s="3169"/>
      <c r="D11" s="1302" t="s">
        <v>1095</v>
      </c>
      <c r="E11" s="1302" t="s">
        <v>1096</v>
      </c>
      <c r="F11" s="1303" t="s">
        <v>1097</v>
      </c>
      <c r="G11" s="1303" t="s">
        <v>1083</v>
      </c>
      <c r="H11" s="1310" t="s">
        <v>1098</v>
      </c>
      <c r="I11" s="1301" t="s">
        <v>1084</v>
      </c>
    </row>
    <row r="12" spans="1:9">
      <c r="A12" s="3168"/>
      <c r="B12" s="3169" t="s">
        <v>1099</v>
      </c>
      <c r="C12" s="3169"/>
      <c r="D12" s="1302"/>
      <c r="E12" s="1302"/>
      <c r="F12" s="1303"/>
      <c r="G12" s="1304"/>
      <c r="H12" s="1311"/>
      <c r="I12" s="1301">
        <f>ROUND(D12*E12*F12*G12/10000,0)</f>
        <v>0</v>
      </c>
    </row>
    <row r="13" spans="1:9">
      <c r="A13" s="3168"/>
      <c r="B13" s="3169" t="s">
        <v>1100</v>
      </c>
      <c r="C13" s="3169"/>
      <c r="D13" s="1302"/>
      <c r="E13" s="1302"/>
      <c r="F13" s="1303"/>
      <c r="G13" s="1304"/>
      <c r="H13" s="1311"/>
      <c r="I13" s="1301">
        <f>ROUND(D13*E13*F13*G13/10000,0)</f>
        <v>0</v>
      </c>
    </row>
    <row r="14" spans="1:9">
      <c r="A14" s="3168"/>
      <c r="B14" s="3169" t="s">
        <v>1101</v>
      </c>
      <c r="C14" s="3169"/>
      <c r="D14" s="1302"/>
      <c r="E14" s="1302"/>
      <c r="F14" s="1303"/>
      <c r="G14" s="1304"/>
      <c r="H14" s="1311"/>
      <c r="I14" s="1301">
        <f>ROUND(D14*E14*F14*G14/10000,0)</f>
        <v>0</v>
      </c>
    </row>
    <row r="15" spans="1:9">
      <c r="A15" s="3168"/>
      <c r="B15" s="3170" t="s">
        <v>1092</v>
      </c>
      <c r="C15" s="3170"/>
      <c r="D15" s="1306"/>
      <c r="E15" s="1306">
        <f>SUM(E12:E14)</f>
        <v>0</v>
      </c>
      <c r="F15" s="1307"/>
      <c r="G15" s="1304"/>
      <c r="H15" s="1311"/>
      <c r="I15" s="1312">
        <f>SUM(I12:I14)</f>
        <v>0</v>
      </c>
    </row>
    <row r="16" spans="1:9" ht="24">
      <c r="A16" s="3168" t="s">
        <v>1102</v>
      </c>
      <c r="B16" s="3169" t="s">
        <v>1103</v>
      </c>
      <c r="C16" s="3169"/>
      <c r="D16" s="1302" t="s">
        <v>1079</v>
      </c>
      <c r="E16" s="1313" t="s">
        <v>1104</v>
      </c>
      <c r="F16" s="1303" t="s">
        <v>1105</v>
      </c>
      <c r="G16" s="1304" t="s">
        <v>1083</v>
      </c>
      <c r="H16" s="1310" t="s">
        <v>1098</v>
      </c>
      <c r="I16" s="1301" t="s">
        <v>1084</v>
      </c>
    </row>
    <row r="17" spans="1:9" ht="14.25">
      <c r="A17" s="3168"/>
      <c r="B17" s="3169" t="s">
        <v>1106</v>
      </c>
      <c r="C17" s="3169"/>
      <c r="D17" s="1302"/>
      <c r="E17" s="1302"/>
      <c r="F17" s="1303"/>
      <c r="G17" s="1304"/>
      <c r="H17" s="1314"/>
      <c r="I17" s="1315">
        <f>ROUND(D17*E17*F17*G17/10000,0)</f>
        <v>0</v>
      </c>
    </row>
    <row r="18" spans="1:9" ht="14.25">
      <c r="A18" s="3168"/>
      <c r="B18" s="3169" t="s">
        <v>1107</v>
      </c>
      <c r="C18" s="3169"/>
      <c r="D18" s="1302"/>
      <c r="E18" s="1302"/>
      <c r="F18" s="1303"/>
      <c r="G18" s="1304"/>
      <c r="H18" s="1314"/>
      <c r="I18" s="1315">
        <f>ROUND(D18*E18*F18*G18/10000,0)</f>
        <v>0</v>
      </c>
    </row>
    <row r="19" spans="1:9" ht="14.25">
      <c r="A19" s="3168"/>
      <c r="B19" s="3169" t="s">
        <v>1108</v>
      </c>
      <c r="C19" s="3169"/>
      <c r="D19" s="1302"/>
      <c r="E19" s="1302"/>
      <c r="F19" s="1303"/>
      <c r="G19" s="1304"/>
      <c r="H19" s="1314"/>
      <c r="I19" s="1315">
        <f>ROUND(D19*E19*F19*G19/10000,0)</f>
        <v>0</v>
      </c>
    </row>
    <row r="20" spans="1:9">
      <c r="A20" s="3168"/>
      <c r="B20" s="3170" t="s">
        <v>1092</v>
      </c>
      <c r="C20" s="3170"/>
      <c r="D20" s="1306">
        <f>SUM(D17:D19)</f>
        <v>0</v>
      </c>
      <c r="E20" s="1306"/>
      <c r="F20" s="1307"/>
      <c r="G20" s="1304"/>
      <c r="H20" s="1311"/>
      <c r="I20" s="1312">
        <f>SUM(I17:I19)</f>
        <v>0</v>
      </c>
    </row>
    <row r="21" spans="1:9">
      <c r="A21" s="3168" t="s">
        <v>1109</v>
      </c>
      <c r="B21" s="3172"/>
      <c r="C21" s="3172"/>
      <c r="D21" s="3172"/>
      <c r="E21" s="3172"/>
      <c r="F21" s="3172"/>
      <c r="G21" s="3172"/>
      <c r="H21" s="1765">
        <v>0.1</v>
      </c>
      <c r="I21" s="1309">
        <f>ROUND(I10*H21,0)</f>
        <v>0</v>
      </c>
    </row>
    <row r="22" spans="1:9" ht="14.25">
      <c r="A22" s="3173" t="s">
        <v>1110</v>
      </c>
      <c r="B22" s="3174"/>
      <c r="C22" s="3175"/>
      <c r="D22" s="1316" t="s">
        <v>1111</v>
      </c>
      <c r="E22" s="1316" t="s">
        <v>1112</v>
      </c>
      <c r="F22" s="1317" t="s">
        <v>1113</v>
      </c>
      <c r="G22" s="1317" t="s">
        <v>1114</v>
      </c>
      <c r="H22" s="1310" t="s">
        <v>1115</v>
      </c>
      <c r="I22" s="1301" t="s">
        <v>1116</v>
      </c>
    </row>
    <row r="23" spans="1:9" ht="14.25" thickBot="1">
      <c r="A23" s="3176"/>
      <c r="B23" s="3177"/>
      <c r="C23" s="3178"/>
      <c r="D23" s="1318"/>
      <c r="E23" s="1318"/>
      <c r="F23" s="1318"/>
      <c r="G23" s="1319"/>
      <c r="H23" s="1320"/>
      <c r="I23" s="1321">
        <f>ROUND(E23*D23*F23*(1-G23)/10000,0)</f>
        <v>0</v>
      </c>
    </row>
    <row r="26" spans="1:9">
      <c r="A26" s="1322" t="s">
        <v>1117</v>
      </c>
      <c r="B26" s="1322"/>
      <c r="C26" s="1322"/>
      <c r="D26" s="1322"/>
      <c r="E26" s="3179">
        <f>C27-C30-C31-C32</f>
        <v>0</v>
      </c>
      <c r="F26" s="3179"/>
      <c r="G26" s="3179"/>
      <c r="H26" s="1737" t="s">
        <v>1341</v>
      </c>
    </row>
    <row r="27" spans="1:9">
      <c r="A27" s="1323">
        <v>1</v>
      </c>
      <c r="B27" s="1324" t="s">
        <v>1118</v>
      </c>
      <c r="C27" s="1324">
        <f>C28+C29</f>
        <v>0</v>
      </c>
      <c r="D27" s="1324"/>
      <c r="E27" s="3180"/>
      <c r="F27" s="3180"/>
      <c r="G27" s="3180"/>
    </row>
    <row r="28" spans="1:9">
      <c r="A28" s="1325" t="s">
        <v>1119</v>
      </c>
      <c r="B28" s="1324" t="s">
        <v>1120</v>
      </c>
      <c r="C28" s="1324"/>
      <c r="D28" s="1324"/>
      <c r="E28" s="3180"/>
      <c r="F28" s="3180"/>
      <c r="G28" s="318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71"/>
      <c r="F32" s="3171"/>
      <c r="G32" s="3171"/>
    </row>
    <row r="33" spans="1:7" hidden="1">
      <c r="A33" s="3181" t="s">
        <v>1129</v>
      </c>
      <c r="B33" s="3182"/>
      <c r="C33" s="3182"/>
      <c r="D33" s="3183"/>
      <c r="E33" s="3179"/>
      <c r="F33" s="3179"/>
      <c r="G33" s="3179"/>
    </row>
    <row r="34" spans="1:7" hidden="1">
      <c r="A34" s="1327">
        <v>1</v>
      </c>
      <c r="B34" s="1324" t="s">
        <v>1130</v>
      </c>
      <c r="C34" s="1324"/>
      <c r="D34" s="1324"/>
      <c r="E34" s="3180"/>
      <c r="F34" s="3180"/>
      <c r="G34" s="3180"/>
    </row>
    <row r="35" spans="1:7" hidden="1">
      <c r="A35" s="1327">
        <v>2</v>
      </c>
      <c r="B35" s="1324" t="s">
        <v>1131</v>
      </c>
      <c r="C35" s="1324"/>
      <c r="D35" s="1324"/>
      <c r="E35" s="3180"/>
      <c r="F35" s="3180"/>
      <c r="G35" s="3180"/>
    </row>
    <row r="36" spans="1:7" hidden="1">
      <c r="A36" s="1327">
        <v>3</v>
      </c>
      <c r="B36" s="1324" t="s">
        <v>1132</v>
      </c>
      <c r="C36" s="1324"/>
      <c r="D36" s="1324"/>
      <c r="E36" s="3180"/>
      <c r="F36" s="3180"/>
      <c r="G36" s="3180"/>
    </row>
    <row r="37" spans="1:7" hidden="1">
      <c r="A37" s="1327">
        <v>4</v>
      </c>
      <c r="B37" s="1324" t="s">
        <v>1133</v>
      </c>
      <c r="C37" s="1324"/>
      <c r="D37" s="1324"/>
      <c r="E37" s="3180"/>
      <c r="F37" s="3180"/>
      <c r="G37" s="3180"/>
    </row>
    <row r="38" spans="1:7" hidden="1">
      <c r="A38" s="3181" t="s">
        <v>1134</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北京六合天地置业有限责任公司：</v>
      </c>
    </row>
    <row r="4" spans="1:1" ht="18">
      <c r="A4" s="1948" t="str">
        <f>"受贵公司委托，我公司对"&amp;项目基本情况!S1&amp;"进行了预评估。"</f>
        <v>受贵公司委托，我公司对北京市进行了预评估。</v>
      </c>
    </row>
    <row r="5" spans="1:1" ht="18.75">
      <c r="A5" s="1949" t="s">
        <v>1613</v>
      </c>
    </row>
    <row r="6" spans="1:1" ht="18.75">
      <c r="A6" s="1950" t="s">
        <v>1614</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估价对象为北京市房地产，为所有。根据，估价对象（分摊）出让国有建设用地使用权面积为0平方米，建筑面积为43696.25平方米。</v>
      </c>
    </row>
    <row r="8" spans="1:1" ht="57.75">
      <c r="A8" s="1951" t="s">
        <v>1615</v>
      </c>
    </row>
    <row r="9" spans="1:1" ht="18.75">
      <c r="A9" s="1950" t="s">
        <v>1616</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估价对象为北京市房地产,属开发建设的，该项目尚在开发建设中。根据，估价对象（分摊）出让国有建设用地使用权面积为0平方米，规划建筑面积为43696.25平方米。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1619</v>
      </c>
    </row>
    <row r="15" spans="1:1" ht="18">
      <c r="A15" s="1954" t="str">
        <f>TEXT(项目基本情况!D3,"yyyy年m月d日;;")&amp;IF(项目基本情况!D3=项目基本情况!B3,"（评估专业人员实地查勘之日）","")</f>
        <v>2017年10月31日（评估专业人员实地查勘之日）</v>
      </c>
    </row>
    <row r="16" spans="1:1" ht="18.75">
      <c r="A16" s="1953" t="s">
        <v>1620</v>
      </c>
    </row>
    <row r="17" spans="1:1" ht="75">
      <c r="A17" s="1948" t="s">
        <v>1621</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1610</v>
      </c>
    </row>
    <row r="24" spans="1:1" ht="18">
      <c r="A24" s="1955" t="str">
        <f>"本次评估采用的主估价方法为"&amp;结果表!K4&amp;"和"&amp;结果表!L4&amp;"。"</f>
        <v>本次评估采用的主估价方法为成本法和收益法。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2533</v>
      </c>
      <c r="C1" s="1634" t="s">
        <v>2534</v>
      </c>
      <c r="D1" s="1621"/>
      <c r="E1" s="2584"/>
      <c r="F1" s="2585" t="s">
        <v>2535</v>
      </c>
      <c r="G1" s="1631" t="s">
        <v>2536</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7"/>
      <c r="D2" s="1364" t="e">
        <f ca="1">SUMIF(INDIRECT("'"&amp;F2&amp;"'"&amp;"!A:A"),"承租人权益价值",INDIRECT("'"&amp;F2&amp;"'"&amp;"!c:c"))</f>
        <v>#REF!</v>
      </c>
      <c r="E2" s="2588" t="s">
        <v>2537</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2538</v>
      </c>
      <c r="D3" s="399">
        <f>IF(D1="",'数据-汇总表'!E3,SUMIF('数据-汇总表'!$C19:$C33,D1,'数据-汇总表'!$E19:$E33))</f>
        <v>43696.250000000007</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1" t="s">
        <v>2539</v>
      </c>
      <c r="B4" s="402"/>
      <c r="C4" s="3202" t="s">
        <v>2540</v>
      </c>
      <c r="D4" s="3203"/>
      <c r="E4" s="3204" t="s">
        <v>2541</v>
      </c>
      <c r="F4" s="3205"/>
      <c r="G4" s="3202" t="s">
        <v>2542</v>
      </c>
      <c r="H4" s="3203"/>
      <c r="I4" s="3202" t="s">
        <v>2543</v>
      </c>
      <c r="J4" s="3203"/>
      <c r="K4" s="2597" t="s">
        <v>2544</v>
      </c>
      <c r="L4" s="1129"/>
      <c r="M4" s="1130"/>
      <c r="N4" s="1130"/>
      <c r="O4" s="1130"/>
      <c r="P4" s="3206" t="s">
        <v>2545</v>
      </c>
      <c r="Q4" s="3207"/>
      <c r="R4" s="3189" t="s">
        <v>2541</v>
      </c>
      <c r="S4" s="3190"/>
      <c r="T4" s="3189" t="s">
        <v>2542</v>
      </c>
      <c r="U4" s="3190"/>
      <c r="V4" s="3214" t="s">
        <v>2543</v>
      </c>
      <c r="W4" s="3214"/>
      <c r="X4" s="1813"/>
      <c r="Y4" s="3189" t="s">
        <v>2545</v>
      </c>
      <c r="Z4" s="3190"/>
      <c r="AA4" s="3184" t="s">
        <v>2541</v>
      </c>
      <c r="AB4" s="3184" t="s">
        <v>2542</v>
      </c>
      <c r="AC4" s="3184" t="s">
        <v>2543</v>
      </c>
    </row>
    <row r="5" spans="1:29" ht="15">
      <c r="A5" s="404"/>
      <c r="B5" s="405"/>
      <c r="C5" s="3195" t="s">
        <v>2546</v>
      </c>
      <c r="D5" s="3196"/>
      <c r="E5" s="3193" t="s">
        <v>2547</v>
      </c>
      <c r="F5" s="3194"/>
      <c r="G5" s="3195" t="s">
        <v>2548</v>
      </c>
      <c r="H5" s="3196"/>
      <c r="I5" s="3195" t="s">
        <v>2549</v>
      </c>
      <c r="J5" s="3196"/>
      <c r="K5" s="2598"/>
      <c r="L5" s="1129"/>
      <c r="M5" s="1130"/>
      <c r="N5" s="1130"/>
      <c r="O5" s="1130"/>
      <c r="P5" s="3208"/>
      <c r="Q5" s="3209"/>
      <c r="R5" s="3191"/>
      <c r="S5" s="3192"/>
      <c r="T5" s="3191"/>
      <c r="U5" s="3192"/>
      <c r="V5" s="3214"/>
      <c r="W5" s="3214"/>
      <c r="X5" s="1813"/>
      <c r="Y5" s="3191"/>
      <c r="Z5" s="3192"/>
      <c r="AA5" s="3185"/>
      <c r="AB5" s="3185"/>
      <c r="AC5" s="3185"/>
    </row>
    <row r="6" spans="1:29" ht="15.75" thickBot="1">
      <c r="A6" s="406"/>
      <c r="B6" s="407"/>
      <c r="C6" s="3197" t="s">
        <v>2550</v>
      </c>
      <c r="D6" s="3198"/>
      <c r="E6" s="3199" t="s">
        <v>2550</v>
      </c>
      <c r="F6" s="3200"/>
      <c r="G6" s="3197" t="s">
        <v>2550</v>
      </c>
      <c r="H6" s="3198"/>
      <c r="I6" s="3197" t="s">
        <v>2550</v>
      </c>
      <c r="J6" s="3198"/>
      <c r="K6" s="2598" t="s">
        <v>2551</v>
      </c>
      <c r="L6" s="1129"/>
      <c r="M6" s="1130"/>
      <c r="N6" s="1130"/>
      <c r="O6" s="1130"/>
      <c r="P6" s="3210"/>
      <c r="Q6" s="3211"/>
      <c r="R6" s="3191"/>
      <c r="S6" s="3192"/>
      <c r="T6" s="3212"/>
      <c r="U6" s="3213"/>
      <c r="V6" s="3214"/>
      <c r="W6" s="3214"/>
      <c r="X6" s="1813"/>
      <c r="Y6" s="3212"/>
      <c r="Z6" s="3213"/>
      <c r="AA6" s="3186"/>
      <c r="AB6" s="3186"/>
      <c r="AC6" s="318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2599"/>
      <c r="L7" s="1131"/>
      <c r="M7" s="1132"/>
      <c r="N7" s="1132"/>
      <c r="O7" s="1132"/>
      <c r="P7" s="3187" t="s">
        <v>2553</v>
      </c>
      <c r="Q7" s="3215"/>
      <c r="R7" s="770" t="s">
        <v>23</v>
      </c>
      <c r="S7" s="771">
        <f t="shared" ref="S7:S15" si="0">F7</f>
        <v>0</v>
      </c>
      <c r="T7" s="770" t="s">
        <v>23</v>
      </c>
      <c r="U7" s="771">
        <f t="shared" ref="U7:U15" si="1">H7</f>
        <v>0</v>
      </c>
      <c r="V7" s="770" t="s">
        <v>23</v>
      </c>
      <c r="W7" s="771">
        <f t="shared" ref="W7:W15" si="2">J7</f>
        <v>0</v>
      </c>
      <c r="X7" s="772"/>
      <c r="Y7" s="3187" t="s">
        <v>2553</v>
      </c>
      <c r="Z7" s="3188"/>
      <c r="AA7" s="773" t="e">
        <f>D7/F7</f>
        <v>#DIV/0!</v>
      </c>
      <c r="AB7" s="773" t="e">
        <f>D7/H7</f>
        <v>#DIV/0!</v>
      </c>
      <c r="AC7" s="773" t="e">
        <f>D7/J7</f>
        <v>#DIV/0!</v>
      </c>
    </row>
    <row r="8" spans="1:29" s="116"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1"/>
      <c r="M8" s="1132"/>
      <c r="N8" s="1132"/>
      <c r="O8" s="1132"/>
      <c r="P8" s="3187" t="s">
        <v>2556</v>
      </c>
      <c r="Q8" s="3188"/>
      <c r="R8" s="770" t="s">
        <v>23</v>
      </c>
      <c r="S8" s="771">
        <f t="shared" si="0"/>
        <v>0</v>
      </c>
      <c r="T8" s="770" t="s">
        <v>23</v>
      </c>
      <c r="U8" s="771">
        <f t="shared" si="1"/>
        <v>0</v>
      </c>
      <c r="V8" s="770" t="s">
        <v>23</v>
      </c>
      <c r="W8" s="771">
        <f t="shared" si="2"/>
        <v>0</v>
      </c>
      <c r="X8" s="772"/>
      <c r="Y8" s="3187" t="s">
        <v>2556</v>
      </c>
      <c r="Z8" s="3188"/>
      <c r="AA8" s="773" t="e">
        <f t="shared" ref="AA8:AA19" si="3">D8/F8</f>
        <v>#DIV/0!</v>
      </c>
      <c r="AB8" s="773" t="e">
        <f t="shared" ref="AB8:AB19" si="4">D8/H8</f>
        <v>#DIV/0!</v>
      </c>
      <c r="AC8" s="773" t="e">
        <f t="shared" ref="AC8:AC19" si="5">D8/J8</f>
        <v>#DIV/0!</v>
      </c>
    </row>
    <row r="9" spans="1:29" s="116" customFormat="1">
      <c r="A9" s="415" t="s">
        <v>2557</v>
      </c>
      <c r="B9" s="70" t="s">
        <v>2558</v>
      </c>
      <c r="C9" s="416"/>
      <c r="D9" s="134">
        <v>100</v>
      </c>
      <c r="E9" s="417"/>
      <c r="F9" s="418">
        <f>SUMIF(63:63,E9,64:64)-SUMIF(63:63,C9,64:64)+100</f>
        <v>100</v>
      </c>
      <c r="G9" s="419"/>
      <c r="H9" s="134">
        <f>SUMIF(63:63,G9,64:64)-SUMIF(63:63,C9,64:64)+100</f>
        <v>100</v>
      </c>
      <c r="I9" s="419"/>
      <c r="J9" s="134">
        <f>SUMIF(63:63,I9,64:64)-SUMIF(63:63,C9,64:64)+100</f>
        <v>100</v>
      </c>
      <c r="K9" s="2599"/>
      <c r="L9" s="1131"/>
      <c r="M9" s="1132"/>
      <c r="N9" s="1132"/>
      <c r="O9" s="1132"/>
      <c r="P9" s="3201"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426"/>
      <c r="L10" s="1134"/>
      <c r="M10" s="1135"/>
      <c r="N10" s="1135"/>
      <c r="O10" s="1135"/>
      <c r="P10" s="320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7"/>
      <c r="M11" s="1130"/>
      <c r="N11" s="1130"/>
      <c r="O11" s="1130"/>
      <c r="P11" s="3201"/>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6" customFormat="1" ht="15">
      <c r="A12" s="431"/>
      <c r="B12" s="2601">
        <v>111</v>
      </c>
      <c r="C12" s="432"/>
      <c r="D12" s="433">
        <v>100</v>
      </c>
      <c r="E12" s="432"/>
      <c r="F12" s="425">
        <f>SUMIF(70:70,E12,71:71)-SUMIF(70:70,C12,71:71)+100</f>
        <v>100</v>
      </c>
      <c r="G12" s="432"/>
      <c r="H12" s="135">
        <f>SUMIF(70:70,G12,71:71)-SUMIF(70:70,C12,71:71)+100</f>
        <v>100</v>
      </c>
      <c r="I12" s="432"/>
      <c r="J12" s="135">
        <f>SUMIF(70:70,I12,71:71)-SUMIF(70:70,C12,71:71)+100</f>
        <v>100</v>
      </c>
      <c r="K12" s="2602"/>
      <c r="L12" s="1131"/>
      <c r="M12" s="1132"/>
      <c r="N12" s="1132"/>
      <c r="O12" s="1132"/>
      <c r="P12" s="3201"/>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9"/>
      <c r="M13" s="1130"/>
      <c r="N13" s="1130"/>
      <c r="O13" s="1130"/>
      <c r="P13" s="3201"/>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9"/>
      <c r="M14" s="1130"/>
      <c r="N14" s="1130"/>
      <c r="O14" s="1130"/>
      <c r="P14" s="3201"/>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2563</v>
      </c>
      <c r="B15" s="68"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8" t="s">
        <v>2564</v>
      </c>
      <c r="Q15" s="1810" t="str">
        <f t="shared" si="6"/>
        <v>居住社区成熟度</v>
      </c>
      <c r="R15" s="774" t="s">
        <v>21</v>
      </c>
      <c r="S15" s="775">
        <f t="shared" si="0"/>
        <v>100</v>
      </c>
      <c r="T15" s="774" t="s">
        <v>21</v>
      </c>
      <c r="U15" s="775">
        <f t="shared" si="1"/>
        <v>100</v>
      </c>
      <c r="V15" s="774" t="s">
        <v>21</v>
      </c>
      <c r="W15" s="775">
        <f t="shared" si="2"/>
        <v>100</v>
      </c>
      <c r="X15" s="1813"/>
      <c r="Y15" s="3221" t="s">
        <v>2564</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39"/>
      <c r="M16" s="1130"/>
      <c r="N16" s="1130"/>
      <c r="O16" s="1130"/>
      <c r="P16" s="3229"/>
      <c r="Q16" s="1810"/>
      <c r="R16" s="774"/>
      <c r="S16" s="775"/>
      <c r="T16" s="774"/>
      <c r="U16" s="775"/>
      <c r="V16" s="774"/>
      <c r="W16" s="775"/>
      <c r="X16" s="1813"/>
      <c r="Y16" s="3222"/>
      <c r="Z16" s="1814"/>
      <c r="AA16" s="1811">
        <v>1</v>
      </c>
      <c r="AB16" s="1811">
        <v>1</v>
      </c>
      <c r="AC16" s="1811">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9"/>
      <c r="Q17" s="1810" t="str">
        <f>B17</f>
        <v>交通便捷度</v>
      </c>
      <c r="R17" s="774" t="s">
        <v>21</v>
      </c>
      <c r="S17" s="775">
        <f>F17</f>
        <v>100</v>
      </c>
      <c r="T17" s="774" t="s">
        <v>21</v>
      </c>
      <c r="U17" s="775">
        <f>H17</f>
        <v>100</v>
      </c>
      <c r="V17" s="774" t="s">
        <v>21</v>
      </c>
      <c r="W17" s="775">
        <f>J17</f>
        <v>100</v>
      </c>
      <c r="X17" s="1813"/>
      <c r="Y17" s="322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39"/>
      <c r="M18" s="1130"/>
      <c r="N18" s="1130"/>
      <c r="O18" s="1130"/>
      <c r="P18" s="3229"/>
      <c r="Q18" s="1810"/>
      <c r="R18" s="774"/>
      <c r="S18" s="775"/>
      <c r="T18" s="774"/>
      <c r="U18" s="775"/>
      <c r="V18" s="774"/>
      <c r="W18" s="775"/>
      <c r="X18" s="1813"/>
      <c r="Y18" s="3222"/>
      <c r="Z18" s="1814"/>
      <c r="AA18" s="1811">
        <v>1</v>
      </c>
      <c r="AB18" s="1811">
        <v>1</v>
      </c>
      <c r="AC18" s="1811">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9"/>
      <c r="Q19" s="1810" t="str">
        <f>B19</f>
        <v>公共配套设施</v>
      </c>
      <c r="R19" s="774" t="s">
        <v>21</v>
      </c>
      <c r="S19" s="775">
        <f>F19</f>
        <v>100</v>
      </c>
      <c r="T19" s="774" t="s">
        <v>21</v>
      </c>
      <c r="U19" s="775">
        <f>H19</f>
        <v>100</v>
      </c>
      <c r="V19" s="774" t="s">
        <v>21</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39"/>
      <c r="M20" s="1130"/>
      <c r="N20" s="1130"/>
      <c r="O20" s="1130"/>
      <c r="P20" s="3229"/>
      <c r="Q20" s="1810"/>
      <c r="R20" s="774"/>
      <c r="S20" s="775"/>
      <c r="T20" s="774"/>
      <c r="U20" s="775"/>
      <c r="V20" s="774"/>
      <c r="W20" s="775"/>
      <c r="X20" s="1813"/>
      <c r="Y20" s="3222"/>
      <c r="Z20" s="1814"/>
      <c r="AA20" s="1811">
        <v>1</v>
      </c>
      <c r="AB20" s="1811">
        <v>1</v>
      </c>
      <c r="AC20" s="1811">
        <v>1</v>
      </c>
    </row>
    <row r="21" spans="1:29" ht="28.5">
      <c r="A21" s="428"/>
      <c r="B21" s="1383"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8"/>
      <c r="G22" s="2612"/>
      <c r="H22" s="448"/>
      <c r="I22" s="447"/>
      <c r="J22" s="448"/>
      <c r="K22" s="2613"/>
      <c r="L22" s="1139"/>
      <c r="M22" s="1130"/>
      <c r="N22" s="1130"/>
      <c r="O22" s="1130"/>
      <c r="P22" s="3229"/>
      <c r="Q22" s="1810"/>
      <c r="R22" s="774"/>
      <c r="S22" s="775"/>
      <c r="T22" s="774"/>
      <c r="U22" s="775"/>
      <c r="V22" s="774"/>
      <c r="W22" s="775"/>
      <c r="X22" s="1813"/>
      <c r="Y22" s="3222"/>
      <c r="Z22" s="1814"/>
      <c r="AA22" s="1811">
        <v>1</v>
      </c>
      <c r="AB22" s="1811">
        <v>1</v>
      </c>
      <c r="AC22" s="1811">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9"/>
      <c r="Q23" s="1810" t="str">
        <f>B23</f>
        <v>自然及人文环境</v>
      </c>
      <c r="R23" s="774" t="s">
        <v>21</v>
      </c>
      <c r="S23" s="775">
        <f>F23</f>
        <v>100</v>
      </c>
      <c r="T23" s="774" t="s">
        <v>21</v>
      </c>
      <c r="U23" s="775">
        <f>H23</f>
        <v>100</v>
      </c>
      <c r="V23" s="774" t="s">
        <v>21</v>
      </c>
      <c r="W23" s="775">
        <f>J23</f>
        <v>100</v>
      </c>
      <c r="X23" s="1813"/>
      <c r="Y23" s="322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39"/>
      <c r="M24" s="1130"/>
      <c r="N24" s="1130"/>
      <c r="O24" s="1130"/>
      <c r="P24" s="3229"/>
      <c r="Q24" s="1810"/>
      <c r="R24" s="774"/>
      <c r="S24" s="775"/>
      <c r="T24" s="774"/>
      <c r="U24" s="775"/>
      <c r="V24" s="774"/>
      <c r="W24" s="775"/>
      <c r="X24" s="1813"/>
      <c r="Y24" s="3222"/>
      <c r="Z24" s="1814"/>
      <c r="AA24" s="1811">
        <v>1</v>
      </c>
      <c r="AB24" s="1811">
        <v>1</v>
      </c>
      <c r="AC24" s="1811">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39"/>
      <c r="M25" s="1130"/>
      <c r="N25" s="1130"/>
      <c r="O25" s="1130"/>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2"/>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39"/>
      <c r="M26" s="1130"/>
      <c r="N26" s="1130"/>
      <c r="O26" s="1130"/>
      <c r="P26" s="3229"/>
      <c r="Q26" s="1810" t="str">
        <f t="shared" si="11"/>
        <v>朝向</v>
      </c>
      <c r="R26" s="774" t="s">
        <v>21</v>
      </c>
      <c r="S26" s="775">
        <f t="shared" si="12"/>
        <v>100</v>
      </c>
      <c r="T26" s="774" t="s">
        <v>21</v>
      </c>
      <c r="U26" s="775">
        <f t="shared" si="13"/>
        <v>100</v>
      </c>
      <c r="V26" s="774" t="s">
        <v>21</v>
      </c>
      <c r="W26" s="775">
        <f t="shared" si="14"/>
        <v>100</v>
      </c>
      <c r="X26" s="1813"/>
      <c r="Y26" s="3222"/>
      <c r="Z26" s="1814" t="str">
        <f>Q26</f>
        <v>朝向</v>
      </c>
      <c r="AA26" s="1811">
        <f t="shared" si="15"/>
        <v>1</v>
      </c>
      <c r="AB26" s="1811">
        <f t="shared" si="16"/>
        <v>1</v>
      </c>
      <c r="AC26" s="1811">
        <f t="shared" si="17"/>
        <v>1</v>
      </c>
    </row>
    <row r="27" spans="1:29" s="116"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1"/>
      <c r="M27" s="1132"/>
      <c r="N27" s="1132"/>
      <c r="O27" s="1132"/>
      <c r="P27" s="3229"/>
      <c r="Q27" s="1795">
        <f t="shared" si="11"/>
        <v>111</v>
      </c>
      <c r="R27" s="770" t="s">
        <v>21</v>
      </c>
      <c r="S27" s="771">
        <f t="shared" si="12"/>
        <v>100</v>
      </c>
      <c r="T27" s="770" t="s">
        <v>21</v>
      </c>
      <c r="U27" s="771">
        <f t="shared" si="13"/>
        <v>100</v>
      </c>
      <c r="V27" s="770" t="s">
        <v>21</v>
      </c>
      <c r="W27" s="771">
        <f t="shared" si="14"/>
        <v>100</v>
      </c>
      <c r="X27" s="772"/>
      <c r="Y27" s="3222"/>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39"/>
      <c r="M28" s="1130"/>
      <c r="N28" s="1130"/>
      <c r="O28" s="1130"/>
      <c r="P28" s="3229"/>
      <c r="Q28" s="1810">
        <f t="shared" si="11"/>
        <v>111</v>
      </c>
      <c r="R28" s="774" t="s">
        <v>21</v>
      </c>
      <c r="S28" s="775">
        <f t="shared" si="12"/>
        <v>100</v>
      </c>
      <c r="T28" s="774" t="s">
        <v>21</v>
      </c>
      <c r="U28" s="775">
        <f t="shared" si="13"/>
        <v>100</v>
      </c>
      <c r="V28" s="774" t="s">
        <v>21</v>
      </c>
      <c r="W28" s="775">
        <f t="shared" si="14"/>
        <v>100</v>
      </c>
      <c r="X28" s="1813"/>
      <c r="Y28" s="3222"/>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39"/>
      <c r="M29" s="1130"/>
      <c r="N29" s="1130"/>
      <c r="O29" s="1130"/>
      <c r="P29" s="3229"/>
      <c r="Q29" s="1810">
        <f t="shared" si="11"/>
        <v>111</v>
      </c>
      <c r="R29" s="774" t="s">
        <v>21</v>
      </c>
      <c r="S29" s="775">
        <f t="shared" si="12"/>
        <v>100</v>
      </c>
      <c r="T29" s="774" t="s">
        <v>21</v>
      </c>
      <c r="U29" s="775">
        <f t="shared" si="13"/>
        <v>100</v>
      </c>
      <c r="V29" s="774" t="s">
        <v>21</v>
      </c>
      <c r="W29" s="775">
        <f t="shared" si="14"/>
        <v>100</v>
      </c>
      <c r="X29" s="1813"/>
      <c r="Y29" s="3222"/>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39"/>
      <c r="M30" s="1130"/>
      <c r="N30" s="1130"/>
      <c r="O30" s="1130"/>
      <c r="P30" s="3229"/>
      <c r="Q30" s="1810">
        <f t="shared" si="11"/>
        <v>111</v>
      </c>
      <c r="R30" s="774" t="s">
        <v>21</v>
      </c>
      <c r="S30" s="775">
        <f t="shared" si="12"/>
        <v>100</v>
      </c>
      <c r="T30" s="774" t="s">
        <v>21</v>
      </c>
      <c r="U30" s="775">
        <f t="shared" si="13"/>
        <v>100</v>
      </c>
      <c r="V30" s="774" t="s">
        <v>21</v>
      </c>
      <c r="W30" s="775">
        <f t="shared" si="14"/>
        <v>100</v>
      </c>
      <c r="X30" s="1813"/>
      <c r="Y30" s="3222"/>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39"/>
      <c r="M31" s="1130"/>
      <c r="N31" s="1130"/>
      <c r="O31" s="1130"/>
      <c r="P31" s="3229"/>
      <c r="Q31" s="1810">
        <f t="shared" si="11"/>
        <v>111</v>
      </c>
      <c r="R31" s="774" t="s">
        <v>21</v>
      </c>
      <c r="S31" s="775">
        <f t="shared" si="12"/>
        <v>100</v>
      </c>
      <c r="T31" s="774" t="s">
        <v>21</v>
      </c>
      <c r="U31" s="775">
        <f t="shared" si="13"/>
        <v>100</v>
      </c>
      <c r="V31" s="774" t="s">
        <v>21</v>
      </c>
      <c r="W31" s="775">
        <f t="shared" si="14"/>
        <v>100</v>
      </c>
      <c r="X31" s="1813"/>
      <c r="Y31" s="3222"/>
      <c r="Z31" s="1814">
        <f t="shared" si="18"/>
        <v>111</v>
      </c>
      <c r="AA31" s="1811">
        <f t="shared" si="15"/>
        <v>1</v>
      </c>
      <c r="AB31" s="1811">
        <f t="shared" si="16"/>
        <v>1</v>
      </c>
      <c r="AC31" s="1811">
        <f t="shared" si="17"/>
        <v>1</v>
      </c>
    </row>
    <row r="32" spans="1:29" ht="15">
      <c r="A32" s="440" t="s">
        <v>2567</v>
      </c>
      <c r="B32" s="70"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9"/>
      <c r="M32" s="1130"/>
      <c r="N32" s="1130"/>
      <c r="O32" s="1130"/>
      <c r="P32" s="3223" t="s">
        <v>2569</v>
      </c>
      <c r="Q32" s="1810" t="str">
        <f t="shared" si="11"/>
        <v>建筑类型</v>
      </c>
      <c r="R32" s="774" t="s">
        <v>21</v>
      </c>
      <c r="S32" s="775">
        <f t="shared" si="12"/>
        <v>100</v>
      </c>
      <c r="T32" s="774" t="s">
        <v>21</v>
      </c>
      <c r="U32" s="775">
        <f t="shared" si="13"/>
        <v>100</v>
      </c>
      <c r="V32" s="774" t="s">
        <v>21</v>
      </c>
      <c r="W32" s="775">
        <f t="shared" si="14"/>
        <v>100</v>
      </c>
      <c r="X32" s="1813"/>
      <c r="Y32" s="3226" t="s">
        <v>2569</v>
      </c>
      <c r="Z32" s="1814" t="str">
        <f t="shared" si="18"/>
        <v>建筑类型</v>
      </c>
      <c r="AA32" s="1811">
        <f t="shared" si="15"/>
        <v>1</v>
      </c>
      <c r="AB32" s="1811">
        <f t="shared" si="16"/>
        <v>1</v>
      </c>
      <c r="AC32" s="1811">
        <f t="shared" si="17"/>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2"/>
      <c r="L33" s="1137"/>
      <c r="M33" s="1140"/>
      <c r="N33" s="1140"/>
      <c r="O33" s="1140"/>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1" t="e">
        <f t="shared" si="15"/>
        <v>#N/A</v>
      </c>
      <c r="AB33" s="1811" t="e">
        <f t="shared" si="16"/>
        <v>#N/A</v>
      </c>
      <c r="AC33" s="1811"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9"/>
      <c r="M34" s="1130"/>
      <c r="N34" s="1130"/>
      <c r="O34" s="1130"/>
      <c r="P34" s="3224"/>
      <c r="Q34" s="1810" t="str">
        <f t="shared" si="11"/>
        <v>建筑结构</v>
      </c>
      <c r="R34" s="774" t="s">
        <v>21</v>
      </c>
      <c r="S34" s="775">
        <f t="shared" si="12"/>
        <v>100</v>
      </c>
      <c r="T34" s="774" t="s">
        <v>21</v>
      </c>
      <c r="U34" s="775">
        <f t="shared" si="13"/>
        <v>100</v>
      </c>
      <c r="V34" s="774" t="s">
        <v>21</v>
      </c>
      <c r="W34" s="775">
        <f t="shared" si="14"/>
        <v>100</v>
      </c>
      <c r="X34" s="1813"/>
      <c r="Y34" s="3226"/>
      <c r="Z34" s="1814" t="str">
        <f t="shared" si="18"/>
        <v>建筑结构</v>
      </c>
      <c r="AA34" s="1811">
        <f t="shared" si="15"/>
        <v>1</v>
      </c>
      <c r="AB34" s="1811">
        <f t="shared" si="16"/>
        <v>1</v>
      </c>
      <c r="AC34" s="1811">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9"/>
      <c r="M35" s="1130"/>
      <c r="N35" s="1130"/>
      <c r="O35" s="1130"/>
      <c r="P35" s="3224"/>
      <c r="Q35" s="1810" t="str">
        <f t="shared" si="11"/>
        <v>建筑品质</v>
      </c>
      <c r="R35" s="774" t="s">
        <v>21</v>
      </c>
      <c r="S35" s="775">
        <f t="shared" si="12"/>
        <v>100</v>
      </c>
      <c r="T35" s="774" t="s">
        <v>21</v>
      </c>
      <c r="U35" s="775">
        <f t="shared" si="13"/>
        <v>100</v>
      </c>
      <c r="V35" s="774" t="s">
        <v>21</v>
      </c>
      <c r="W35" s="775">
        <f t="shared" si="14"/>
        <v>100</v>
      </c>
      <c r="X35" s="1813"/>
      <c r="Y35" s="3226"/>
      <c r="Z35" s="1814" t="str">
        <f t="shared" si="18"/>
        <v>建筑品质</v>
      </c>
      <c r="AA35" s="1811">
        <f t="shared" si="15"/>
        <v>1</v>
      </c>
      <c r="AB35" s="1811">
        <f t="shared" si="16"/>
        <v>1</v>
      </c>
      <c r="AC35" s="1811">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9"/>
      <c r="M36" s="1130"/>
      <c r="N36" s="1130"/>
      <c r="O36" s="1130"/>
      <c r="P36" s="3224"/>
      <c r="Q36" s="1810" t="str">
        <f t="shared" si="11"/>
        <v>公共部分装修</v>
      </c>
      <c r="R36" s="774" t="s">
        <v>21</v>
      </c>
      <c r="S36" s="775">
        <f t="shared" si="12"/>
        <v>100</v>
      </c>
      <c r="T36" s="774" t="s">
        <v>21</v>
      </c>
      <c r="U36" s="775">
        <f t="shared" si="13"/>
        <v>100</v>
      </c>
      <c r="V36" s="774" t="s">
        <v>21</v>
      </c>
      <c r="W36" s="775">
        <f t="shared" si="14"/>
        <v>100</v>
      </c>
      <c r="X36" s="1813"/>
      <c r="Y36" s="3226"/>
      <c r="Z36" s="1814" t="str">
        <f t="shared" si="18"/>
        <v>公共部分装修</v>
      </c>
      <c r="AA36" s="1811">
        <f t="shared" si="15"/>
        <v>1</v>
      </c>
      <c r="AB36" s="1811">
        <f t="shared" si="16"/>
        <v>1</v>
      </c>
      <c r="AC36" s="1811">
        <f t="shared" si="17"/>
        <v>1</v>
      </c>
    </row>
    <row r="37" spans="1:29" s="116" customFormat="1" ht="15">
      <c r="A37" s="473"/>
      <c r="B37" s="422" t="s">
        <v>2574</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1"/>
      <c r="M37" s="1132"/>
      <c r="N37" s="1132"/>
      <c r="O37" s="1132"/>
      <c r="P37" s="3224"/>
      <c r="Q37" s="1795"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9"/>
      <c r="M38" s="1130"/>
      <c r="N38" s="1130"/>
      <c r="O38" s="1130"/>
      <c r="P38" s="3224" t="s">
        <v>2569</v>
      </c>
      <c r="Q38" s="1810" t="str">
        <f t="shared" si="11"/>
        <v>物业管理</v>
      </c>
      <c r="R38" s="774" t="s">
        <v>21</v>
      </c>
      <c r="S38" s="775">
        <f t="shared" si="12"/>
        <v>100</v>
      </c>
      <c r="T38" s="774" t="s">
        <v>21</v>
      </c>
      <c r="U38" s="775">
        <f t="shared" si="13"/>
        <v>100</v>
      </c>
      <c r="V38" s="774" t="s">
        <v>21</v>
      </c>
      <c r="W38" s="775">
        <f t="shared" si="14"/>
        <v>100</v>
      </c>
      <c r="X38" s="1813"/>
      <c r="Y38" s="3226" t="s">
        <v>2569</v>
      </c>
      <c r="Z38" s="1814" t="str">
        <f t="shared" si="18"/>
        <v>物业管理</v>
      </c>
      <c r="AA38" s="1811">
        <f t="shared" si="15"/>
        <v>1</v>
      </c>
      <c r="AB38" s="1811">
        <f t="shared" si="16"/>
        <v>1</v>
      </c>
      <c r="AC38" s="1811">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9"/>
      <c r="M39" s="1130"/>
      <c r="N39" s="1130"/>
      <c r="O39" s="1130"/>
      <c r="P39" s="3224"/>
      <c r="Q39" s="1810" t="str">
        <f t="shared" si="11"/>
        <v>市政基础设施</v>
      </c>
      <c r="R39" s="774" t="s">
        <v>21</v>
      </c>
      <c r="S39" s="775">
        <f t="shared" si="12"/>
        <v>100</v>
      </c>
      <c r="T39" s="774" t="s">
        <v>21</v>
      </c>
      <c r="U39" s="775">
        <f t="shared" si="13"/>
        <v>100</v>
      </c>
      <c r="V39" s="774" t="s">
        <v>21</v>
      </c>
      <c r="W39" s="775">
        <f t="shared" si="14"/>
        <v>100</v>
      </c>
      <c r="X39" s="1813"/>
      <c r="Y39" s="3226"/>
      <c r="Z39" s="1814" t="str">
        <f t="shared" si="18"/>
        <v>市政基础设施</v>
      </c>
      <c r="AA39" s="1811">
        <f t="shared" si="15"/>
        <v>1</v>
      </c>
      <c r="AB39" s="1811">
        <f t="shared" si="16"/>
        <v>1</v>
      </c>
      <c r="AC39" s="1811">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9"/>
      <c r="M40" s="1130"/>
      <c r="N40" s="1130"/>
      <c r="O40" s="1130"/>
      <c r="P40" s="3224"/>
      <c r="Q40" s="1810" t="str">
        <f t="shared" si="11"/>
        <v>房型</v>
      </c>
      <c r="R40" s="774" t="s">
        <v>21</v>
      </c>
      <c r="S40" s="775">
        <f t="shared" si="12"/>
        <v>100</v>
      </c>
      <c r="T40" s="774" t="s">
        <v>21</v>
      </c>
      <c r="U40" s="775">
        <f t="shared" si="13"/>
        <v>100</v>
      </c>
      <c r="V40" s="774" t="s">
        <v>21</v>
      </c>
      <c r="W40" s="775">
        <f t="shared" si="14"/>
        <v>100</v>
      </c>
      <c r="X40" s="1813"/>
      <c r="Y40" s="3226"/>
      <c r="Z40" s="1814" t="str">
        <f t="shared" si="18"/>
        <v>房型</v>
      </c>
      <c r="AA40" s="1811">
        <f t="shared" si="15"/>
        <v>1</v>
      </c>
      <c r="AB40" s="1811">
        <f t="shared" si="16"/>
        <v>1</v>
      </c>
      <c r="AC40" s="1811">
        <f t="shared" si="17"/>
        <v>1</v>
      </c>
    </row>
    <row r="41" spans="1:29" s="471" customFormat="1" ht="28.5">
      <c r="A41" s="468"/>
      <c r="B41" s="422" t="s">
        <v>2578</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2"/>
      <c r="L41" s="1137"/>
      <c r="M41" s="1140"/>
      <c r="N41" s="1140"/>
      <c r="O41" s="1140"/>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1">
        <f t="shared" si="15"/>
        <v>1</v>
      </c>
      <c r="AB41" s="1811">
        <f t="shared" si="16"/>
        <v>1</v>
      </c>
      <c r="AC41" s="1811">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9"/>
      <c r="M42" s="1130"/>
      <c r="N42" s="1130"/>
      <c r="O42" s="1130"/>
      <c r="P42" s="3224"/>
      <c r="Q42" s="1810" t="str">
        <f t="shared" si="11"/>
        <v>内部装修</v>
      </c>
      <c r="R42" s="774" t="s">
        <v>21</v>
      </c>
      <c r="S42" s="775">
        <f t="shared" si="12"/>
        <v>100</v>
      </c>
      <c r="T42" s="774" t="s">
        <v>21</v>
      </c>
      <c r="U42" s="775">
        <f t="shared" si="13"/>
        <v>100</v>
      </c>
      <c r="V42" s="774" t="s">
        <v>21</v>
      </c>
      <c r="W42" s="775">
        <f t="shared" si="14"/>
        <v>100</v>
      </c>
      <c r="X42" s="1813"/>
      <c r="Y42" s="3226"/>
      <c r="Z42" s="1814" t="str">
        <f t="shared" si="18"/>
        <v>内部装修</v>
      </c>
      <c r="AA42" s="1811">
        <f t="shared" si="15"/>
        <v>1</v>
      </c>
      <c r="AB42" s="1811">
        <f t="shared" si="16"/>
        <v>1</v>
      </c>
      <c r="AC42" s="1811">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9"/>
      <c r="M43" s="1130"/>
      <c r="N43" s="1130"/>
      <c r="O43" s="1130"/>
      <c r="P43" s="3224"/>
      <c r="Q43" s="1810" t="str">
        <f t="shared" si="11"/>
        <v>内部装修维护情况</v>
      </c>
      <c r="R43" s="774" t="s">
        <v>21</v>
      </c>
      <c r="S43" s="775">
        <f t="shared" si="12"/>
        <v>100</v>
      </c>
      <c r="T43" s="774" t="s">
        <v>21</v>
      </c>
      <c r="U43" s="775">
        <f t="shared" si="13"/>
        <v>100</v>
      </c>
      <c r="V43" s="774" t="s">
        <v>21</v>
      </c>
      <c r="W43" s="775">
        <f t="shared" si="14"/>
        <v>100</v>
      </c>
      <c r="X43" s="1813"/>
      <c r="Y43" s="3226"/>
      <c r="Z43" s="1814" t="str">
        <f t="shared" si="18"/>
        <v>内部装修维护情况</v>
      </c>
      <c r="AA43" s="1811">
        <f t="shared" si="15"/>
        <v>1</v>
      </c>
      <c r="AB43" s="1811">
        <f t="shared" si="16"/>
        <v>1</v>
      </c>
      <c r="AC43" s="1811">
        <f t="shared" si="17"/>
        <v>1</v>
      </c>
    </row>
    <row r="44" spans="1:29" s="116" customFormat="1" ht="15">
      <c r="A44" s="473"/>
      <c r="B44" s="1385">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2"/>
      <c r="L44" s="1131"/>
      <c r="M44" s="1132"/>
      <c r="N44" s="1132"/>
      <c r="O44" s="1132"/>
      <c r="P44" s="3224"/>
      <c r="Q44" s="1795">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9"/>
      <c r="M45" s="1130"/>
      <c r="N45" s="1130"/>
      <c r="O45" s="1130"/>
      <c r="P45" s="3224"/>
      <c r="Q45" s="1810">
        <f t="shared" si="11"/>
        <v>111</v>
      </c>
      <c r="R45" s="774" t="s">
        <v>21</v>
      </c>
      <c r="S45" s="775">
        <f t="shared" si="12"/>
        <v>100</v>
      </c>
      <c r="T45" s="774" t="s">
        <v>21</v>
      </c>
      <c r="U45" s="775">
        <f t="shared" si="13"/>
        <v>100</v>
      </c>
      <c r="V45" s="774" t="s">
        <v>21</v>
      </c>
      <c r="W45" s="775">
        <f t="shared" si="14"/>
        <v>100</v>
      </c>
      <c r="X45" s="1813"/>
      <c r="Y45" s="3226"/>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9"/>
      <c r="M46" s="1130"/>
      <c r="N46" s="1130"/>
      <c r="O46" s="1130"/>
      <c r="P46" s="3225"/>
      <c r="Q46" s="1810">
        <f t="shared" si="11"/>
        <v>111</v>
      </c>
      <c r="R46" s="774" t="s">
        <v>20</v>
      </c>
      <c r="S46" s="775">
        <f t="shared" si="12"/>
        <v>100</v>
      </c>
      <c r="T46" s="774" t="s">
        <v>20</v>
      </c>
      <c r="U46" s="775">
        <f t="shared" si="13"/>
        <v>100</v>
      </c>
      <c r="V46" s="774" t="s">
        <v>20</v>
      </c>
      <c r="W46" s="775">
        <f t="shared" si="14"/>
        <v>100</v>
      </c>
      <c r="X46" s="1813"/>
      <c r="Y46" s="3227"/>
      <c r="Z46" s="1814">
        <f t="shared" si="18"/>
        <v>111</v>
      </c>
      <c r="AA46" s="1811">
        <f t="shared" si="15"/>
        <v>1</v>
      </c>
      <c r="AB46" s="1811">
        <f t="shared" si="16"/>
        <v>1</v>
      </c>
      <c r="AC46" s="1811">
        <f t="shared" si="17"/>
        <v>1</v>
      </c>
    </row>
    <row r="47" spans="1:29" ht="15">
      <c r="A47" s="479" t="s">
        <v>2581</v>
      </c>
      <c r="B47" s="480"/>
      <c r="C47" s="1406" t="s">
        <v>19</v>
      </c>
      <c r="D47" s="1407"/>
      <c r="E47" s="1408"/>
      <c r="F47" s="1409"/>
      <c r="G47" s="1410"/>
      <c r="H47" s="1411"/>
      <c r="I47" s="1408"/>
      <c r="J47" s="1411"/>
      <c r="K47" s="2622"/>
      <c r="L47" s="1142"/>
      <c r="M47" s="1143"/>
      <c r="N47" s="1130"/>
      <c r="O47" s="1143"/>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2582</v>
      </c>
      <c r="B48" s="487"/>
      <c r="C48" s="1412" t="e">
        <f>R49</f>
        <v>#DIV/0!</v>
      </c>
      <c r="D48" s="1413"/>
      <c r="E48" s="1414" t="e">
        <f>R48</f>
        <v>#DIV/0!</v>
      </c>
      <c r="F48" s="1414"/>
      <c r="G48" s="1412" t="e">
        <f>T48</f>
        <v>#DIV/0!</v>
      </c>
      <c r="H48" s="1413"/>
      <c r="I48" s="1414" t="e">
        <f>V48</f>
        <v>#DIV/0!</v>
      </c>
      <c r="J48" s="1413"/>
      <c r="K48" s="2623"/>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2583</v>
      </c>
      <c r="B49" s="493"/>
      <c r="C49" s="1415" t="e">
        <f>R49</f>
        <v>#DIV/0!</v>
      </c>
      <c r="D49" s="1416"/>
      <c r="E49" s="1416"/>
      <c r="F49" s="1416"/>
      <c r="G49" s="1416"/>
      <c r="H49" s="1416"/>
      <c r="I49" s="1416"/>
      <c r="J49" s="1416"/>
      <c r="K49" s="2624"/>
      <c r="L49" s="1142"/>
      <c r="M49" s="1143"/>
      <c r="N49" s="1143"/>
      <c r="O49" s="1143"/>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6"/>
    </row>
    <row r="55" spans="1:29" s="502"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3" t="s">
        <v>2587</v>
      </c>
      <c r="B57" s="759"/>
      <c r="C57" s="764"/>
      <c r="D57" s="764"/>
      <c r="E57" s="764"/>
      <c r="F57" s="765"/>
      <c r="G57" s="765"/>
      <c r="H57" s="764"/>
      <c r="I57" s="764"/>
      <c r="J57" s="764"/>
      <c r="K57" s="1159"/>
      <c r="L57" s="1160"/>
      <c r="M57" s="1158"/>
      <c r="N57" s="1158"/>
      <c r="O57" s="1158"/>
      <c r="P57" s="2627"/>
      <c r="Q57" s="504"/>
    </row>
    <row r="58" spans="1:29" s="508" customFormat="1" ht="15">
      <c r="A58" s="505" t="s">
        <v>2588</v>
      </c>
      <c r="B58" s="506"/>
      <c r="C58" s="1576" t="str">
        <f>YEAR(C7)&amp;"-"&amp;MONTH(C7)</f>
        <v>2017-10</v>
      </c>
      <c r="D58" s="1575">
        <f>EDATE(C58,-1)</f>
        <v>42979</v>
      </c>
      <c r="E58" s="1575">
        <f>EDATE(D58,-1)</f>
        <v>42948</v>
      </c>
      <c r="F58" s="1575">
        <f t="shared" ref="F58:O58" si="19">EDATE(E58,-1)</f>
        <v>42917</v>
      </c>
      <c r="G58" s="1575">
        <f t="shared" si="19"/>
        <v>42887</v>
      </c>
      <c r="H58" s="1575">
        <f t="shared" si="19"/>
        <v>42856</v>
      </c>
      <c r="I58" s="1575">
        <f t="shared" si="19"/>
        <v>42826</v>
      </c>
      <c r="J58" s="1575">
        <f t="shared" si="19"/>
        <v>42795</v>
      </c>
      <c r="K58" s="1575">
        <f t="shared" si="19"/>
        <v>42767</v>
      </c>
      <c r="L58" s="1575">
        <f t="shared" si="19"/>
        <v>42736</v>
      </c>
      <c r="M58" s="1575">
        <f t="shared" si="19"/>
        <v>42705</v>
      </c>
      <c r="N58" s="1575">
        <f t="shared" si="19"/>
        <v>42675</v>
      </c>
      <c r="O58" s="1575">
        <f t="shared" si="19"/>
        <v>42644</v>
      </c>
      <c r="P58" s="1570"/>
    </row>
    <row r="59" spans="1:29" s="116" customFormat="1" ht="15">
      <c r="A59" s="509"/>
      <c r="B59" s="2628"/>
      <c r="C59" s="1573">
        <v>100</v>
      </c>
      <c r="D59" s="511"/>
      <c r="E59" s="512"/>
      <c r="F59" s="512"/>
      <c r="G59" s="512"/>
      <c r="H59" s="512"/>
      <c r="I59" s="512"/>
      <c r="J59" s="512"/>
      <c r="K59" s="512"/>
      <c r="L59" s="512"/>
      <c r="M59" s="513"/>
      <c r="N59" s="512"/>
      <c r="O59" s="513"/>
      <c r="P59" s="2629"/>
    </row>
    <row r="60" spans="1:29" s="116" customFormat="1" ht="15.75" thickBot="1">
      <c r="A60" s="515" t="s">
        <v>2589</v>
      </c>
      <c r="B60" s="516"/>
      <c r="C60" s="517"/>
      <c r="D60" s="518"/>
      <c r="E60" s="518"/>
      <c r="F60" s="518"/>
      <c r="G60" s="518"/>
      <c r="H60" s="518"/>
      <c r="I60" s="518"/>
      <c r="J60" s="518"/>
      <c r="K60" s="518"/>
      <c r="L60" s="518"/>
      <c r="M60" s="519"/>
      <c r="N60" s="518"/>
      <c r="O60" s="519"/>
      <c r="P60" s="2629"/>
      <c r="Q60" s="504"/>
    </row>
    <row r="61" spans="1:29" s="116" customFormat="1" ht="15">
      <c r="A61" s="521" t="s">
        <v>2590</v>
      </c>
      <c r="B61" s="510"/>
      <c r="C61" s="522" t="s">
        <v>2591</v>
      </c>
      <c r="D61" s="523"/>
      <c r="E61" s="523"/>
      <c r="F61" s="523"/>
      <c r="G61" s="523"/>
      <c r="H61" s="523"/>
      <c r="I61" s="523"/>
      <c r="J61" s="523"/>
      <c r="K61" s="523"/>
      <c r="L61" s="524"/>
      <c r="M61" s="525"/>
      <c r="N61" s="1150"/>
      <c r="O61" s="1150"/>
      <c r="P61" s="2630"/>
      <c r="Q61" s="504"/>
    </row>
    <row r="62" spans="1:29" s="116"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60"/>
      <c r="E73" s="560"/>
      <c r="F73" s="560"/>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1"/>
      <c r="N82" s="1152"/>
      <c r="O82" s="1152"/>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6" customFormat="1" ht="15.75" thickTop="1">
      <c r="A86" s="579"/>
      <c r="B86" s="538" t="s">
        <v>2614</v>
      </c>
      <c r="C86" s="554"/>
      <c r="D86" s="554"/>
      <c r="E86" s="554"/>
      <c r="F86" s="554"/>
      <c r="G86" s="554"/>
      <c r="H86" s="554"/>
      <c r="I86" s="554"/>
      <c r="J86" s="554"/>
      <c r="K86" s="554"/>
      <c r="L86" s="580"/>
      <c r="M86" s="581"/>
      <c r="N86" s="1150"/>
      <c r="O86" s="1150"/>
      <c r="P86" s="2631"/>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1"/>
      <c r="Q87" s="504"/>
    </row>
    <row r="88" spans="1:17" s="116" customFormat="1" ht="15.75" thickTop="1">
      <c r="A88" s="579"/>
      <c r="B88" s="538" t="s">
        <v>2615</v>
      </c>
      <c r="C88" s="554"/>
      <c r="D88" s="554"/>
      <c r="E88" s="554"/>
      <c r="F88" s="2636"/>
      <c r="G88" s="554"/>
      <c r="H88" s="554"/>
      <c r="I88" s="554"/>
      <c r="J88" s="554"/>
      <c r="K88" s="554"/>
      <c r="L88" s="554"/>
      <c r="M88" s="581"/>
      <c r="N88" s="1150"/>
      <c r="O88" s="1150"/>
      <c r="P88" s="2631"/>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1"/>
      <c r="Q89" s="504"/>
    </row>
    <row r="90" spans="1:17" s="471" customFormat="1" ht="15.75" thickTop="1">
      <c r="A90" s="553"/>
      <c r="B90" s="538">
        <f>B27</f>
        <v>111</v>
      </c>
      <c r="C90" s="554"/>
      <c r="D90" s="554"/>
      <c r="E90" s="554"/>
      <c r="F90" s="554"/>
      <c r="G90" s="554"/>
      <c r="H90" s="555"/>
      <c r="I90" s="555"/>
      <c r="J90" s="555"/>
      <c r="K90" s="555"/>
      <c r="L90" s="556"/>
      <c r="M90" s="557"/>
      <c r="N90" s="1153"/>
      <c r="O90" s="1153"/>
      <c r="P90" s="2632"/>
      <c r="Q90" s="559"/>
    </row>
    <row r="91" spans="1:17" s="471" customFormat="1" ht="15.75" thickBot="1">
      <c r="A91" s="553"/>
      <c r="B91" s="543"/>
      <c r="C91" s="560"/>
      <c r="D91" s="560"/>
      <c r="E91" s="560"/>
      <c r="F91" s="560"/>
      <c r="G91" s="560"/>
      <c r="H91" s="562"/>
      <c r="I91" s="562"/>
      <c r="J91" s="562"/>
      <c r="K91" s="562"/>
      <c r="L91" s="562"/>
      <c r="M91" s="563"/>
      <c r="N91" s="1153"/>
      <c r="O91" s="1153"/>
      <c r="P91" s="2632"/>
      <c r="Q91" s="559"/>
    </row>
    <row r="92" spans="1:17" ht="15.75" thickTop="1">
      <c r="A92" s="534"/>
      <c r="B92" s="538">
        <f>B28</f>
        <v>111</v>
      </c>
      <c r="C92" s="554"/>
      <c r="D92" s="554"/>
      <c r="E92" s="554"/>
      <c r="F92" s="554"/>
      <c r="G92" s="583"/>
      <c r="H92" s="583"/>
      <c r="I92" s="583"/>
      <c r="J92" s="583"/>
      <c r="K92" s="584"/>
      <c r="L92" s="585"/>
      <c r="M92" s="586"/>
      <c r="N92" s="1151"/>
      <c r="O92" s="1151"/>
      <c r="P92" s="2631"/>
      <c r="Q92" s="504"/>
    </row>
    <row r="93" spans="1:17" ht="15.75" thickBot="1">
      <c r="A93" s="534"/>
      <c r="B93" s="543"/>
      <c r="C93" s="560"/>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60"/>
      <c r="E95" s="560"/>
      <c r="F95" s="560"/>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70"/>
      <c r="D97" s="570"/>
      <c r="E97" s="570"/>
      <c r="F97" s="570"/>
      <c r="G97" s="536"/>
      <c r="H97" s="536"/>
      <c r="I97" s="536"/>
      <c r="J97" s="536"/>
      <c r="K97" s="536"/>
      <c r="L97" s="536"/>
      <c r="M97" s="537"/>
      <c r="N97" s="1152"/>
      <c r="O97" s="1152"/>
      <c r="P97" s="2631"/>
      <c r="Q97" s="504"/>
    </row>
    <row r="98" spans="1:17" ht="15.75" thickTop="1">
      <c r="A98" s="534"/>
      <c r="B98" s="546">
        <f>B31</f>
        <v>111</v>
      </c>
      <c r="C98" s="587"/>
      <c r="D98" s="587"/>
      <c r="E98" s="587"/>
      <c r="F98" s="587"/>
      <c r="G98" s="587"/>
      <c r="H98" s="587"/>
      <c r="I98" s="587"/>
      <c r="J98" s="587"/>
      <c r="K98" s="588"/>
      <c r="L98" s="589"/>
      <c r="M98" s="590"/>
      <c r="N98" s="1151"/>
      <c r="O98" s="1151"/>
      <c r="P98" s="2631"/>
      <c r="Q98" s="504"/>
    </row>
    <row r="99" spans="1:17" ht="15.75" thickBot="1">
      <c r="A99" s="2637"/>
      <c r="B99" s="569"/>
      <c r="C99" s="591"/>
      <c r="D99" s="591"/>
      <c r="E99" s="591"/>
      <c r="F99" s="591"/>
      <c r="G99" s="591"/>
      <c r="H99" s="591"/>
      <c r="I99" s="591"/>
      <c r="J99" s="591"/>
      <c r="K99" s="591"/>
      <c r="L99" s="591"/>
      <c r="M99" s="592"/>
      <c r="N99" s="1152"/>
      <c r="O99" s="1152"/>
      <c r="P99" s="2631"/>
      <c r="Q99" s="504"/>
    </row>
    <row r="100" spans="1:17">
      <c r="A100" s="527" t="s">
        <v>2567</v>
      </c>
      <c r="B100" s="528" t="s">
        <v>2616</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1"/>
      <c r="Q106" s="504"/>
    </row>
    <row r="107" spans="1:17" ht="15" thickTop="1">
      <c r="A107" s="599"/>
      <c r="B107" s="538" t="s">
        <v>2619</v>
      </c>
      <c r="C107" s="583"/>
      <c r="D107" s="583"/>
      <c r="E107" s="583"/>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1"/>
      <c r="Q108" s="504"/>
    </row>
    <row r="109" spans="1:17" ht="15" thickTop="1">
      <c r="A109" s="599"/>
      <c r="B109" s="538" t="s">
        <v>2620</v>
      </c>
      <c r="C109" s="554"/>
      <c r="D109" s="554"/>
      <c r="E109" s="554"/>
      <c r="F109" s="583"/>
      <c r="G109" s="583"/>
      <c r="H109" s="583"/>
      <c r="I109" s="583"/>
      <c r="J109" s="583"/>
      <c r="K109" s="584"/>
      <c r="L109" s="585"/>
      <c r="M109" s="586"/>
      <c r="N109" s="1151"/>
      <c r="O109" s="1151"/>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2"/>
      <c r="Q113" s="559"/>
    </row>
    <row r="114" spans="1:17" ht="15" thickTop="1">
      <c r="A114" s="599"/>
      <c r="B114" s="538" t="s">
        <v>2621</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1"/>
      <c r="Q115" s="504"/>
    </row>
    <row r="116" spans="1:17" ht="15" thickTop="1">
      <c r="A116" s="599"/>
      <c r="B116" s="538" t="s">
        <v>2622</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2623</v>
      </c>
      <c r="C118" s="583"/>
      <c r="D118" s="583"/>
      <c r="E118" s="583"/>
      <c r="F118" s="583"/>
      <c r="G118" s="583"/>
      <c r="H118" s="583"/>
      <c r="I118" s="583"/>
      <c r="J118" s="583"/>
      <c r="K118" s="584"/>
      <c r="L118" s="585"/>
      <c r="M118" s="586"/>
      <c r="N118" s="1151"/>
      <c r="O118" s="1151"/>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1"/>
      <c r="Q119" s="504"/>
    </row>
    <row r="120" spans="1:17" s="471" customFormat="1" ht="28.5" thickTop="1">
      <c r="A120" s="593"/>
      <c r="B120" s="538" t="s">
        <v>2578</v>
      </c>
      <c r="C120" s="554"/>
      <c r="D120" s="554"/>
      <c r="E120" s="554"/>
      <c r="F120" s="554"/>
      <c r="G120" s="554"/>
      <c r="H120" s="554"/>
      <c r="I120" s="554"/>
      <c r="J120" s="554"/>
      <c r="K120" s="554"/>
      <c r="L120" s="580"/>
      <c r="M120" s="581"/>
      <c r="N120" s="1153"/>
      <c r="O120" s="1153"/>
      <c r="P120" s="263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60"/>
      <c r="E129" s="560"/>
      <c r="F129" s="560"/>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5" t="s">
        <v>2629</v>
      </c>
      <c r="D138" s="145" t="s">
        <v>2630</v>
      </c>
      <c r="E138" s="2646" t="s">
        <v>2631</v>
      </c>
      <c r="F138" s="2647" t="s">
        <v>2632</v>
      </c>
      <c r="G138" s="145" t="s">
        <v>2630</v>
      </c>
      <c r="H138" s="146" t="s">
        <v>2631</v>
      </c>
      <c r="I138" s="2648"/>
      <c r="J138" s="145" t="s">
        <v>2633</v>
      </c>
      <c r="K138" s="146" t="s">
        <v>2634</v>
      </c>
    </row>
    <row r="139" spans="1:17" ht="15">
      <c r="B139" s="1083">
        <v>6</v>
      </c>
      <c r="C139" s="1084">
        <v>96</v>
      </c>
      <c r="D139" s="2649" t="s">
        <v>2635</v>
      </c>
      <c r="E139" s="1085">
        <v>100</v>
      </c>
      <c r="F139" s="1086">
        <v>102.5</v>
      </c>
      <c r="G139" s="2649" t="s">
        <v>2635</v>
      </c>
      <c r="H139" s="1087">
        <v>105</v>
      </c>
      <c r="I139" s="2650" t="s">
        <v>2636</v>
      </c>
      <c r="J139" s="1084">
        <v>20</v>
      </c>
      <c r="K139" s="1088">
        <f>C145/(J139-2)</f>
        <v>4.0555555555555553E-3</v>
      </c>
    </row>
    <row r="140" spans="1:17" ht="15">
      <c r="B140" s="1089">
        <v>5</v>
      </c>
      <c r="C140" s="1090">
        <v>100</v>
      </c>
      <c r="D140" s="1090"/>
      <c r="E140" s="1091"/>
      <c r="F140" s="1092">
        <v>102</v>
      </c>
      <c r="G140" s="1090"/>
      <c r="H140" s="1093"/>
      <c r="I140" s="2651" t="s">
        <v>2637</v>
      </c>
      <c r="J140" s="315">
        <f>ROUNDUP((J139-1)/2,0)</f>
        <v>10</v>
      </c>
      <c r="K140" s="1094">
        <v>100</v>
      </c>
    </row>
    <row r="141" spans="1:17" ht="15">
      <c r="B141" s="1089">
        <v>4</v>
      </c>
      <c r="C141" s="1090">
        <v>102</v>
      </c>
      <c r="D141" s="1090"/>
      <c r="E141" s="1091"/>
      <c r="F141" s="1092">
        <v>101.5</v>
      </c>
      <c r="G141" s="1090"/>
      <c r="H141" s="1093"/>
      <c r="I141" s="2651" t="s">
        <v>2638</v>
      </c>
      <c r="J141" s="315">
        <v>1</v>
      </c>
      <c r="K141" s="1095">
        <f>ROUND(100+(J141-J140)*K139*100,1)</f>
        <v>96.4</v>
      </c>
    </row>
    <row r="142" spans="1:17" ht="15">
      <c r="B142" s="1089">
        <v>3</v>
      </c>
      <c r="C142" s="1090">
        <v>103</v>
      </c>
      <c r="D142" s="1090"/>
      <c r="E142" s="1091"/>
      <c r="F142" s="1092">
        <v>101</v>
      </c>
      <c r="G142" s="1090"/>
      <c r="H142" s="1093"/>
      <c r="I142" s="2651" t="s">
        <v>2639</v>
      </c>
      <c r="J142" s="315">
        <f>J139</f>
        <v>20</v>
      </c>
      <c r="K142" s="1096">
        <v>95</v>
      </c>
    </row>
    <row r="143" spans="1:17" ht="15">
      <c r="B143" s="1089">
        <v>2</v>
      </c>
      <c r="C143" s="1090">
        <v>100</v>
      </c>
      <c r="D143" s="1090"/>
      <c r="E143" s="1091"/>
      <c r="F143" s="1092">
        <v>100.5</v>
      </c>
      <c r="G143" s="1090"/>
      <c r="H143" s="1093"/>
      <c r="I143" s="2651" t="s">
        <v>2640</v>
      </c>
      <c r="J143" s="1090">
        <v>15</v>
      </c>
      <c r="K143" s="1095">
        <f>ROUND(100+(J143-J140)*K139*100,1)</f>
        <v>102</v>
      </c>
    </row>
    <row r="144" spans="1:17" ht="15">
      <c r="B144" s="1089">
        <v>1</v>
      </c>
      <c r="C144" s="1090">
        <v>98</v>
      </c>
      <c r="D144" s="2652" t="s">
        <v>2641</v>
      </c>
      <c r="E144" s="1091">
        <v>102</v>
      </c>
      <c r="F144" s="1097">
        <v>100</v>
      </c>
      <c r="G144" s="2652" t="s">
        <v>2641</v>
      </c>
      <c r="H144" s="1093">
        <v>105</v>
      </c>
      <c r="I144" s="2651" t="s">
        <v>2640</v>
      </c>
      <c r="J144" s="1090">
        <v>18</v>
      </c>
      <c r="K144" s="1095">
        <f>ROUND(100+(J144-J140)*K139*100,1)</f>
        <v>103.2</v>
      </c>
    </row>
    <row r="145" spans="2:11" ht="15.75" thickBot="1">
      <c r="B145" s="2653" t="s">
        <v>2642</v>
      </c>
      <c r="C145" s="1098">
        <f>ROUND(MAX(C139:C144)/MIN(C139:C144)-1,3)</f>
        <v>7.2999999999999995E-2</v>
      </c>
      <c r="D145" s="1099"/>
      <c r="E145" s="1099"/>
      <c r="F145" s="2654" t="s">
        <v>2643</v>
      </c>
      <c r="G145" s="2655"/>
      <c r="H145" s="2656"/>
      <c r="I145" s="2657" t="s">
        <v>2640</v>
      </c>
      <c r="J145" s="1100">
        <v>8</v>
      </c>
      <c r="K145" s="1101">
        <f>ROUND(100+(J145-J140)*K139*100,1)</f>
        <v>99.2</v>
      </c>
    </row>
    <row r="147" spans="2:11">
      <c r="B147" s="2638" t="s">
        <v>2644</v>
      </c>
    </row>
    <row r="148" spans="2:11">
      <c r="B148" s="2638"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2646</v>
      </c>
      <c r="C1" s="1634" t="s">
        <v>2534</v>
      </c>
      <c r="D1" s="1621"/>
      <c r="E1" s="2658"/>
      <c r="F1" s="2585"/>
      <c r="G1" s="1631" t="s">
        <v>2647</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2331</v>
      </c>
      <c r="B2" s="1417" t="e">
        <f ca="1">IF(C2="——",ROUND(C49*D3/10000,0),ROUND(C49*D3/10000,0)-D2)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8" customFormat="1" ht="28.5" customHeight="1" thickBot="1">
      <c r="A3" s="247" t="s">
        <v>2333</v>
      </c>
      <c r="B3" s="609" t="e">
        <f ca="1">IF(C2="——",C49,ROUND(B2*10000/D3,0))</f>
        <v>#DIV/0!</v>
      </c>
      <c r="C3" s="400" t="s">
        <v>2648</v>
      </c>
      <c r="D3" s="399">
        <f>IF(D1="",'数据-汇总表'!E3,SUMIF('数据-汇总表'!$C19:$C33,D1,'数据-汇总表'!$E19:$E33))</f>
        <v>43696.250000000007</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214" t="s">
        <v>2652</v>
      </c>
      <c r="AC4" s="3184" t="s">
        <v>2653</v>
      </c>
    </row>
    <row r="5" spans="1:29"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214"/>
      <c r="AC5" s="3185"/>
    </row>
    <row r="6" spans="1:29" ht="15.75" thickBot="1">
      <c r="A6" s="406"/>
      <c r="B6" s="407"/>
      <c r="C6" s="3197" t="s">
        <v>2550</v>
      </c>
      <c r="D6" s="3198"/>
      <c r="E6" s="3199" t="s">
        <v>2550</v>
      </c>
      <c r="F6" s="3200"/>
      <c r="G6" s="3197" t="s">
        <v>2550</v>
      </c>
      <c r="H6" s="3198"/>
      <c r="I6" s="3197" t="s">
        <v>2550</v>
      </c>
      <c r="J6" s="3198"/>
      <c r="K6" s="610" t="s">
        <v>2551</v>
      </c>
      <c r="L6" s="1129"/>
      <c r="M6" s="1130"/>
      <c r="N6" s="1130"/>
      <c r="O6" s="1130"/>
      <c r="P6" s="3210"/>
      <c r="Q6" s="3211"/>
      <c r="R6" s="3191"/>
      <c r="S6" s="3192"/>
      <c r="T6" s="3212"/>
      <c r="U6" s="3213"/>
      <c r="V6" s="3214"/>
      <c r="W6" s="3214"/>
      <c r="X6" s="1813"/>
      <c r="Y6" s="3212"/>
      <c r="Z6" s="3213"/>
      <c r="AA6" s="3186"/>
      <c r="AB6" s="3214"/>
      <c r="AC6" s="318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87" t="s">
        <v>2553</v>
      </c>
      <c r="Q7" s="3215"/>
      <c r="R7" s="770" t="s">
        <v>17</v>
      </c>
      <c r="S7" s="771">
        <f t="shared" ref="S7:S15" si="0">F7</f>
        <v>0</v>
      </c>
      <c r="T7" s="770" t="s">
        <v>17</v>
      </c>
      <c r="U7" s="771">
        <f t="shared" ref="U7:U15" si="1">H7</f>
        <v>0</v>
      </c>
      <c r="V7" s="770" t="s">
        <v>17</v>
      </c>
      <c r="W7" s="771">
        <f t="shared" ref="W7:W15" si="2">J7</f>
        <v>0</v>
      </c>
      <c r="X7" s="772"/>
      <c r="Y7" s="3187" t="s">
        <v>2553</v>
      </c>
      <c r="Z7" s="3188"/>
      <c r="AA7" s="773" t="e">
        <f>D7/F7</f>
        <v>#DIV/0!</v>
      </c>
      <c r="AB7" s="773" t="e">
        <f>D7/H7</f>
        <v>#DIV/0!</v>
      </c>
      <c r="AC7" s="773" t="e">
        <f>D7/J7</f>
        <v>#DIV/0!</v>
      </c>
    </row>
    <row r="8" spans="1:29" s="116"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46" si="3">D8/F8</f>
        <v>#DIV/0!</v>
      </c>
      <c r="AB8" s="773" t="e">
        <f t="shared" ref="AB8:AB46" si="4">D8/H8</f>
        <v>#DIV/0!</v>
      </c>
      <c r="AC8" s="773" t="e">
        <f t="shared" ref="AC8:AC46" si="5">D8/J8</f>
        <v>#DIV/0!</v>
      </c>
    </row>
    <row r="9" spans="1:29" s="116" customFormat="1">
      <c r="A9" s="415" t="s">
        <v>2557</v>
      </c>
      <c r="B9" s="70" t="s">
        <v>2558</v>
      </c>
      <c r="C9" s="416"/>
      <c r="D9" s="134">
        <v>100</v>
      </c>
      <c r="E9" s="417"/>
      <c r="F9" s="418">
        <f>SUMIF(63:63,E9,64:64)-SUMIF(63:63,C9,64:64)+100</f>
        <v>100</v>
      </c>
      <c r="G9" s="417"/>
      <c r="H9" s="134">
        <f>SUMIF(63:63,G9,64:64)-SUMIF(63:63,C9,64:64)+100</f>
        <v>100</v>
      </c>
      <c r="I9" s="417"/>
      <c r="J9" s="134">
        <f>SUMIF(63:63,I9,64:64)-SUMIF(63:63,C9,64:64)+100</f>
        <v>100</v>
      </c>
      <c r="K9" s="611"/>
      <c r="L9" s="1131"/>
      <c r="M9" s="1132"/>
      <c r="N9" s="1132"/>
      <c r="O9" s="1132"/>
      <c r="P9" s="3201"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612"/>
      <c r="L10" s="1134"/>
      <c r="M10" s="1135"/>
      <c r="N10" s="1135"/>
      <c r="O10" s="1135"/>
      <c r="P10" s="320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7"/>
      <c r="M11" s="1130"/>
      <c r="N11" s="1130"/>
      <c r="O11" s="1130"/>
      <c r="P11" s="320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425">
        <f>SUMIF(70:70,E12,71:71)-SUMIF(70:70,C12,71:71)+100</f>
        <v>100</v>
      </c>
      <c r="G12" s="434"/>
      <c r="H12" s="135">
        <f>SUMIF(70:70,G12,71:71)-SUMIF(70:70,C12,71:71)+100</f>
        <v>100</v>
      </c>
      <c r="I12" s="434"/>
      <c r="J12" s="135">
        <f>SUMIF(70:70,I12,71:71)-SUMIF(70:70,C12,71:71)+100</f>
        <v>100</v>
      </c>
      <c r="K12" s="613"/>
      <c r="L12" s="1131"/>
      <c r="M12" s="1132"/>
      <c r="N12" s="1132"/>
      <c r="O12" s="1132"/>
      <c r="P12" s="320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2563</v>
      </c>
      <c r="B15" s="68"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8" t="s">
        <v>2564</v>
      </c>
      <c r="Q15" s="1810" t="str">
        <f t="shared" si="6"/>
        <v>商业繁华度</v>
      </c>
      <c r="R15" s="774" t="s">
        <v>17</v>
      </c>
      <c r="S15" s="775">
        <f t="shared" si="0"/>
        <v>100</v>
      </c>
      <c r="T15" s="774" t="s">
        <v>17</v>
      </c>
      <c r="U15" s="775">
        <f t="shared" si="1"/>
        <v>100</v>
      </c>
      <c r="V15" s="774" t="s">
        <v>17</v>
      </c>
      <c r="W15" s="775">
        <f t="shared" si="2"/>
        <v>100</v>
      </c>
      <c r="X15" s="1813"/>
      <c r="Y15" s="3221"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0"/>
      <c r="P16" s="3229"/>
      <c r="Q16" s="1810"/>
      <c r="R16" s="774"/>
      <c r="S16" s="775"/>
      <c r="T16" s="774"/>
      <c r="U16" s="775"/>
      <c r="V16" s="774"/>
      <c r="W16" s="775"/>
      <c r="X16" s="1813"/>
      <c r="Y16" s="3222"/>
      <c r="Z16" s="1814"/>
      <c r="AA16" s="1811">
        <v>1</v>
      </c>
      <c r="AB16" s="1811">
        <v>1</v>
      </c>
      <c r="AC16" s="1811">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9"/>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0"/>
      <c r="P18" s="3229"/>
      <c r="Q18" s="1810"/>
      <c r="R18" s="774"/>
      <c r="S18" s="775"/>
      <c r="T18" s="774"/>
      <c r="U18" s="775"/>
      <c r="V18" s="774"/>
      <c r="W18" s="775"/>
      <c r="X18" s="1813"/>
      <c r="Y18" s="3222"/>
      <c r="Z18" s="1814"/>
      <c r="AA18" s="1811">
        <v>1</v>
      </c>
      <c r="AB18" s="1811">
        <v>1</v>
      </c>
      <c r="AC18" s="1811">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9"/>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0"/>
      <c r="P20" s="3229"/>
      <c r="Q20" s="1810"/>
      <c r="R20" s="774"/>
      <c r="S20" s="775"/>
      <c r="T20" s="774"/>
      <c r="U20" s="775"/>
      <c r="V20" s="774"/>
      <c r="W20" s="775"/>
      <c r="X20" s="1813"/>
      <c r="Y20" s="3222"/>
      <c r="Z20" s="1814"/>
      <c r="AA20" s="1811">
        <v>1</v>
      </c>
      <c r="AB20" s="1811">
        <v>1</v>
      </c>
      <c r="AC20" s="1811">
        <v>1</v>
      </c>
    </row>
    <row r="21" spans="1:29" ht="28.5">
      <c r="A21" s="428"/>
      <c r="B21" s="1383"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0"/>
      <c r="P22" s="3229"/>
      <c r="Q22" s="1810"/>
      <c r="R22" s="774"/>
      <c r="S22" s="775"/>
      <c r="T22" s="774"/>
      <c r="U22" s="775"/>
      <c r="V22" s="774"/>
      <c r="W22" s="775"/>
      <c r="X22" s="1813"/>
      <c r="Y22" s="3222"/>
      <c r="Z22" s="1814"/>
      <c r="AA22" s="1811">
        <v>1</v>
      </c>
      <c r="AB22" s="1811">
        <v>1</v>
      </c>
      <c r="AC22" s="1811">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9"/>
      <c r="Q23" s="1810" t="str">
        <f>B23</f>
        <v>自然及人文环境</v>
      </c>
      <c r="R23" s="774" t="s">
        <v>17</v>
      </c>
      <c r="S23" s="775">
        <f>F23</f>
        <v>100</v>
      </c>
      <c r="T23" s="774" t="s">
        <v>17</v>
      </c>
      <c r="U23" s="775">
        <f>H23</f>
        <v>100</v>
      </c>
      <c r="V23" s="774" t="s">
        <v>17</v>
      </c>
      <c r="W23" s="775">
        <f>J23</f>
        <v>100</v>
      </c>
      <c r="X23" s="1813"/>
      <c r="Y23" s="3222"/>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39"/>
      <c r="M24" s="1130"/>
      <c r="N24" s="1130"/>
      <c r="O24" s="1130"/>
      <c r="P24" s="3229"/>
      <c r="Q24" s="1810"/>
      <c r="R24" s="774"/>
      <c r="S24" s="775"/>
      <c r="T24" s="774"/>
      <c r="U24" s="775"/>
      <c r="V24" s="774"/>
      <c r="W24" s="775"/>
      <c r="X24" s="1813"/>
      <c r="Y24" s="3222"/>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9"/>
      <c r="Q25" s="1810" t="str">
        <f t="shared" ref="Q25:Q46" si="11">B25</f>
        <v>临街状况</v>
      </c>
      <c r="R25" s="774" t="s">
        <v>17</v>
      </c>
      <c r="S25" s="775">
        <f>F25</f>
        <v>100</v>
      </c>
      <c r="T25" s="774" t="s">
        <v>17</v>
      </c>
      <c r="U25" s="775">
        <f>H25</f>
        <v>100</v>
      </c>
      <c r="V25" s="774" t="s">
        <v>17</v>
      </c>
      <c r="W25" s="775">
        <f>J25</f>
        <v>100</v>
      </c>
      <c r="X25" s="1813"/>
      <c r="Y25" s="3222"/>
      <c r="Z25" s="1814" t="str">
        <f>Q25</f>
        <v>临街状况</v>
      </c>
      <c r="AA25" s="1811">
        <f t="shared" si="3"/>
        <v>1</v>
      </c>
      <c r="AB25" s="1811">
        <f t="shared" si="4"/>
        <v>1</v>
      </c>
      <c r="AC25" s="1811">
        <f t="shared" si="5"/>
        <v>1</v>
      </c>
    </row>
    <row r="26" spans="1:29" ht="15">
      <c r="A26" s="428"/>
      <c r="B26" s="1385" t="s">
        <v>2661</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9"/>
      <c r="Q26" s="1810" t="str">
        <f t="shared" si="11"/>
        <v>平面位置/可视性</v>
      </c>
      <c r="R26" s="774" t="s">
        <v>17</v>
      </c>
      <c r="S26" s="775">
        <f>F26</f>
        <v>100</v>
      </c>
      <c r="T26" s="774" t="s">
        <v>17</v>
      </c>
      <c r="U26" s="775">
        <f>H26</f>
        <v>100</v>
      </c>
      <c r="V26" s="774" t="s">
        <v>17</v>
      </c>
      <c r="W26" s="775">
        <f>J26</f>
        <v>100</v>
      </c>
      <c r="X26" s="1813"/>
      <c r="Y26" s="3222"/>
      <c r="Z26" s="1814" t="str">
        <f>Q26</f>
        <v>平面位置/可视性</v>
      </c>
      <c r="AA26" s="1811">
        <f t="shared" si="3"/>
        <v>1</v>
      </c>
      <c r="AB26" s="1811">
        <f t="shared" si="4"/>
        <v>1</v>
      </c>
      <c r="AC26" s="1811">
        <f t="shared" si="5"/>
        <v>1</v>
      </c>
    </row>
    <row r="27" spans="1:29" s="116"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1"/>
      <c r="M27" s="1132"/>
      <c r="N27" s="1132"/>
      <c r="O27" s="1132"/>
      <c r="P27" s="3229"/>
      <c r="Q27" s="1795" t="str">
        <f t="shared" si="11"/>
        <v>人流量</v>
      </c>
      <c r="R27" s="770" t="s">
        <v>17</v>
      </c>
      <c r="S27" s="771">
        <f>F27</f>
        <v>100</v>
      </c>
      <c r="T27" s="770" t="s">
        <v>17</v>
      </c>
      <c r="U27" s="771">
        <f>H27</f>
        <v>100</v>
      </c>
      <c r="V27" s="770" t="s">
        <v>17</v>
      </c>
      <c r="W27" s="771">
        <f>J27</f>
        <v>100</v>
      </c>
      <c r="X27" s="772"/>
      <c r="Y27" s="3222"/>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2"/>
      <c r="Z28" s="1814" t="str">
        <f t="shared" ref="Z28:Z46" si="15">Q28</f>
        <v>楼层</v>
      </c>
      <c r="AA28" s="1811">
        <f t="shared" si="3"/>
        <v>1</v>
      </c>
      <c r="AB28" s="1811">
        <f t="shared" si="4"/>
        <v>1</v>
      </c>
      <c r="AC28" s="181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9"/>
      <c r="Q29" s="1810">
        <f t="shared" si="11"/>
        <v>111</v>
      </c>
      <c r="R29" s="774" t="s">
        <v>17</v>
      </c>
      <c r="S29" s="775">
        <f t="shared" si="12"/>
        <v>100</v>
      </c>
      <c r="T29" s="774" t="s">
        <v>17</v>
      </c>
      <c r="U29" s="775">
        <f t="shared" si="13"/>
        <v>100</v>
      </c>
      <c r="V29" s="774" t="s">
        <v>17</v>
      </c>
      <c r="W29" s="775">
        <f t="shared" si="14"/>
        <v>100</v>
      </c>
      <c r="X29" s="1813"/>
      <c r="Y29" s="3222"/>
      <c r="Z29" s="1814">
        <f t="shared" si="15"/>
        <v>111</v>
      </c>
      <c r="AA29" s="1811">
        <f t="shared" si="3"/>
        <v>1</v>
      </c>
      <c r="AB29" s="1811">
        <f t="shared" si="4"/>
        <v>1</v>
      </c>
      <c r="AC29" s="181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9"/>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181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9"/>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1811">
        <f t="shared" si="5"/>
        <v>1</v>
      </c>
    </row>
    <row r="32" spans="1:29" ht="15">
      <c r="A32" s="440" t="s">
        <v>2567</v>
      </c>
      <c r="B32" s="70"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9"/>
      <c r="M32" s="1130"/>
      <c r="N32" s="1130"/>
      <c r="O32" s="1130"/>
      <c r="P32" s="3223" t="s">
        <v>2569</v>
      </c>
      <c r="Q32" s="1810" t="str">
        <f t="shared" si="11"/>
        <v>商业类型</v>
      </c>
      <c r="R32" s="774" t="s">
        <v>17</v>
      </c>
      <c r="S32" s="775">
        <f t="shared" si="12"/>
        <v>100</v>
      </c>
      <c r="T32" s="774" t="s">
        <v>17</v>
      </c>
      <c r="U32" s="775">
        <f t="shared" si="13"/>
        <v>100</v>
      </c>
      <c r="V32" s="774" t="s">
        <v>17</v>
      </c>
      <c r="W32" s="775">
        <f t="shared" si="14"/>
        <v>100</v>
      </c>
      <c r="X32" s="1813"/>
      <c r="Y32" s="3226" t="s">
        <v>2569</v>
      </c>
      <c r="Z32" s="1814" t="str">
        <f t="shared" si="15"/>
        <v>商业类型</v>
      </c>
      <c r="AA32" s="1811">
        <f t="shared" si="3"/>
        <v>1</v>
      </c>
      <c r="AB32" s="1811">
        <f t="shared" si="4"/>
        <v>1</v>
      </c>
      <c r="AC32" s="1811">
        <f t="shared" si="5"/>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7"/>
      <c r="M33" s="1140"/>
      <c r="N33" s="1140"/>
      <c r="O33" s="1140"/>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1" t="e">
        <f t="shared" si="3"/>
        <v>#N/A</v>
      </c>
      <c r="AB33" s="1811" t="e">
        <f t="shared" si="4"/>
        <v>#N/A</v>
      </c>
      <c r="AC33" s="1811"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9"/>
      <c r="M34" s="1130"/>
      <c r="N34" s="1130"/>
      <c r="O34" s="1130"/>
      <c r="P34" s="3224"/>
      <c r="Q34" s="1810" t="str">
        <f t="shared" si="11"/>
        <v>建筑结构</v>
      </c>
      <c r="R34" s="774" t="s">
        <v>17</v>
      </c>
      <c r="S34" s="775">
        <f t="shared" si="12"/>
        <v>100</v>
      </c>
      <c r="T34" s="774" t="s">
        <v>17</v>
      </c>
      <c r="U34" s="775">
        <f t="shared" si="13"/>
        <v>100</v>
      </c>
      <c r="V34" s="774" t="s">
        <v>17</v>
      </c>
      <c r="W34" s="775">
        <f t="shared" si="14"/>
        <v>100</v>
      </c>
      <c r="X34" s="1813"/>
      <c r="Y34" s="3226"/>
      <c r="Z34" s="1814" t="str">
        <f t="shared" si="15"/>
        <v>建筑结构</v>
      </c>
      <c r="AA34" s="1811">
        <f t="shared" si="3"/>
        <v>1</v>
      </c>
      <c r="AB34" s="1811">
        <f t="shared" si="4"/>
        <v>1</v>
      </c>
      <c r="AC34" s="1811">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9"/>
      <c r="M35" s="1130"/>
      <c r="N35" s="1130"/>
      <c r="O35" s="1130"/>
      <c r="P35" s="3224"/>
      <c r="Q35" s="1810" t="str">
        <f t="shared" si="11"/>
        <v>公共部分装修</v>
      </c>
      <c r="R35" s="774" t="s">
        <v>17</v>
      </c>
      <c r="S35" s="775">
        <f t="shared" si="12"/>
        <v>100</v>
      </c>
      <c r="T35" s="774" t="s">
        <v>17</v>
      </c>
      <c r="U35" s="775">
        <f t="shared" si="13"/>
        <v>100</v>
      </c>
      <c r="V35" s="774" t="s">
        <v>17</v>
      </c>
      <c r="W35" s="775">
        <f t="shared" si="14"/>
        <v>100</v>
      </c>
      <c r="X35" s="1813"/>
      <c r="Y35" s="3226"/>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4"/>
      <c r="Q36" s="1810" t="str">
        <f t="shared" si="11"/>
        <v>成新度</v>
      </c>
      <c r="R36" s="774" t="s">
        <v>17</v>
      </c>
      <c r="S36" s="775" t="e">
        <f t="shared" si="12"/>
        <v>#N/A</v>
      </c>
      <c r="T36" s="774" t="s">
        <v>17</v>
      </c>
      <c r="U36" s="775" t="e">
        <f t="shared" si="13"/>
        <v>#N/A</v>
      </c>
      <c r="V36" s="774" t="s">
        <v>17</v>
      </c>
      <c r="W36" s="775" t="e">
        <f t="shared" si="14"/>
        <v>#N/A</v>
      </c>
      <c r="X36" s="1813"/>
      <c r="Y36" s="3226"/>
      <c r="Z36" s="1814" t="str">
        <f t="shared" si="15"/>
        <v>成新度</v>
      </c>
      <c r="AA36" s="1811" t="e">
        <f t="shared" si="3"/>
        <v>#N/A</v>
      </c>
      <c r="AB36" s="1811" t="e">
        <f t="shared" si="4"/>
        <v>#N/A</v>
      </c>
      <c r="AC36" s="1811" t="e">
        <f t="shared" si="5"/>
        <v>#N/A</v>
      </c>
    </row>
    <row r="37" spans="1:29" s="116" customFormat="1" ht="15">
      <c r="A37" s="473"/>
      <c r="B37" s="422" t="s">
        <v>2667</v>
      </c>
      <c r="C37" s="2614"/>
      <c r="D37" s="135">
        <v>100</v>
      </c>
      <c r="E37" s="2614"/>
      <c r="F37" s="461">
        <f>SUMIF(112:112,E37,113:113)-SUMIF(112:112,C37,113:113)+100</f>
        <v>100</v>
      </c>
      <c r="G37" s="2614"/>
      <c r="H37" s="435">
        <f>SUMIF(112:112,G37,113:113)-SUMIF(112:112,C37,113:113)+100</f>
        <v>100</v>
      </c>
      <c r="I37" s="2614"/>
      <c r="J37" s="435">
        <f>SUMIF(112:112,I37,113:113)-SUMIF(112:112,C37,113:113)+100</f>
        <v>100</v>
      </c>
      <c r="K37" s="612"/>
      <c r="L37" s="1131"/>
      <c r="M37" s="1132"/>
      <c r="N37" s="1132"/>
      <c r="O37" s="1132"/>
      <c r="P37" s="3224"/>
      <c r="Q37" s="1795"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9"/>
      <c r="M38" s="1130"/>
      <c r="N38" s="1130"/>
      <c r="O38" s="1130"/>
      <c r="P38" s="3224" t="s">
        <v>2569</v>
      </c>
      <c r="Q38" s="1810" t="str">
        <f t="shared" si="11"/>
        <v>业态</v>
      </c>
      <c r="R38" s="774" t="s">
        <v>17</v>
      </c>
      <c r="S38" s="775">
        <f t="shared" si="12"/>
        <v>100</v>
      </c>
      <c r="T38" s="774" t="s">
        <v>17</v>
      </c>
      <c r="U38" s="775">
        <f t="shared" si="13"/>
        <v>100</v>
      </c>
      <c r="V38" s="774" t="s">
        <v>17</v>
      </c>
      <c r="W38" s="775">
        <f t="shared" si="14"/>
        <v>100</v>
      </c>
      <c r="X38" s="1813"/>
      <c r="Y38" s="3226" t="s">
        <v>2569</v>
      </c>
      <c r="Z38" s="1814" t="str">
        <f t="shared" si="15"/>
        <v>业态</v>
      </c>
      <c r="AA38" s="1811">
        <f t="shared" si="3"/>
        <v>1</v>
      </c>
      <c r="AB38" s="1811">
        <f t="shared" si="4"/>
        <v>1</v>
      </c>
      <c r="AC38" s="1811">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9"/>
      <c r="M39" s="1130"/>
      <c r="N39" s="1130"/>
      <c r="O39" s="1130"/>
      <c r="P39" s="3224"/>
      <c r="Q39" s="1810" t="str">
        <f t="shared" si="11"/>
        <v>层高</v>
      </c>
      <c r="R39" s="774" t="s">
        <v>17</v>
      </c>
      <c r="S39" s="775">
        <f t="shared" si="12"/>
        <v>100</v>
      </c>
      <c r="T39" s="774" t="s">
        <v>17</v>
      </c>
      <c r="U39" s="775">
        <f t="shared" si="13"/>
        <v>100</v>
      </c>
      <c r="V39" s="774" t="s">
        <v>17</v>
      </c>
      <c r="W39" s="775">
        <f t="shared" si="14"/>
        <v>100</v>
      </c>
      <c r="X39" s="1813"/>
      <c r="Y39" s="3226"/>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4"/>
      <c r="Q40" s="1810" t="str">
        <f t="shared" si="11"/>
        <v>单套建筑面积</v>
      </c>
      <c r="R40" s="774" t="s">
        <v>17</v>
      </c>
      <c r="S40" s="775">
        <f t="shared" si="12"/>
        <v>100</v>
      </c>
      <c r="T40" s="774" t="s">
        <v>17</v>
      </c>
      <c r="U40" s="775">
        <f t="shared" si="13"/>
        <v>100</v>
      </c>
      <c r="V40" s="774" t="s">
        <v>17</v>
      </c>
      <c r="W40" s="775">
        <f t="shared" si="14"/>
        <v>100</v>
      </c>
      <c r="X40" s="1813"/>
      <c r="Y40" s="3226"/>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1">
        <f t="shared" si="3"/>
        <v>1</v>
      </c>
      <c r="AB41" s="1811">
        <f t="shared" si="4"/>
        <v>1</v>
      </c>
      <c r="AC41" s="1811">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9"/>
      <c r="M42" s="1130"/>
      <c r="N42" s="1130"/>
      <c r="O42" s="1130"/>
      <c r="P42" s="3224"/>
      <c r="Q42" s="1810" t="str">
        <f t="shared" si="11"/>
        <v>内部装修</v>
      </c>
      <c r="R42" s="774" t="s">
        <v>17</v>
      </c>
      <c r="S42" s="775">
        <f t="shared" si="12"/>
        <v>100</v>
      </c>
      <c r="T42" s="774" t="s">
        <v>17</v>
      </c>
      <c r="U42" s="775">
        <f t="shared" si="13"/>
        <v>100</v>
      </c>
      <c r="V42" s="774" t="s">
        <v>17</v>
      </c>
      <c r="W42" s="775">
        <f t="shared" si="14"/>
        <v>100</v>
      </c>
      <c r="X42" s="1813"/>
      <c r="Y42" s="3226"/>
      <c r="Z42" s="1814" t="str">
        <f t="shared" si="15"/>
        <v>内部装修</v>
      </c>
      <c r="AA42" s="1811">
        <f t="shared" si="3"/>
        <v>1</v>
      </c>
      <c r="AB42" s="1811">
        <f t="shared" si="4"/>
        <v>1</v>
      </c>
      <c r="AC42" s="1811">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9"/>
      <c r="M43" s="1130"/>
      <c r="N43" s="1130"/>
      <c r="O43" s="1130"/>
      <c r="P43" s="3224"/>
      <c r="Q43" s="1810" t="str">
        <f t="shared" si="11"/>
        <v>内部装修维护情况</v>
      </c>
      <c r="R43" s="774" t="s">
        <v>17</v>
      </c>
      <c r="S43" s="775">
        <f t="shared" si="12"/>
        <v>100</v>
      </c>
      <c r="T43" s="774" t="s">
        <v>17</v>
      </c>
      <c r="U43" s="775">
        <f t="shared" si="13"/>
        <v>100</v>
      </c>
      <c r="V43" s="774" t="s">
        <v>17</v>
      </c>
      <c r="W43" s="775">
        <f t="shared" si="14"/>
        <v>100</v>
      </c>
      <c r="X43" s="1813"/>
      <c r="Y43" s="3226"/>
      <c r="Z43" s="1814" t="str">
        <f t="shared" si="15"/>
        <v>内部装修维护情况</v>
      </c>
      <c r="AA43" s="1811">
        <f t="shared" si="3"/>
        <v>1</v>
      </c>
      <c r="AB43" s="1811">
        <f t="shared" si="4"/>
        <v>1</v>
      </c>
      <c r="AC43" s="1811">
        <f t="shared" si="5"/>
        <v>1</v>
      </c>
    </row>
    <row r="44" spans="1:29" s="116" customFormat="1" ht="15">
      <c r="A44" s="473"/>
      <c r="B44" s="1385">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1"/>
      <c r="M44" s="1132"/>
      <c r="N44" s="1132"/>
      <c r="O44" s="1132"/>
      <c r="P44" s="3224"/>
      <c r="Q44" s="1795">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4"/>
      <c r="Q45" s="1810">
        <f t="shared" si="11"/>
        <v>111</v>
      </c>
      <c r="R45" s="774" t="s">
        <v>17</v>
      </c>
      <c r="S45" s="775">
        <f t="shared" si="12"/>
        <v>100</v>
      </c>
      <c r="T45" s="774" t="s">
        <v>17</v>
      </c>
      <c r="U45" s="775">
        <f t="shared" si="13"/>
        <v>100</v>
      </c>
      <c r="V45" s="774" t="s">
        <v>17</v>
      </c>
      <c r="W45" s="775">
        <f t="shared" si="14"/>
        <v>100</v>
      </c>
      <c r="X45" s="1813"/>
      <c r="Y45" s="3226"/>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5"/>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1811">
        <f t="shared" si="5"/>
        <v>1</v>
      </c>
    </row>
    <row r="47" spans="1:29" ht="15">
      <c r="A47" s="479" t="s">
        <v>2581</v>
      </c>
      <c r="B47" s="480"/>
      <c r="C47" s="1406" t="s">
        <v>1</v>
      </c>
      <c r="D47" s="1407"/>
      <c r="E47" s="1408"/>
      <c r="F47" s="1409"/>
      <c r="G47" s="1410"/>
      <c r="H47" s="1411"/>
      <c r="I47" s="1408"/>
      <c r="J47" s="1411"/>
      <c r="K47" s="783"/>
      <c r="L47" s="1142"/>
      <c r="M47" s="1143"/>
      <c r="N47" s="1130"/>
      <c r="O47" s="1143"/>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75" thickBot="1">
      <c r="A48" s="486" t="s">
        <v>2673</v>
      </c>
      <c r="B48" s="487"/>
      <c r="C48" s="1412" t="e">
        <f>R49</f>
        <v>#DIV/0!</v>
      </c>
      <c r="D48" s="1413"/>
      <c r="E48" s="1414" t="e">
        <f>R48</f>
        <v>#DIV/0!</v>
      </c>
      <c r="F48" s="1414"/>
      <c r="G48" s="1412" t="e">
        <f>T48</f>
        <v>#DIV/0!</v>
      </c>
      <c r="H48" s="1413"/>
      <c r="I48" s="1414" t="e">
        <f>V48</f>
        <v>#DIV/0!</v>
      </c>
      <c r="J48" s="1413"/>
      <c r="K48" s="784"/>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2674</v>
      </c>
      <c r="B49" s="493"/>
      <c r="C49" s="1416" t="e">
        <f>R49</f>
        <v>#DIV/0!</v>
      </c>
      <c r="D49" s="1416"/>
      <c r="E49" s="1416"/>
      <c r="F49" s="1416"/>
      <c r="G49" s="1416"/>
      <c r="H49" s="1416"/>
      <c r="I49" s="1416"/>
      <c r="J49" s="1416"/>
      <c r="K49" s="785"/>
      <c r="L49" s="1142"/>
      <c r="M49" s="1143"/>
      <c r="N49" s="1130"/>
      <c r="O49" s="1143"/>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7"/>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7"/>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0"/>
      <c r="M57" s="1158"/>
      <c r="N57" s="1158"/>
      <c r="O57" s="1158"/>
      <c r="P57" s="2668"/>
      <c r="Q57" s="2669"/>
      <c r="R57" s="759"/>
      <c r="S57" s="759"/>
      <c r="T57" s="759"/>
      <c r="U57" s="759"/>
      <c r="V57" s="759"/>
      <c r="W57" s="759"/>
      <c r="X57" s="759"/>
      <c r="Y57" s="759"/>
      <c r="Z57" s="759"/>
      <c r="AA57" s="759"/>
      <c r="AB57" s="759"/>
      <c r="AC57" s="759"/>
    </row>
    <row r="58" spans="1:29" s="508" customFormat="1" ht="15">
      <c r="A58" s="505" t="s">
        <v>2552</v>
      </c>
      <c r="B58" s="506"/>
      <c r="C58" s="1574" t="str">
        <f>YEAR(C7)&amp;"-"&amp;MONTH(C7)</f>
        <v>2017-10</v>
      </c>
      <c r="D58" s="1575">
        <f>EDATE(C58,-1)</f>
        <v>42979</v>
      </c>
      <c r="E58" s="1575">
        <f t="shared" ref="E58:N58" si="16">EDATE(D58,-1)</f>
        <v>42948</v>
      </c>
      <c r="F58" s="1575">
        <f t="shared" si="16"/>
        <v>42917</v>
      </c>
      <c r="G58" s="1575">
        <f t="shared" si="16"/>
        <v>42887</v>
      </c>
      <c r="H58" s="1575">
        <f t="shared" si="16"/>
        <v>42856</v>
      </c>
      <c r="I58" s="1575">
        <f t="shared" si="16"/>
        <v>42826</v>
      </c>
      <c r="J58" s="1575">
        <f t="shared" si="16"/>
        <v>42795</v>
      </c>
      <c r="K58" s="1575">
        <f t="shared" si="16"/>
        <v>42767</v>
      </c>
      <c r="L58" s="1575">
        <f t="shared" si="16"/>
        <v>42736</v>
      </c>
      <c r="M58" s="1575">
        <f t="shared" si="16"/>
        <v>42705</v>
      </c>
      <c r="N58" s="1575">
        <f t="shared" si="16"/>
        <v>42675</v>
      </c>
      <c r="O58" s="1575">
        <f>EDATE(N58,-1)</f>
        <v>42644</v>
      </c>
      <c r="P58" s="1570"/>
    </row>
    <row r="59" spans="1:29" s="116" customFormat="1" ht="15">
      <c r="A59" s="509"/>
      <c r="B59" s="510"/>
      <c r="C59" s="1573">
        <v>100</v>
      </c>
      <c r="D59" s="512"/>
      <c r="E59" s="512"/>
      <c r="F59" s="512"/>
      <c r="G59" s="512"/>
      <c r="H59" s="512"/>
      <c r="I59" s="512"/>
      <c r="J59" s="512"/>
      <c r="K59" s="512"/>
      <c r="L59" s="512"/>
      <c r="M59" s="513"/>
      <c r="N59" s="512"/>
      <c r="O59" s="513"/>
      <c r="P59" s="2629"/>
    </row>
    <row r="60" spans="1:29" s="116" customFormat="1" ht="15.75" thickBot="1">
      <c r="A60" s="515" t="s">
        <v>2589</v>
      </c>
      <c r="B60" s="516"/>
      <c r="C60" s="517"/>
      <c r="D60" s="518"/>
      <c r="E60" s="518"/>
      <c r="F60" s="518"/>
      <c r="G60" s="518"/>
      <c r="H60" s="518"/>
      <c r="I60" s="518"/>
      <c r="J60" s="518"/>
      <c r="K60" s="518"/>
      <c r="L60" s="518"/>
      <c r="M60" s="519"/>
      <c r="N60" s="518"/>
      <c r="O60" s="519"/>
      <c r="P60" s="2629"/>
      <c r="Q60" s="504"/>
    </row>
    <row r="61" spans="1:29" s="116" customFormat="1" ht="15">
      <c r="A61" s="521" t="s">
        <v>2554</v>
      </c>
      <c r="B61" s="510"/>
      <c r="C61" s="522" t="s">
        <v>2656</v>
      </c>
      <c r="D61" s="523"/>
      <c r="E61" s="523"/>
      <c r="F61" s="523"/>
      <c r="G61" s="523"/>
      <c r="H61" s="523"/>
      <c r="I61" s="523"/>
      <c r="J61" s="523"/>
      <c r="K61" s="523"/>
      <c r="L61" s="524"/>
      <c r="M61" s="525"/>
      <c r="N61" s="1150"/>
      <c r="O61" s="1150"/>
      <c r="P61" s="2630"/>
      <c r="Q61" s="504"/>
    </row>
    <row r="62" spans="1:29" s="116"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36"/>
      <c r="E73" s="536"/>
      <c r="F73" s="536"/>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1"/>
      <c r="N82" s="1152"/>
      <c r="O82" s="1152"/>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6" customFormat="1" ht="15.75" thickTop="1">
      <c r="A86" s="579"/>
      <c r="B86" s="538" t="s">
        <v>2684</v>
      </c>
      <c r="C86" s="554"/>
      <c r="D86" s="554"/>
      <c r="E86" s="554"/>
      <c r="F86" s="554"/>
      <c r="G86" s="554"/>
      <c r="H86" s="554"/>
      <c r="I86" s="554"/>
      <c r="J86" s="554"/>
      <c r="K86" s="554"/>
      <c r="L86" s="580"/>
      <c r="M86" s="581"/>
      <c r="N86" s="1150"/>
      <c r="O86" s="1150"/>
      <c r="P86" s="2631"/>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1"/>
      <c r="Q87" s="504"/>
    </row>
    <row r="88" spans="1:17" s="116" customFormat="1" ht="15.75" thickTop="1">
      <c r="A88" s="579"/>
      <c r="B88" s="538" t="str">
        <f>B26</f>
        <v>平面位置/可视性</v>
      </c>
      <c r="C88" s="554"/>
      <c r="D88" s="554"/>
      <c r="E88" s="554"/>
      <c r="F88" s="2636"/>
      <c r="G88" s="554"/>
      <c r="H88" s="554"/>
      <c r="I88" s="554"/>
      <c r="J88" s="554"/>
      <c r="K88" s="554"/>
      <c r="L88" s="554"/>
      <c r="M88" s="581"/>
      <c r="N88" s="1150"/>
      <c r="O88" s="1150"/>
      <c r="P88" s="2631"/>
      <c r="Q88" s="504"/>
    </row>
    <row r="89" spans="1:17" s="116" customFormat="1" ht="15.75" thickBot="1">
      <c r="A89" s="579"/>
      <c r="B89" s="543"/>
      <c r="C89" s="560"/>
      <c r="D89" s="536"/>
      <c r="E89" s="536"/>
      <c r="F89" s="536"/>
      <c r="G89" s="536"/>
      <c r="H89" s="536"/>
      <c r="I89" s="536"/>
      <c r="J89" s="536"/>
      <c r="K89" s="536"/>
      <c r="L89" s="536"/>
      <c r="M89" s="536"/>
      <c r="N89" s="1152"/>
      <c r="O89" s="1152"/>
      <c r="P89" s="263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2"/>
      <c r="Q91" s="559"/>
    </row>
    <row r="92" spans="1:17" ht="15.75" thickTop="1">
      <c r="A92" s="534"/>
      <c r="B92" s="538" t="str">
        <f>B28</f>
        <v>楼层</v>
      </c>
      <c r="C92" s="554"/>
      <c r="D92" s="554"/>
      <c r="E92" s="554"/>
      <c r="F92" s="554"/>
      <c r="G92" s="554"/>
      <c r="H92" s="554"/>
      <c r="I92" s="554"/>
      <c r="J92" s="554"/>
      <c r="K92" s="554"/>
      <c r="L92" s="580"/>
      <c r="M92" s="581"/>
      <c r="N92" s="1151"/>
      <c r="O92" s="1151"/>
      <c r="P92" s="2631"/>
      <c r="Q92" s="504"/>
    </row>
    <row r="93" spans="1:17" ht="15.75" thickBot="1">
      <c r="A93" s="534"/>
      <c r="B93" s="543"/>
      <c r="C93" s="536"/>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36"/>
      <c r="E95" s="536"/>
      <c r="F95" s="536"/>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60"/>
      <c r="D97" s="536"/>
      <c r="E97" s="536"/>
      <c r="F97" s="536"/>
      <c r="G97" s="536"/>
      <c r="H97" s="536"/>
      <c r="I97" s="536"/>
      <c r="J97" s="536"/>
      <c r="K97" s="536"/>
      <c r="L97" s="536"/>
      <c r="M97" s="537"/>
      <c r="N97" s="1152"/>
      <c r="O97" s="1152"/>
      <c r="P97" s="2631"/>
      <c r="Q97" s="504"/>
    </row>
    <row r="98" spans="1:17" ht="15.75" thickTop="1">
      <c r="A98" s="534"/>
      <c r="B98" s="546">
        <f>B31</f>
        <v>111</v>
      </c>
      <c r="C98" s="554"/>
      <c r="D98" s="554"/>
      <c r="E98" s="554"/>
      <c r="F98" s="554"/>
      <c r="G98" s="587"/>
      <c r="H98" s="587"/>
      <c r="I98" s="587"/>
      <c r="J98" s="587"/>
      <c r="K98" s="588"/>
      <c r="L98" s="589"/>
      <c r="M98" s="590"/>
      <c r="N98" s="1151"/>
      <c r="O98" s="1151"/>
      <c r="P98" s="2631"/>
      <c r="Q98" s="504"/>
    </row>
    <row r="99" spans="1:17" ht="15.75" thickBot="1">
      <c r="A99" s="2637"/>
      <c r="B99" s="569"/>
      <c r="C99" s="570"/>
      <c r="D99" s="570"/>
      <c r="E99" s="570"/>
      <c r="F99" s="570"/>
      <c r="G99" s="591"/>
      <c r="H99" s="591"/>
      <c r="I99" s="591"/>
      <c r="J99" s="591"/>
      <c r="K99" s="591"/>
      <c r="L99" s="591"/>
      <c r="M99" s="592"/>
      <c r="N99" s="1152"/>
      <c r="O99" s="1152"/>
      <c r="P99" s="2631"/>
      <c r="Q99" s="504"/>
    </row>
    <row r="100" spans="1:17">
      <c r="A100" s="527" t="s">
        <v>2567</v>
      </c>
      <c r="B100" s="528" t="s">
        <v>2685</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1"/>
      <c r="Q106" s="504"/>
    </row>
    <row r="107" spans="1:17" ht="15" thickTop="1">
      <c r="A107" s="599"/>
      <c r="B107" s="538" t="s">
        <v>2620</v>
      </c>
      <c r="C107" s="554"/>
      <c r="D107" s="554"/>
      <c r="E107" s="554"/>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1"/>
      <c r="Q111" s="504"/>
    </row>
    <row r="112" spans="1:17" s="471" customFormat="1" ht="15" thickTop="1">
      <c r="A112" s="593"/>
      <c r="B112" s="538" t="s">
        <v>2622</v>
      </c>
      <c r="C112" s="554"/>
      <c r="D112" s="554"/>
      <c r="E112" s="554"/>
      <c r="F112" s="554"/>
      <c r="G112" s="554"/>
      <c r="H112" s="583"/>
      <c r="I112" s="583"/>
      <c r="J112" s="583"/>
      <c r="K112" s="584"/>
      <c r="L112" s="585"/>
      <c r="M112" s="586"/>
      <c r="N112" s="1153"/>
      <c r="O112" s="1153"/>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2"/>
      <c r="Q113" s="559"/>
    </row>
    <row r="114" spans="1:17" ht="15" thickTop="1">
      <c r="A114" s="599"/>
      <c r="B114" s="538" t="s">
        <v>2686</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1"/>
      <c r="Q115" s="504"/>
    </row>
    <row r="116" spans="1:17" ht="15" thickTop="1">
      <c r="A116" s="599"/>
      <c r="B116" s="538" t="s">
        <v>2687</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2688</v>
      </c>
      <c r="C118" s="627"/>
      <c r="D118" s="627"/>
      <c r="E118" s="627"/>
      <c r="F118" s="627"/>
      <c r="G118" s="627"/>
      <c r="H118" s="555"/>
      <c r="I118" s="555"/>
      <c r="J118" s="555"/>
      <c r="K118" s="555"/>
      <c r="L118" s="556"/>
      <c r="M118" s="557"/>
      <c r="N118" s="1151"/>
      <c r="O118" s="1151"/>
      <c r="P118" s="2631"/>
      <c r="Q118" s="504"/>
    </row>
    <row r="119" spans="1:17" ht="15.75" thickBot="1">
      <c r="A119" s="534"/>
      <c r="B119" s="543"/>
      <c r="C119" s="560"/>
      <c r="D119" s="536"/>
      <c r="E119" s="536"/>
      <c r="F119" s="536"/>
      <c r="G119" s="536"/>
      <c r="H119" s="536"/>
      <c r="I119" s="536"/>
      <c r="J119" s="536"/>
      <c r="K119" s="536"/>
      <c r="L119" s="536"/>
      <c r="M119" s="537"/>
      <c r="N119" s="1152"/>
      <c r="O119" s="1152"/>
      <c r="P119" s="2631"/>
      <c r="Q119" s="504"/>
    </row>
    <row r="120" spans="1:17" s="471" customFormat="1" ht="15" thickTop="1">
      <c r="A120" s="593"/>
      <c r="B120" s="538" t="s">
        <v>2689</v>
      </c>
      <c r="C120" s="583"/>
      <c r="D120" s="583"/>
      <c r="E120" s="583"/>
      <c r="F120" s="583"/>
      <c r="G120" s="555"/>
      <c r="H120" s="555"/>
      <c r="I120" s="555"/>
      <c r="J120" s="555"/>
      <c r="K120" s="555"/>
      <c r="L120" s="556"/>
      <c r="M120" s="557"/>
      <c r="N120" s="1153"/>
      <c r="O120" s="1153"/>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36"/>
      <c r="E129" s="536"/>
      <c r="F129" s="536"/>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2690</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43696.250000000007</v>
      </c>
      <c r="E3" s="2664"/>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36" t="s">
        <v>2655</v>
      </c>
      <c r="Q4" s="3237"/>
      <c r="R4" s="3231" t="s">
        <v>2651</v>
      </c>
      <c r="S4" s="3232"/>
      <c r="T4" s="3231" t="s">
        <v>2652</v>
      </c>
      <c r="U4" s="3232"/>
      <c r="V4" s="3240" t="s">
        <v>2653</v>
      </c>
      <c r="W4" s="3240"/>
      <c r="X4" s="2671"/>
      <c r="Y4" s="3231" t="s">
        <v>2655</v>
      </c>
      <c r="Z4" s="3232"/>
      <c r="AA4" s="3230" t="s">
        <v>2651</v>
      </c>
      <c r="AB4" s="3230" t="s">
        <v>2652</v>
      </c>
      <c r="AC4" s="3233" t="s">
        <v>2653</v>
      </c>
    </row>
    <row r="5" spans="1:29" ht="15">
      <c r="A5" s="404"/>
      <c r="B5" s="405"/>
      <c r="C5" s="3195" t="s">
        <v>2546</v>
      </c>
      <c r="D5" s="3196"/>
      <c r="E5" s="3193" t="s">
        <v>2547</v>
      </c>
      <c r="F5" s="3194"/>
      <c r="G5" s="3195" t="s">
        <v>2548</v>
      </c>
      <c r="H5" s="3196"/>
      <c r="I5" s="3195" t="s">
        <v>2549</v>
      </c>
      <c r="J5" s="3196"/>
      <c r="K5" s="610"/>
      <c r="L5" s="1129"/>
      <c r="M5" s="1130"/>
      <c r="N5" s="1130"/>
      <c r="O5" s="1130"/>
      <c r="P5" s="3238"/>
      <c r="Q5" s="3209"/>
      <c r="R5" s="3191"/>
      <c r="S5" s="3192"/>
      <c r="T5" s="3191"/>
      <c r="U5" s="3192"/>
      <c r="V5" s="3214"/>
      <c r="W5" s="3214"/>
      <c r="X5" s="1813"/>
      <c r="Y5" s="3191"/>
      <c r="Z5" s="3192"/>
      <c r="AA5" s="3185"/>
      <c r="AB5" s="3185"/>
      <c r="AC5" s="3234"/>
    </row>
    <row r="6" spans="1:29" ht="15.75" thickBot="1">
      <c r="A6" s="406"/>
      <c r="B6" s="407"/>
      <c r="C6" s="3197" t="s">
        <v>2550</v>
      </c>
      <c r="D6" s="3198"/>
      <c r="E6" s="3199" t="s">
        <v>2550</v>
      </c>
      <c r="F6" s="3200"/>
      <c r="G6" s="3197" t="s">
        <v>2550</v>
      </c>
      <c r="H6" s="3198"/>
      <c r="I6" s="3197" t="s">
        <v>2550</v>
      </c>
      <c r="J6" s="3198"/>
      <c r="K6" s="610" t="s">
        <v>2551</v>
      </c>
      <c r="L6" s="1129"/>
      <c r="M6" s="1130"/>
      <c r="N6" s="1130"/>
      <c r="O6" s="1130"/>
      <c r="P6" s="3239"/>
      <c r="Q6" s="3211"/>
      <c r="R6" s="3191"/>
      <c r="S6" s="3192"/>
      <c r="T6" s="3212"/>
      <c r="U6" s="3213"/>
      <c r="V6" s="3214"/>
      <c r="W6" s="3214"/>
      <c r="X6" s="1813"/>
      <c r="Y6" s="3212"/>
      <c r="Z6" s="3213"/>
      <c r="AA6" s="3186"/>
      <c r="AB6" s="3186"/>
      <c r="AC6" s="3235"/>
    </row>
    <row r="7" spans="1:29" s="116" customFormat="1" ht="15.75" thickBot="1">
      <c r="A7" s="408" t="s">
        <v>2552</v>
      </c>
      <c r="B7" s="409"/>
      <c r="C7" s="410">
        <f>'数据-取费表'!B2</f>
        <v>43039</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1" t="s">
        <v>2553</v>
      </c>
      <c r="Q7" s="3215"/>
      <c r="R7" s="770" t="s">
        <v>17</v>
      </c>
      <c r="S7" s="771">
        <f t="shared" ref="S7:S15" si="0">F7</f>
        <v>0</v>
      </c>
      <c r="T7" s="770" t="s">
        <v>17</v>
      </c>
      <c r="U7" s="771">
        <f t="shared" ref="U7:U15" si="1">H7</f>
        <v>0</v>
      </c>
      <c r="V7" s="770" t="s">
        <v>17</v>
      </c>
      <c r="W7" s="771">
        <f t="shared" ref="W7:W15" si="2">J7</f>
        <v>0</v>
      </c>
      <c r="X7" s="772"/>
      <c r="Y7" s="3187" t="s">
        <v>2553</v>
      </c>
      <c r="Z7" s="3188"/>
      <c r="AA7" s="773" t="e">
        <f>D7/F7</f>
        <v>#DIV/0!</v>
      </c>
      <c r="AB7" s="773" t="e">
        <f>D7/H7</f>
        <v>#DIV/0!</v>
      </c>
      <c r="AC7" s="2672" t="e">
        <f>D7/J7</f>
        <v>#DIV/0!</v>
      </c>
    </row>
    <row r="8" spans="1:29" s="116"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1" t="s">
        <v>2556</v>
      </c>
      <c r="Q8" s="3188"/>
      <c r="R8" s="770" t="s">
        <v>17</v>
      </c>
      <c r="S8" s="771">
        <f t="shared" si="0"/>
        <v>0</v>
      </c>
      <c r="T8" s="770" t="s">
        <v>17</v>
      </c>
      <c r="U8" s="771">
        <f t="shared" si="1"/>
        <v>0</v>
      </c>
      <c r="V8" s="770" t="s">
        <v>17</v>
      </c>
      <c r="W8" s="771">
        <f t="shared" si="2"/>
        <v>0</v>
      </c>
      <c r="X8" s="772"/>
      <c r="Y8" s="3187" t="s">
        <v>2556</v>
      </c>
      <c r="Z8" s="3188"/>
      <c r="AA8" s="773" t="e">
        <f t="shared" ref="AA8:AA47" si="3">D8/F8</f>
        <v>#DIV/0!</v>
      </c>
      <c r="AB8" s="773" t="e">
        <f t="shared" ref="AB8:AB47" si="4">D8/H8</f>
        <v>#DIV/0!</v>
      </c>
      <c r="AC8" s="2672" t="e">
        <f t="shared" ref="AC8:AC47" si="5">D8/J8</f>
        <v>#DIV/0!</v>
      </c>
    </row>
    <row r="9" spans="1:29" s="116" customFormat="1">
      <c r="A9" s="415" t="s">
        <v>2557</v>
      </c>
      <c r="B9" s="70" t="s">
        <v>2558</v>
      </c>
      <c r="C9" s="416"/>
      <c r="D9" s="134">
        <v>100</v>
      </c>
      <c r="E9" s="419"/>
      <c r="F9" s="134">
        <f>SUMIF(64:64,E9,65:65)-SUMIF(64:64,C9,65:65)+100</f>
        <v>100</v>
      </c>
      <c r="G9" s="417"/>
      <c r="H9" s="134">
        <f>SUMIF(64:64,G9,65:65)-SUMIF(64:64,C9,65:65)+100</f>
        <v>100</v>
      </c>
      <c r="I9" s="417"/>
      <c r="J9" s="134">
        <f>SUMIF(64:64,I9,65:65)-SUMIF(64:64,C9,65:65)+100</f>
        <v>100</v>
      </c>
      <c r="K9" s="611"/>
      <c r="L9" s="1131"/>
      <c r="M9" s="1132"/>
      <c r="N9" s="1132"/>
      <c r="O9" s="1132"/>
      <c r="P9" s="3201"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2672">
        <f t="shared" si="5"/>
        <v>1</v>
      </c>
    </row>
    <row r="10" spans="1:29" s="427" customFormat="1" ht="27">
      <c r="A10" s="421"/>
      <c r="B10" s="422" t="s">
        <v>2561</v>
      </c>
      <c r="C10" s="423"/>
      <c r="D10" s="135">
        <v>100</v>
      </c>
      <c r="E10" s="423"/>
      <c r="F10" s="135">
        <f>SUMIF(66:66,E10,67:67)-SUMIF(66:66,C10,67:67)+100</f>
        <v>100</v>
      </c>
      <c r="G10" s="424"/>
      <c r="H10" s="135">
        <f>SUMIF(66:66,G10,67:67)-SUMIF(66:66,C10,67:67)+100</f>
        <v>100</v>
      </c>
      <c r="I10" s="423"/>
      <c r="J10" s="135">
        <f>SUMIF(66:66,I10,67:67)-SUMIF(66:66,C10,67:67)+100</f>
        <v>100</v>
      </c>
      <c r="K10" s="612"/>
      <c r="L10" s="1134"/>
      <c r="M10" s="1135"/>
      <c r="N10" s="1135"/>
      <c r="O10" s="1135"/>
      <c r="P10" s="320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2">
        <f t="shared" si="5"/>
        <v>1</v>
      </c>
    </row>
    <row r="11" spans="1:29" ht="15">
      <c r="A11" s="428"/>
      <c r="B11" s="422" t="s">
        <v>2562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7"/>
      <c r="M11" s="1130"/>
      <c r="N11" s="1130"/>
      <c r="O11" s="1130"/>
      <c r="P11" s="320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2" t="e">
        <f t="shared" si="5"/>
        <v>#N/A</v>
      </c>
    </row>
    <row r="12" spans="1:29" s="116" customFormat="1" ht="15">
      <c r="A12" s="431"/>
      <c r="B12" s="2601">
        <v>111</v>
      </c>
      <c r="C12" s="432"/>
      <c r="D12" s="433">
        <v>100</v>
      </c>
      <c r="E12" s="432"/>
      <c r="F12" s="135">
        <f>SUMIF(71:71,E12,72:72)-SUMIF(71:71,C12,72:72)+100</f>
        <v>100</v>
      </c>
      <c r="G12" s="2673"/>
      <c r="H12" s="135">
        <f>SUMIF(71:71,G12,72:72)-SUMIF(71:71,C12,72:72)+100</f>
        <v>100</v>
      </c>
      <c r="I12" s="432"/>
      <c r="J12" s="135">
        <f>SUMIF(71:71,I12,72:72)-SUMIF(71:71,C12,72:72)+100</f>
        <v>100</v>
      </c>
      <c r="K12" s="613"/>
      <c r="L12" s="1131"/>
      <c r="M12" s="1132"/>
      <c r="N12" s="1132"/>
      <c r="O12" s="1132"/>
      <c r="P12" s="320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2">
        <f>D12/J12</f>
        <v>1</v>
      </c>
    </row>
    <row r="13" spans="1:29" ht="15">
      <c r="A13" s="428"/>
      <c r="B13" s="2601">
        <v>111</v>
      </c>
      <c r="C13" s="434"/>
      <c r="D13" s="435">
        <v>100</v>
      </c>
      <c r="E13" s="432"/>
      <c r="F13" s="135">
        <f>SUMIF(73:73,E13,74:74)-SUMIF(73:73,C13,74:74)+100</f>
        <v>100</v>
      </c>
      <c r="G13" s="2673"/>
      <c r="H13" s="435">
        <f>SUMIF(73:73,G13,74:74)-SUMIF(73:73,C13,74:74)+100</f>
        <v>100</v>
      </c>
      <c r="I13" s="432"/>
      <c r="J13" s="435">
        <f>SUMIF(73:73,I13,74:74)-SUMIF(73:73,C13,74:74)+100</f>
        <v>100</v>
      </c>
      <c r="K13" s="613"/>
      <c r="L13" s="1139"/>
      <c r="M13" s="1130"/>
      <c r="N13" s="1130"/>
      <c r="O13" s="1130"/>
      <c r="P13" s="320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9"/>
      <c r="M14" s="1130"/>
      <c r="N14" s="1130"/>
      <c r="O14" s="1130"/>
      <c r="P14" s="320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8" t="s">
        <v>2564</v>
      </c>
      <c r="Q15" s="1810" t="str">
        <f t="shared" si="6"/>
        <v>办公集聚程度</v>
      </c>
      <c r="R15" s="774" t="s">
        <v>17</v>
      </c>
      <c r="S15" s="775">
        <f t="shared" si="0"/>
        <v>100</v>
      </c>
      <c r="T15" s="774" t="s">
        <v>17</v>
      </c>
      <c r="U15" s="775">
        <f t="shared" si="1"/>
        <v>100</v>
      </c>
      <c r="V15" s="774" t="s">
        <v>17</v>
      </c>
      <c r="W15" s="775">
        <f t="shared" si="2"/>
        <v>100</v>
      </c>
      <c r="X15" s="1813"/>
      <c r="Y15" s="3221" t="s">
        <v>2564</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39"/>
      <c r="M16" s="1130"/>
      <c r="N16" s="1130"/>
      <c r="O16" s="1130"/>
      <c r="P16" s="3229"/>
      <c r="Q16" s="1810"/>
      <c r="R16" s="774"/>
      <c r="S16" s="775"/>
      <c r="T16" s="774"/>
      <c r="U16" s="775"/>
      <c r="V16" s="774"/>
      <c r="W16" s="775"/>
      <c r="X16" s="1813"/>
      <c r="Y16" s="3222"/>
      <c r="Z16" s="1814"/>
      <c r="AA16" s="1811">
        <v>1</v>
      </c>
      <c r="AB16" s="1811">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9"/>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39"/>
      <c r="M18" s="1130"/>
      <c r="N18" s="1130"/>
      <c r="O18" s="1130"/>
      <c r="P18" s="3229"/>
      <c r="Q18" s="1810"/>
      <c r="R18" s="774"/>
      <c r="S18" s="775"/>
      <c r="T18" s="774"/>
      <c r="U18" s="775"/>
      <c r="V18" s="774"/>
      <c r="W18" s="775"/>
      <c r="X18" s="1813"/>
      <c r="Y18" s="3222"/>
      <c r="Z18" s="1814"/>
      <c r="AA18" s="1811">
        <v>1</v>
      </c>
      <c r="AB18" s="1811">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9"/>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39"/>
      <c r="M20" s="1130"/>
      <c r="N20" s="1130"/>
      <c r="O20" s="1130"/>
      <c r="P20" s="3229"/>
      <c r="Q20" s="1810"/>
      <c r="R20" s="774"/>
      <c r="S20" s="775"/>
      <c r="T20" s="774"/>
      <c r="U20" s="775"/>
      <c r="V20" s="774"/>
      <c r="W20" s="775"/>
      <c r="X20" s="1813"/>
      <c r="Y20" s="3222"/>
      <c r="Z20" s="1814"/>
      <c r="AA20" s="1811">
        <v>1</v>
      </c>
      <c r="AB20" s="1811">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9"/>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2"/>
      <c r="L22" s="1139"/>
      <c r="M22" s="1130"/>
      <c r="N22" s="1130"/>
      <c r="O22" s="1130"/>
      <c r="P22" s="3229"/>
      <c r="Q22" s="1810"/>
      <c r="R22" s="774"/>
      <c r="S22" s="775"/>
      <c r="T22" s="774"/>
      <c r="U22" s="775"/>
      <c r="V22" s="774"/>
      <c r="W22" s="775"/>
      <c r="X22" s="1813"/>
      <c r="Y22" s="3222"/>
      <c r="Z22" s="1814"/>
      <c r="AA22" s="1811">
        <v>1</v>
      </c>
      <c r="AB22" s="1811">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9"/>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39"/>
      <c r="M24" s="1130"/>
      <c r="N24" s="1130"/>
      <c r="O24" s="1130"/>
      <c r="P24" s="3229"/>
      <c r="Q24" s="1810"/>
      <c r="R24" s="774"/>
      <c r="S24" s="775"/>
      <c r="T24" s="774"/>
      <c r="U24" s="775"/>
      <c r="V24" s="774"/>
      <c r="W24" s="775"/>
      <c r="X24" s="1813"/>
      <c r="Y24" s="3222"/>
      <c r="Z24" s="1814"/>
      <c r="AA24" s="1811">
        <v>1</v>
      </c>
      <c r="AB24" s="1811">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c r="L25" s="1139"/>
      <c r="M25" s="1130"/>
      <c r="N25" s="1130"/>
      <c r="O25" s="1130"/>
      <c r="P25" s="3229"/>
      <c r="Q25" s="1810" t="str">
        <f>B25</f>
        <v>毗邻道路的类型与等级</v>
      </c>
      <c r="R25" s="774" t="s">
        <v>17</v>
      </c>
      <c r="S25" s="775">
        <f>F25</f>
        <v>100</v>
      </c>
      <c r="T25" s="774" t="s">
        <v>17</v>
      </c>
      <c r="U25" s="775">
        <f>H25</f>
        <v>100</v>
      </c>
      <c r="V25" s="774" t="s">
        <v>17</v>
      </c>
      <c r="W25" s="775">
        <f>J25</f>
        <v>100</v>
      </c>
      <c r="X25" s="1813"/>
      <c r="Y25" s="322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39"/>
      <c r="M26" s="1130"/>
      <c r="N26" s="1130"/>
      <c r="O26" s="1130"/>
      <c r="P26" s="3229"/>
      <c r="Q26" s="1810"/>
      <c r="R26" s="774"/>
      <c r="S26" s="775"/>
      <c r="T26" s="774"/>
      <c r="U26" s="775"/>
      <c r="V26" s="774"/>
      <c r="W26" s="775"/>
      <c r="X26" s="1813"/>
      <c r="Y26" s="3222"/>
      <c r="Z26" s="1814"/>
      <c r="AA26" s="1811">
        <v>1</v>
      </c>
      <c r="AB26" s="1811">
        <v>1</v>
      </c>
      <c r="AC26" s="2675">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9"/>
      <c r="Q27" s="1810" t="str">
        <f t="shared" ref="Q27:Q47" si="11">B27</f>
        <v>楼层</v>
      </c>
      <c r="R27" s="774" t="s">
        <v>17</v>
      </c>
      <c r="S27" s="775">
        <f>F27</f>
        <v>100</v>
      </c>
      <c r="T27" s="774" t="s">
        <v>17</v>
      </c>
      <c r="U27" s="775">
        <f>H27</f>
        <v>100</v>
      </c>
      <c r="V27" s="774" t="s">
        <v>17</v>
      </c>
      <c r="W27" s="775">
        <f>J27</f>
        <v>100</v>
      </c>
      <c r="X27" s="1813"/>
      <c r="Y27" s="3222"/>
      <c r="Z27" s="1814" t="str">
        <f>Q27</f>
        <v>楼层</v>
      </c>
      <c r="AA27" s="1811">
        <f t="shared" si="3"/>
        <v>1</v>
      </c>
      <c r="AB27" s="1811">
        <f t="shared" si="4"/>
        <v>1</v>
      </c>
      <c r="AC27" s="2675">
        <f t="shared" si="5"/>
        <v>1</v>
      </c>
    </row>
    <row r="28" spans="1:29" s="116" customFormat="1" ht="15">
      <c r="A28" s="431"/>
      <c r="B28" s="631" t="s">
        <v>2696</v>
      </c>
      <c r="C28" s="2678"/>
      <c r="D28" s="462">
        <v>100</v>
      </c>
      <c r="E28" s="2666"/>
      <c r="F28" s="462">
        <f>SUMIF(91:91,E28,92:92)-SUMIF(91:91,C28,92:92)+100</f>
        <v>100</v>
      </c>
      <c r="G28" s="2678"/>
      <c r="H28" s="462">
        <f>SUMIF(91:91,G28,92:92)-SUMIF(91:91,C28,92:92)+100</f>
        <v>100</v>
      </c>
      <c r="I28" s="2666"/>
      <c r="J28" s="462">
        <f>SUMIF(91:91,I28,92:92)-SUMIF(91:91,C28,92:92)+100</f>
        <v>100</v>
      </c>
      <c r="K28" s="612"/>
      <c r="L28" s="1131"/>
      <c r="M28" s="1132"/>
      <c r="N28" s="1132"/>
      <c r="O28" s="1132"/>
      <c r="P28" s="3229"/>
      <c r="Q28" s="1795" t="str">
        <f t="shared" si="11"/>
        <v>朝向</v>
      </c>
      <c r="R28" s="770" t="s">
        <v>17</v>
      </c>
      <c r="S28" s="771">
        <f>F28</f>
        <v>100</v>
      </c>
      <c r="T28" s="770" t="s">
        <v>17</v>
      </c>
      <c r="U28" s="771">
        <f>H28</f>
        <v>100</v>
      </c>
      <c r="V28" s="770" t="s">
        <v>17</v>
      </c>
      <c r="W28" s="771">
        <f>J28</f>
        <v>100</v>
      </c>
      <c r="X28" s="772"/>
      <c r="Y28" s="322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9"/>
      <c r="M29" s="1130"/>
      <c r="N29" s="1130"/>
      <c r="O29" s="1130"/>
      <c r="P29" s="3229"/>
      <c r="Q29" s="1810">
        <f t="shared" si="11"/>
        <v>111</v>
      </c>
      <c r="R29" s="774" t="s">
        <v>17</v>
      </c>
      <c r="S29" s="775">
        <f t="shared" ref="S29:S47" si="12">F29</f>
        <v>100</v>
      </c>
      <c r="T29" s="774" t="s">
        <v>17</v>
      </c>
      <c r="U29" s="775">
        <f t="shared" ref="U29:U47" si="13">H29</f>
        <v>100</v>
      </c>
      <c r="V29" s="774" t="s">
        <v>17</v>
      </c>
      <c r="W29" s="775">
        <f t="shared" ref="W29:W47" si="14">J29</f>
        <v>100</v>
      </c>
      <c r="X29" s="1813"/>
      <c r="Y29" s="322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9"/>
      <c r="M30" s="1130"/>
      <c r="N30" s="1130"/>
      <c r="O30" s="1130"/>
      <c r="P30" s="3229"/>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9"/>
      <c r="M31" s="1130"/>
      <c r="N31" s="1130"/>
      <c r="O31" s="1130"/>
      <c r="P31" s="3229"/>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9"/>
      <c r="M32" s="1130"/>
      <c r="N32" s="1130"/>
      <c r="O32" s="1130"/>
      <c r="P32" s="3229"/>
      <c r="Q32" s="1810">
        <f t="shared" si="11"/>
        <v>111</v>
      </c>
      <c r="R32" s="774" t="s">
        <v>17</v>
      </c>
      <c r="S32" s="775">
        <f t="shared" si="12"/>
        <v>100</v>
      </c>
      <c r="T32" s="774" t="s">
        <v>17</v>
      </c>
      <c r="U32" s="775">
        <f t="shared" si="13"/>
        <v>100</v>
      </c>
      <c r="V32" s="774" t="s">
        <v>17</v>
      </c>
      <c r="W32" s="775">
        <f t="shared" si="14"/>
        <v>100</v>
      </c>
      <c r="X32" s="1813"/>
      <c r="Y32" s="3222"/>
      <c r="Z32" s="1814">
        <f t="shared" si="15"/>
        <v>111</v>
      </c>
      <c r="AA32" s="1811">
        <f t="shared" si="3"/>
        <v>1</v>
      </c>
      <c r="AB32" s="1811">
        <f t="shared" si="4"/>
        <v>1</v>
      </c>
      <c r="AC32" s="2675">
        <f t="shared" si="5"/>
        <v>1</v>
      </c>
    </row>
    <row r="33" spans="1:29" ht="15">
      <c r="A33" s="440" t="s">
        <v>2567</v>
      </c>
      <c r="B33" s="70" t="s">
        <v>2697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9"/>
      <c r="M33" s="1130"/>
      <c r="N33" s="1130"/>
      <c r="O33" s="1130"/>
      <c r="P33" s="3223" t="s">
        <v>2569</v>
      </c>
      <c r="Q33" s="1810" t="str">
        <f t="shared" si="11"/>
        <v>建筑类型</v>
      </c>
      <c r="R33" s="774" t="s">
        <v>17</v>
      </c>
      <c r="S33" s="775">
        <f t="shared" si="12"/>
        <v>100</v>
      </c>
      <c r="T33" s="774" t="s">
        <v>17</v>
      </c>
      <c r="U33" s="775">
        <f t="shared" si="13"/>
        <v>100</v>
      </c>
      <c r="V33" s="774" t="s">
        <v>17</v>
      </c>
      <c r="W33" s="775">
        <f t="shared" si="14"/>
        <v>100</v>
      </c>
      <c r="X33" s="1813"/>
      <c r="Y33" s="3226" t="s">
        <v>2569</v>
      </c>
      <c r="Z33" s="1814" t="str">
        <f t="shared" si="15"/>
        <v>建筑类型</v>
      </c>
      <c r="AA33" s="1811">
        <f t="shared" si="3"/>
        <v>1</v>
      </c>
      <c r="AB33" s="1811">
        <f t="shared" si="4"/>
        <v>1</v>
      </c>
      <c r="AC33" s="2675">
        <f t="shared" si="5"/>
        <v>1</v>
      </c>
    </row>
    <row r="34" spans="1:29" s="471" customFormat="1" ht="15">
      <c r="A34" s="468"/>
      <c r="B34" s="422" t="s">
        <v>2570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7"/>
      <c r="M34" s="1140"/>
      <c r="N34" s="1140"/>
      <c r="O34" s="1140"/>
      <c r="P34" s="3224"/>
      <c r="Q34" s="776" t="str">
        <f t="shared" si="11"/>
        <v>项目建筑规模</v>
      </c>
      <c r="R34" s="777" t="s">
        <v>17</v>
      </c>
      <c r="S34" s="778" t="e">
        <f t="shared" si="12"/>
        <v>#N/A</v>
      </c>
      <c r="T34" s="777" t="s">
        <v>17</v>
      </c>
      <c r="U34" s="778" t="e">
        <f t="shared" si="13"/>
        <v>#N/A</v>
      </c>
      <c r="V34" s="777" t="s">
        <v>17</v>
      </c>
      <c r="W34" s="778" t="e">
        <f t="shared" si="14"/>
        <v>#N/A</v>
      </c>
      <c r="X34" s="779"/>
      <c r="Y34" s="3226"/>
      <c r="Z34" s="780" t="str">
        <f t="shared" si="15"/>
        <v>项目建筑规模</v>
      </c>
      <c r="AA34" s="1811" t="e">
        <f t="shared" si="3"/>
        <v>#N/A</v>
      </c>
      <c r="AB34" s="1811" t="e">
        <f t="shared" si="4"/>
        <v>#N/A</v>
      </c>
      <c r="AC34" s="2675"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4"/>
      <c r="Q35" s="1810" t="str">
        <f t="shared" si="11"/>
        <v>建筑结构</v>
      </c>
      <c r="R35" s="774" t="s">
        <v>17</v>
      </c>
      <c r="S35" s="775">
        <f t="shared" si="12"/>
        <v>100</v>
      </c>
      <c r="T35" s="774" t="s">
        <v>17</v>
      </c>
      <c r="U35" s="775">
        <f t="shared" si="13"/>
        <v>100</v>
      </c>
      <c r="V35" s="774" t="s">
        <v>17</v>
      </c>
      <c r="W35" s="775">
        <f t="shared" si="14"/>
        <v>100</v>
      </c>
      <c r="X35" s="1813"/>
      <c r="Y35" s="3226"/>
      <c r="Z35" s="1814" t="str">
        <f t="shared" si="15"/>
        <v>建筑结构</v>
      </c>
      <c r="AA35" s="1811">
        <f t="shared" si="3"/>
        <v>1</v>
      </c>
      <c r="AB35" s="1811">
        <f t="shared" si="4"/>
        <v>1</v>
      </c>
      <c r="AC35" s="2675">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4"/>
      <c r="Q36" s="1810" t="str">
        <f t="shared" si="11"/>
        <v>公共部分装修</v>
      </c>
      <c r="R36" s="774" t="s">
        <v>17</v>
      </c>
      <c r="S36" s="775">
        <f t="shared" si="12"/>
        <v>100</v>
      </c>
      <c r="T36" s="774" t="s">
        <v>17</v>
      </c>
      <c r="U36" s="775">
        <f t="shared" si="13"/>
        <v>100</v>
      </c>
      <c r="V36" s="774" t="s">
        <v>17</v>
      </c>
      <c r="W36" s="775">
        <f t="shared" si="14"/>
        <v>100</v>
      </c>
      <c r="X36" s="1813"/>
      <c r="Y36" s="3226"/>
      <c r="Z36" s="1814" t="str">
        <f t="shared" si="15"/>
        <v>公共部分装修</v>
      </c>
      <c r="AA36" s="1811">
        <f t="shared" si="3"/>
        <v>1</v>
      </c>
      <c r="AB36" s="1811">
        <f t="shared" si="4"/>
        <v>1</v>
      </c>
      <c r="AC36" s="2675">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4"/>
      <c r="Q37" s="1810" t="str">
        <f t="shared" si="11"/>
        <v>成新度</v>
      </c>
      <c r="R37" s="774" t="s">
        <v>17</v>
      </c>
      <c r="S37" s="775" t="e">
        <f t="shared" si="12"/>
        <v>#N/A</v>
      </c>
      <c r="T37" s="774" t="s">
        <v>17</v>
      </c>
      <c r="U37" s="775" t="e">
        <f t="shared" si="13"/>
        <v>#N/A</v>
      </c>
      <c r="V37" s="774" t="s">
        <v>17</v>
      </c>
      <c r="W37" s="775" t="e">
        <f t="shared" si="14"/>
        <v>#N/A</v>
      </c>
      <c r="X37" s="1813"/>
      <c r="Y37" s="3226"/>
      <c r="Z37" s="1814" t="str">
        <f t="shared" si="15"/>
        <v>成新度</v>
      </c>
      <c r="AA37" s="1811" t="e">
        <f t="shared" si="3"/>
        <v>#N/A</v>
      </c>
      <c r="AB37" s="1811" t="e">
        <f t="shared" si="4"/>
        <v>#N/A</v>
      </c>
      <c r="AC37" s="2675" t="e">
        <f t="shared" si="5"/>
        <v>#N/A</v>
      </c>
    </row>
    <row r="38" spans="1:29" s="116" customFormat="1" ht="15">
      <c r="A38" s="473"/>
      <c r="B38" s="422" t="s">
        <v>2698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4"/>
      <c r="Q38" s="1795"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2">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4" t="s">
        <v>2569</v>
      </c>
      <c r="Q39" s="1810" t="str">
        <f t="shared" si="11"/>
        <v>物业管理</v>
      </c>
      <c r="R39" s="774" t="s">
        <v>17</v>
      </c>
      <c r="S39" s="775">
        <f t="shared" si="12"/>
        <v>100</v>
      </c>
      <c r="T39" s="774" t="s">
        <v>17</v>
      </c>
      <c r="U39" s="775">
        <f t="shared" si="13"/>
        <v>100</v>
      </c>
      <c r="V39" s="774" t="s">
        <v>17</v>
      </c>
      <c r="W39" s="775">
        <f t="shared" si="14"/>
        <v>100</v>
      </c>
      <c r="X39" s="1813"/>
      <c r="Y39" s="3226" t="s">
        <v>2569</v>
      </c>
      <c r="Z39" s="1814" t="str">
        <f t="shared" si="15"/>
        <v>物业管理</v>
      </c>
      <c r="AA39" s="1811">
        <f t="shared" si="3"/>
        <v>1</v>
      </c>
      <c r="AB39" s="1811">
        <f t="shared" si="4"/>
        <v>1</v>
      </c>
      <c r="AC39" s="2675">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4"/>
      <c r="Q40" s="1810" t="str">
        <f t="shared" si="11"/>
        <v>市政基础设施</v>
      </c>
      <c r="R40" s="774" t="s">
        <v>17</v>
      </c>
      <c r="S40" s="775">
        <f t="shared" si="12"/>
        <v>100</v>
      </c>
      <c r="T40" s="774" t="s">
        <v>17</v>
      </c>
      <c r="U40" s="775">
        <f t="shared" si="13"/>
        <v>100</v>
      </c>
      <c r="V40" s="774" t="s">
        <v>17</v>
      </c>
      <c r="W40" s="775">
        <f t="shared" si="14"/>
        <v>100</v>
      </c>
      <c r="X40" s="1813"/>
      <c r="Y40" s="3226"/>
      <c r="Z40" s="1814" t="str">
        <f t="shared" si="15"/>
        <v>市政基础设施</v>
      </c>
      <c r="AA40" s="1811">
        <f t="shared" si="3"/>
        <v>1</v>
      </c>
      <c r="AB40" s="1811">
        <f t="shared" si="4"/>
        <v>1</v>
      </c>
      <c r="AC40" s="2675">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4"/>
      <c r="Q41" s="1810" t="str">
        <f t="shared" si="11"/>
        <v>层高</v>
      </c>
      <c r="R41" s="774" t="s">
        <v>17</v>
      </c>
      <c r="S41" s="775">
        <f t="shared" si="12"/>
        <v>100</v>
      </c>
      <c r="T41" s="774" t="s">
        <v>17</v>
      </c>
      <c r="U41" s="775">
        <f t="shared" si="13"/>
        <v>100</v>
      </c>
      <c r="V41" s="774" t="s">
        <v>17</v>
      </c>
      <c r="W41" s="775">
        <f t="shared" si="14"/>
        <v>100</v>
      </c>
      <c r="X41" s="1813"/>
      <c r="Y41" s="3226"/>
      <c r="Z41" s="1814" t="str">
        <f t="shared" si="15"/>
        <v>层高</v>
      </c>
      <c r="AA41" s="1811">
        <f t="shared" si="3"/>
        <v>1</v>
      </c>
      <c r="AB41" s="1811">
        <f t="shared" si="4"/>
        <v>1</v>
      </c>
      <c r="AC41" s="2675">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4"/>
      <c r="Q42" s="776" t="str">
        <f t="shared" si="11"/>
        <v>单套建筑面积</v>
      </c>
      <c r="R42" s="777" t="s">
        <v>17</v>
      </c>
      <c r="S42" s="778">
        <f t="shared" si="12"/>
        <v>100</v>
      </c>
      <c r="T42" s="777" t="s">
        <v>17</v>
      </c>
      <c r="U42" s="778">
        <f t="shared" si="13"/>
        <v>100</v>
      </c>
      <c r="V42" s="777" t="s">
        <v>17</v>
      </c>
      <c r="W42" s="778">
        <f t="shared" si="14"/>
        <v>100</v>
      </c>
      <c r="X42" s="779"/>
      <c r="Y42" s="3226"/>
      <c r="Z42" s="780" t="str">
        <f t="shared" si="15"/>
        <v>单套建筑面积</v>
      </c>
      <c r="AA42" s="1811">
        <f t="shared" si="3"/>
        <v>1</v>
      </c>
      <c r="AB42" s="1811">
        <f t="shared" si="4"/>
        <v>1</v>
      </c>
      <c r="AC42" s="2675">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4"/>
      <c r="Q43" s="1810" t="str">
        <f t="shared" si="11"/>
        <v>内部装修</v>
      </c>
      <c r="R43" s="774" t="s">
        <v>17</v>
      </c>
      <c r="S43" s="775">
        <f t="shared" si="12"/>
        <v>100</v>
      </c>
      <c r="T43" s="774" t="s">
        <v>17</v>
      </c>
      <c r="U43" s="775">
        <f t="shared" si="13"/>
        <v>100</v>
      </c>
      <c r="V43" s="774" t="s">
        <v>17</v>
      </c>
      <c r="W43" s="775">
        <f t="shared" si="14"/>
        <v>100</v>
      </c>
      <c r="X43" s="1813"/>
      <c r="Y43" s="3226"/>
      <c r="Z43" s="1814" t="str">
        <f t="shared" si="15"/>
        <v>内部装修</v>
      </c>
      <c r="AA43" s="1811">
        <f t="shared" si="3"/>
        <v>1</v>
      </c>
      <c r="AB43" s="1811">
        <f t="shared" si="4"/>
        <v>1</v>
      </c>
      <c r="AC43" s="2675">
        <f t="shared" si="5"/>
        <v>1</v>
      </c>
    </row>
    <row r="44" spans="1:29" ht="15">
      <c r="A44" s="472"/>
      <c r="B44" s="422" t="s">
        <v>2580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9"/>
      <c r="M44" s="1130"/>
      <c r="N44" s="1130"/>
      <c r="O44" s="1130"/>
      <c r="P44" s="3224"/>
      <c r="Q44" s="1810" t="str">
        <f t="shared" si="11"/>
        <v>内部装修维护情况</v>
      </c>
      <c r="R44" s="774" t="s">
        <v>17</v>
      </c>
      <c r="S44" s="775">
        <f t="shared" si="12"/>
        <v>100</v>
      </c>
      <c r="T44" s="774" t="s">
        <v>17</v>
      </c>
      <c r="U44" s="775">
        <f t="shared" si="13"/>
        <v>100</v>
      </c>
      <c r="V44" s="774" t="s">
        <v>17</v>
      </c>
      <c r="W44" s="775">
        <f t="shared" si="14"/>
        <v>100</v>
      </c>
      <c r="X44" s="1813"/>
      <c r="Y44" s="3226"/>
      <c r="Z44" s="1814" t="str">
        <f t="shared" si="15"/>
        <v>内部装修维护情况</v>
      </c>
      <c r="AA44" s="1811">
        <f t="shared" si="3"/>
        <v>1</v>
      </c>
      <c r="AB44" s="1811">
        <f t="shared" si="4"/>
        <v>1</v>
      </c>
      <c r="AC44" s="2675">
        <f t="shared" si="5"/>
        <v>1</v>
      </c>
    </row>
    <row r="45" spans="1:29" s="116" customFormat="1" ht="15">
      <c r="A45" s="473"/>
      <c r="B45" s="1385">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1"/>
      <c r="M45" s="1132"/>
      <c r="N45" s="1132"/>
      <c r="O45" s="1132"/>
      <c r="P45" s="3224"/>
      <c r="Q45" s="1795">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4"/>
      <c r="Q46" s="1810">
        <f t="shared" si="11"/>
        <v>111</v>
      </c>
      <c r="R46" s="774" t="s">
        <v>17</v>
      </c>
      <c r="S46" s="775">
        <f t="shared" si="12"/>
        <v>100</v>
      </c>
      <c r="T46" s="774" t="s">
        <v>17</v>
      </c>
      <c r="U46" s="775">
        <f t="shared" si="13"/>
        <v>100</v>
      </c>
      <c r="V46" s="774" t="s">
        <v>17</v>
      </c>
      <c r="W46" s="775">
        <f t="shared" si="14"/>
        <v>100</v>
      </c>
      <c r="X46" s="1813"/>
      <c r="Y46" s="3226"/>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5"/>
      <c r="Q47" s="1810">
        <f t="shared" si="11"/>
        <v>111</v>
      </c>
      <c r="R47" s="774" t="s">
        <v>17</v>
      </c>
      <c r="S47" s="775">
        <f t="shared" si="12"/>
        <v>100</v>
      </c>
      <c r="T47" s="774" t="s">
        <v>17</v>
      </c>
      <c r="U47" s="775">
        <f t="shared" si="13"/>
        <v>100</v>
      </c>
      <c r="V47" s="774" t="s">
        <v>17</v>
      </c>
      <c r="W47" s="775">
        <f t="shared" si="14"/>
        <v>100</v>
      </c>
      <c r="X47" s="1813"/>
      <c r="Y47" s="3227"/>
      <c r="Z47" s="1814">
        <f t="shared" si="15"/>
        <v>111</v>
      </c>
      <c r="AA47" s="1811">
        <f t="shared" si="3"/>
        <v>1</v>
      </c>
      <c r="AB47" s="1811">
        <f t="shared" si="4"/>
        <v>1</v>
      </c>
      <c r="AC47" s="2675">
        <f t="shared" si="5"/>
        <v>1</v>
      </c>
    </row>
    <row r="48" spans="1:29" ht="15">
      <c r="A48" s="479" t="s">
        <v>2581</v>
      </c>
      <c r="B48" s="480"/>
      <c r="C48" s="1406" t="s">
        <v>1</v>
      </c>
      <c r="D48" s="1407"/>
      <c r="E48" s="1408"/>
      <c r="F48" s="1409"/>
      <c r="G48" s="1410"/>
      <c r="H48" s="1411"/>
      <c r="I48" s="1408"/>
      <c r="J48" s="485"/>
      <c r="K48" s="783"/>
      <c r="L48" s="1142"/>
      <c r="M48" s="1130"/>
      <c r="N48" s="1130"/>
      <c r="O48" s="1130"/>
      <c r="P48" s="3201" t="str">
        <f>A48</f>
        <v>成交单价（元/平方米）</v>
      </c>
      <c r="Q48" s="3219"/>
      <c r="R48" s="3220">
        <f>E48</f>
        <v>0</v>
      </c>
      <c r="S48" s="3220"/>
      <c r="T48" s="3220">
        <f>G48</f>
        <v>0</v>
      </c>
      <c r="U48" s="3220"/>
      <c r="V48" s="3220">
        <f>I48</f>
        <v>0</v>
      </c>
      <c r="W48" s="3220"/>
      <c r="X48" s="446"/>
      <c r="Y48" s="781"/>
      <c r="Z48" s="446"/>
      <c r="AA48" s="446"/>
      <c r="AB48" s="446"/>
      <c r="AC48" s="630"/>
    </row>
    <row r="49" spans="1:29" ht="15.75" thickBot="1">
      <c r="A49" s="486" t="s">
        <v>2673</v>
      </c>
      <c r="B49" s="487"/>
      <c r="C49" s="1412" t="e">
        <f>R50</f>
        <v>#DIV/0!</v>
      </c>
      <c r="D49" s="1413"/>
      <c r="E49" s="1414" t="e">
        <f>R49</f>
        <v>#DIV/0!</v>
      </c>
      <c r="F49" s="1414"/>
      <c r="G49" s="1412" t="e">
        <f>T49</f>
        <v>#DIV/0!</v>
      </c>
      <c r="H49" s="1413"/>
      <c r="I49" s="1414" t="e">
        <f>V49</f>
        <v>#DIV/0!</v>
      </c>
      <c r="J49" s="489"/>
      <c r="K49" s="784"/>
      <c r="L49" s="1142"/>
      <c r="M49" s="1130"/>
      <c r="N49" s="1130"/>
      <c r="O49" s="1130"/>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2674</v>
      </c>
      <c r="B50" s="493"/>
      <c r="C50" s="1416" t="e">
        <f>R50</f>
        <v>#DIV/0!</v>
      </c>
      <c r="D50" s="1416"/>
      <c r="E50" s="1416"/>
      <c r="F50" s="1416"/>
      <c r="G50" s="1416"/>
      <c r="H50" s="1416"/>
      <c r="I50" s="1416"/>
      <c r="J50" s="494"/>
      <c r="K50" s="785"/>
      <c r="L50" s="1142"/>
      <c r="M50" s="1130"/>
      <c r="N50" s="1130"/>
      <c r="O50" s="1130"/>
      <c r="P50" s="3242" t="str">
        <f>A50</f>
        <v>估价对象XX用房的比较价值（楼面单价，元/平方米）</v>
      </c>
      <c r="Q50" s="3243"/>
      <c r="R50" s="3244" t="e">
        <f>IF(F1="售价",ROUND(AVERAGE(R49:V49),0),ROUND(AVERAGE(R49:V49),1))</f>
        <v>#DIV/0!</v>
      </c>
      <c r="S50" s="3244"/>
      <c r="T50" s="3244"/>
      <c r="U50" s="3244"/>
      <c r="V50" s="3244"/>
      <c r="W50" s="3244"/>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1"/>
    </row>
    <row r="56" spans="1:29" s="502"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3" t="s">
        <v>2678</v>
      </c>
      <c r="B58" s="759"/>
      <c r="C58" s="764"/>
      <c r="D58" s="764"/>
      <c r="E58" s="764"/>
      <c r="F58" s="765"/>
      <c r="G58" s="765"/>
      <c r="H58" s="764"/>
      <c r="I58" s="764"/>
      <c r="J58" s="764"/>
      <c r="K58" s="766"/>
      <c r="L58" s="1160"/>
      <c r="M58" s="1158"/>
      <c r="N58" s="1158"/>
      <c r="O58" s="1158"/>
      <c r="P58" s="2682"/>
      <c r="Q58" s="504"/>
    </row>
    <row r="59" spans="1:29" s="508" customFormat="1" ht="15">
      <c r="A59" s="505" t="s">
        <v>2552</v>
      </c>
      <c r="B59" s="506"/>
      <c r="C59" s="1574" t="str">
        <f>YEAR(C7)&amp;"-"&amp;MONTH(C7)</f>
        <v>2017-10</v>
      </c>
      <c r="D59" s="1575">
        <f>EDATE(C59,-1)</f>
        <v>42979</v>
      </c>
      <c r="E59" s="1575">
        <f>EDATE(D59,-1)</f>
        <v>42948</v>
      </c>
      <c r="F59" s="1575">
        <f t="shared" ref="F59:O59" si="16">EDATE(E59,-1)</f>
        <v>42917</v>
      </c>
      <c r="G59" s="1575">
        <f t="shared" si="16"/>
        <v>42887</v>
      </c>
      <c r="H59" s="1575">
        <f t="shared" si="16"/>
        <v>42856</v>
      </c>
      <c r="I59" s="1575">
        <f t="shared" si="16"/>
        <v>42826</v>
      </c>
      <c r="J59" s="1575">
        <f t="shared" si="16"/>
        <v>42795</v>
      </c>
      <c r="K59" s="1575">
        <f t="shared" si="16"/>
        <v>42767</v>
      </c>
      <c r="L59" s="1575">
        <f t="shared" si="16"/>
        <v>42736</v>
      </c>
      <c r="M59" s="1575">
        <f t="shared" si="16"/>
        <v>42705</v>
      </c>
      <c r="N59" s="1575">
        <f t="shared" si="16"/>
        <v>42675</v>
      </c>
      <c r="O59" s="1575">
        <f t="shared" si="16"/>
        <v>42644</v>
      </c>
      <c r="P59" s="1571"/>
    </row>
    <row r="60" spans="1:29" s="116" customFormat="1" ht="15">
      <c r="A60" s="509"/>
      <c r="B60" s="510"/>
      <c r="C60" s="1573">
        <v>100</v>
      </c>
      <c r="D60" s="512"/>
      <c r="E60" s="512"/>
      <c r="F60" s="512"/>
      <c r="G60" s="512"/>
      <c r="H60" s="512"/>
      <c r="I60" s="512"/>
      <c r="J60" s="512"/>
      <c r="K60" s="512"/>
      <c r="L60" s="512"/>
      <c r="M60" s="513"/>
      <c r="N60" s="512"/>
      <c r="O60" s="513"/>
      <c r="P60" s="2683"/>
    </row>
    <row r="61" spans="1:29" s="116" customFormat="1" ht="15.75" thickBot="1">
      <c r="A61" s="515" t="s">
        <v>2589</v>
      </c>
      <c r="B61" s="516"/>
      <c r="C61" s="517"/>
      <c r="D61" s="518"/>
      <c r="E61" s="518"/>
      <c r="F61" s="518"/>
      <c r="G61" s="518"/>
      <c r="H61" s="518"/>
      <c r="I61" s="518"/>
      <c r="J61" s="518"/>
      <c r="K61" s="518"/>
      <c r="L61" s="518"/>
      <c r="M61" s="519"/>
      <c r="N61" s="518"/>
      <c r="O61" s="519"/>
      <c r="P61" s="2683"/>
      <c r="Q61" s="504"/>
    </row>
    <row r="62" spans="1:29" s="116" customFormat="1" ht="15">
      <c r="A62" s="521" t="s">
        <v>2554</v>
      </c>
      <c r="B62" s="510"/>
      <c r="C62" s="522" t="s">
        <v>2656</v>
      </c>
      <c r="D62" s="523"/>
      <c r="E62" s="523"/>
      <c r="F62" s="523"/>
      <c r="G62" s="523"/>
      <c r="H62" s="523"/>
      <c r="I62" s="523"/>
      <c r="J62" s="523"/>
      <c r="K62" s="523"/>
      <c r="L62" s="524"/>
      <c r="M62" s="525"/>
      <c r="N62" s="1150"/>
      <c r="O62" s="1150"/>
      <c r="P62" s="2684"/>
      <c r="Q62" s="504"/>
    </row>
    <row r="63" spans="1:29" s="116" customFormat="1" ht="15.75" thickBot="1">
      <c r="A63" s="521"/>
      <c r="B63" s="510"/>
      <c r="C63" s="511">
        <v>100</v>
      </c>
      <c r="D63" s="512"/>
      <c r="E63" s="512"/>
      <c r="F63" s="512"/>
      <c r="G63" s="512"/>
      <c r="H63" s="512"/>
      <c r="I63" s="512"/>
      <c r="J63" s="512"/>
      <c r="K63" s="512"/>
      <c r="L63" s="512"/>
      <c r="M63" s="514"/>
      <c r="N63" s="1150"/>
      <c r="O63" s="1150"/>
      <c r="P63" s="2683"/>
      <c r="Q63" s="504"/>
    </row>
    <row r="64" spans="1:29">
      <c r="A64" s="527" t="s">
        <v>2592</v>
      </c>
      <c r="B64" s="528" t="s">
        <v>2558</v>
      </c>
      <c r="C64" s="529">
        <f>C9</f>
        <v>0</v>
      </c>
      <c r="D64" s="530"/>
      <c r="E64" s="530"/>
      <c r="F64" s="530"/>
      <c r="G64" s="530"/>
      <c r="H64" s="530"/>
      <c r="I64" s="530"/>
      <c r="J64" s="530"/>
      <c r="K64" s="531"/>
      <c r="L64" s="532"/>
      <c r="M64" s="533"/>
      <c r="N64" s="1151"/>
      <c r="O64" s="1151"/>
      <c r="P64" s="2685"/>
      <c r="Q64" s="504"/>
    </row>
    <row r="65" spans="1:17" ht="15.75" thickBot="1">
      <c r="A65" s="534"/>
      <c r="B65" s="535"/>
      <c r="C65" s="536">
        <v>100</v>
      </c>
      <c r="D65" s="536"/>
      <c r="E65" s="536"/>
      <c r="F65" s="536"/>
      <c r="G65" s="536"/>
      <c r="H65" s="536"/>
      <c r="I65" s="536"/>
      <c r="J65" s="536"/>
      <c r="K65" s="536"/>
      <c r="L65" s="536"/>
      <c r="M65" s="537"/>
      <c r="N65" s="1152"/>
      <c r="O65" s="1152"/>
      <c r="P65" s="2685"/>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1"/>
      <c r="O66" s="1151"/>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5"/>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5"/>
      <c r="Q68" s="504"/>
    </row>
    <row r="69" spans="1:17" ht="15">
      <c r="A69" s="534"/>
      <c r="B69" s="548"/>
      <c r="C69" s="549"/>
      <c r="D69" s="549"/>
      <c r="E69" s="549"/>
      <c r="F69" s="549"/>
      <c r="G69" s="549"/>
      <c r="H69" s="549"/>
      <c r="I69" s="549"/>
      <c r="J69" s="549"/>
      <c r="K69" s="550"/>
      <c r="L69" s="551"/>
      <c r="M69" s="552"/>
      <c r="N69" s="1151"/>
      <c r="O69" s="1151"/>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5"/>
      <c r="Q70" s="504"/>
    </row>
    <row r="71" spans="1:17" s="471" customFormat="1" ht="15.75" thickTop="1">
      <c r="A71" s="553"/>
      <c r="B71" s="538">
        <f>B12</f>
        <v>111</v>
      </c>
      <c r="C71" s="554"/>
      <c r="D71" s="554"/>
      <c r="E71" s="554"/>
      <c r="F71" s="554"/>
      <c r="G71" s="554"/>
      <c r="H71" s="555"/>
      <c r="I71" s="555"/>
      <c r="J71" s="555"/>
      <c r="K71" s="555"/>
      <c r="L71" s="556"/>
      <c r="M71" s="557"/>
      <c r="N71" s="1153"/>
      <c r="O71" s="1153"/>
      <c r="P71" s="2686"/>
      <c r="Q71" s="559"/>
    </row>
    <row r="72" spans="1:17" s="471" customFormat="1" ht="15.75" thickBot="1">
      <c r="A72" s="553"/>
      <c r="B72" s="543"/>
      <c r="C72" s="560"/>
      <c r="D72" s="536"/>
      <c r="E72" s="536"/>
      <c r="F72" s="536"/>
      <c r="G72" s="536"/>
      <c r="H72" s="536"/>
      <c r="I72" s="536"/>
      <c r="J72" s="536"/>
      <c r="K72" s="536"/>
      <c r="L72" s="536"/>
      <c r="M72" s="537"/>
      <c r="N72" s="1152"/>
      <c r="O72" s="1152"/>
      <c r="P72" s="2686"/>
      <c r="Q72" s="559"/>
    </row>
    <row r="73" spans="1:17" s="471" customFormat="1" ht="15.75" thickTop="1">
      <c r="A73" s="553"/>
      <c r="B73" s="538">
        <f>B13</f>
        <v>111</v>
      </c>
      <c r="C73" s="554"/>
      <c r="D73" s="554"/>
      <c r="E73" s="554"/>
      <c r="F73" s="554"/>
      <c r="G73" s="554"/>
      <c r="H73" s="555"/>
      <c r="I73" s="555"/>
      <c r="J73" s="555"/>
      <c r="K73" s="555"/>
      <c r="L73" s="556"/>
      <c r="M73" s="557"/>
      <c r="N73" s="1153"/>
      <c r="O73" s="1153"/>
      <c r="P73" s="2687"/>
      <c r="Q73" s="561"/>
    </row>
    <row r="74" spans="1:17" s="471" customFormat="1" ht="15.75" thickBot="1">
      <c r="A74" s="553"/>
      <c r="B74" s="543"/>
      <c r="C74" s="560"/>
      <c r="D74" s="560"/>
      <c r="E74" s="560"/>
      <c r="F74" s="560"/>
      <c r="G74" s="560"/>
      <c r="H74" s="562"/>
      <c r="I74" s="562"/>
      <c r="J74" s="562"/>
      <c r="K74" s="562"/>
      <c r="L74" s="562"/>
      <c r="M74" s="563"/>
      <c r="N74" s="1153"/>
      <c r="O74" s="1153"/>
      <c r="P74" s="2686"/>
      <c r="Q74" s="559"/>
    </row>
    <row r="75" spans="1:17" s="471" customFormat="1" ht="15.75" thickTop="1">
      <c r="A75" s="553"/>
      <c r="B75" s="546">
        <f>B14</f>
        <v>111</v>
      </c>
      <c r="C75" s="523"/>
      <c r="D75" s="523"/>
      <c r="E75" s="523"/>
      <c r="F75" s="523"/>
      <c r="G75" s="523"/>
      <c r="H75" s="564"/>
      <c r="I75" s="564"/>
      <c r="J75" s="564"/>
      <c r="K75" s="564"/>
      <c r="L75" s="565"/>
      <c r="M75" s="566"/>
      <c r="N75" s="1153"/>
      <c r="O75" s="1153"/>
      <c r="P75" s="2688"/>
      <c r="Q75" s="559"/>
    </row>
    <row r="76" spans="1:17" s="471" customFormat="1" ht="15.75" thickBot="1">
      <c r="A76" s="568"/>
      <c r="B76" s="569"/>
      <c r="C76" s="570"/>
      <c r="D76" s="570"/>
      <c r="E76" s="570"/>
      <c r="F76" s="570"/>
      <c r="G76" s="570"/>
      <c r="H76" s="571"/>
      <c r="I76" s="571"/>
      <c r="J76" s="571"/>
      <c r="K76" s="571"/>
      <c r="L76" s="571"/>
      <c r="M76" s="572"/>
      <c r="N76" s="1153"/>
      <c r="O76" s="1153"/>
      <c r="P76" s="2686"/>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1"/>
      <c r="O77" s="1151"/>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5"/>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1"/>
      <c r="O79" s="1151"/>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5"/>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1"/>
      <c r="O81" s="1151"/>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5"/>
      <c r="Q82" s="504"/>
    </row>
    <row r="83" spans="1:17" ht="15.75" thickTop="1">
      <c r="A83" s="534"/>
      <c r="B83" s="546" t="s">
        <v>2693</v>
      </c>
      <c r="C83" s="660" t="s">
        <v>2679</v>
      </c>
      <c r="D83" s="660" t="s">
        <v>2680</v>
      </c>
      <c r="E83" s="660" t="s">
        <v>2681</v>
      </c>
      <c r="F83" s="660" t="s">
        <v>2682</v>
      </c>
      <c r="G83" s="660" t="s">
        <v>2683</v>
      </c>
      <c r="H83" s="539"/>
      <c r="I83" s="539"/>
      <c r="J83" s="539"/>
      <c r="K83" s="539"/>
      <c r="L83" s="539"/>
      <c r="M83" s="1381"/>
      <c r="N83" s="1152"/>
      <c r="O83" s="1152"/>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5"/>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1"/>
      <c r="O85" s="1151"/>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5"/>
      <c r="Q86" s="504"/>
    </row>
    <row r="87" spans="1:17" s="116" customFormat="1" ht="27.75" thickTop="1">
      <c r="A87" s="579"/>
      <c r="B87" s="538" t="s">
        <v>2703</v>
      </c>
      <c r="C87" s="554"/>
      <c r="D87" s="554"/>
      <c r="E87" s="554"/>
      <c r="F87" s="554"/>
      <c r="G87" s="554"/>
      <c r="H87" s="554"/>
      <c r="I87" s="554"/>
      <c r="J87" s="554"/>
      <c r="K87" s="554"/>
      <c r="L87" s="580"/>
      <c r="M87" s="581"/>
      <c r="N87" s="1150"/>
      <c r="O87" s="1150"/>
      <c r="P87" s="2685"/>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5"/>
      <c r="Q88" s="504"/>
    </row>
    <row r="89" spans="1:17" s="116" customFormat="1" ht="15.75" thickTop="1">
      <c r="A89" s="579"/>
      <c r="B89" s="538" t="str">
        <f>B27</f>
        <v>楼层</v>
      </c>
      <c r="C89" s="554"/>
      <c r="D89" s="554"/>
      <c r="E89" s="554"/>
      <c r="F89" s="2636"/>
      <c r="G89" s="554"/>
      <c r="H89" s="554"/>
      <c r="I89" s="554"/>
      <c r="J89" s="554"/>
      <c r="K89" s="554"/>
      <c r="L89" s="554"/>
      <c r="M89" s="581"/>
      <c r="N89" s="1150"/>
      <c r="O89" s="1150"/>
      <c r="P89" s="2685"/>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5"/>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6"/>
      <c r="Q92" s="559"/>
    </row>
    <row r="93" spans="1:17" ht="15.75" thickTop="1">
      <c r="A93" s="534"/>
      <c r="B93" s="538">
        <f>B29</f>
        <v>111</v>
      </c>
      <c r="C93" s="554"/>
      <c r="D93" s="554"/>
      <c r="E93" s="554"/>
      <c r="F93" s="554"/>
      <c r="G93" s="554"/>
      <c r="H93" s="554"/>
      <c r="I93" s="554"/>
      <c r="J93" s="554"/>
      <c r="K93" s="554"/>
      <c r="L93" s="580"/>
      <c r="M93" s="581"/>
      <c r="N93" s="1151"/>
      <c r="O93" s="1151"/>
      <c r="P93" s="2685"/>
      <c r="Q93" s="504"/>
    </row>
    <row r="94" spans="1:17" ht="15.75" thickBot="1">
      <c r="A94" s="534"/>
      <c r="B94" s="543"/>
      <c r="C94" s="560"/>
      <c r="D94" s="536"/>
      <c r="E94" s="536"/>
      <c r="F94" s="536"/>
      <c r="G94" s="536"/>
      <c r="H94" s="536"/>
      <c r="I94" s="536"/>
      <c r="J94" s="536"/>
      <c r="K94" s="536"/>
      <c r="L94" s="536"/>
      <c r="M94" s="537"/>
      <c r="N94" s="1152"/>
      <c r="O94" s="1152"/>
      <c r="P94" s="2685"/>
      <c r="Q94" s="504"/>
    </row>
    <row r="95" spans="1:17" ht="15.75" thickTop="1">
      <c r="A95" s="534"/>
      <c r="B95" s="538">
        <f>B30</f>
        <v>111</v>
      </c>
      <c r="C95" s="554"/>
      <c r="D95" s="554"/>
      <c r="E95" s="554"/>
      <c r="F95" s="554"/>
      <c r="G95" s="583"/>
      <c r="H95" s="583"/>
      <c r="I95" s="583"/>
      <c r="J95" s="583"/>
      <c r="K95" s="584"/>
      <c r="L95" s="585"/>
      <c r="M95" s="586"/>
      <c r="N95" s="1151"/>
      <c r="O95" s="1151"/>
      <c r="P95" s="2685"/>
      <c r="Q95" s="504"/>
    </row>
    <row r="96" spans="1:17" ht="15.75" thickBot="1">
      <c r="A96" s="534"/>
      <c r="B96" s="543"/>
      <c r="C96" s="560"/>
      <c r="D96" s="560"/>
      <c r="E96" s="560"/>
      <c r="F96" s="560"/>
      <c r="G96" s="536"/>
      <c r="H96" s="536"/>
      <c r="I96" s="536"/>
      <c r="J96" s="536"/>
      <c r="K96" s="536"/>
      <c r="L96" s="536"/>
      <c r="M96" s="537"/>
      <c r="N96" s="1152"/>
      <c r="O96" s="1152"/>
      <c r="P96" s="2685"/>
      <c r="Q96" s="504"/>
    </row>
    <row r="97" spans="1:17" ht="15.75" thickTop="1">
      <c r="A97" s="534"/>
      <c r="B97" s="538">
        <f>B31</f>
        <v>111</v>
      </c>
      <c r="C97" s="554"/>
      <c r="D97" s="554"/>
      <c r="E97" s="554"/>
      <c r="F97" s="554"/>
      <c r="G97" s="583"/>
      <c r="H97" s="583"/>
      <c r="I97" s="583"/>
      <c r="J97" s="583"/>
      <c r="K97" s="584"/>
      <c r="L97" s="585"/>
      <c r="M97" s="586"/>
      <c r="N97" s="1151"/>
      <c r="O97" s="1151"/>
      <c r="P97" s="2685"/>
      <c r="Q97" s="504"/>
    </row>
    <row r="98" spans="1:17" ht="15.75" thickBot="1">
      <c r="A98" s="534"/>
      <c r="B98" s="543"/>
      <c r="C98" s="560"/>
      <c r="D98" s="536"/>
      <c r="E98" s="536"/>
      <c r="F98" s="536"/>
      <c r="G98" s="536"/>
      <c r="H98" s="536"/>
      <c r="I98" s="536"/>
      <c r="J98" s="536"/>
      <c r="K98" s="536"/>
      <c r="L98" s="536"/>
      <c r="M98" s="537"/>
      <c r="N98" s="1152"/>
      <c r="O98" s="1152"/>
      <c r="P98" s="2685"/>
      <c r="Q98" s="504"/>
    </row>
    <row r="99" spans="1:17" ht="15.75" thickTop="1">
      <c r="A99" s="534"/>
      <c r="B99" s="546">
        <f>B32</f>
        <v>111</v>
      </c>
      <c r="C99" s="523"/>
      <c r="D99" s="523"/>
      <c r="E99" s="523"/>
      <c r="F99" s="523"/>
      <c r="G99" s="587"/>
      <c r="H99" s="587"/>
      <c r="I99" s="587"/>
      <c r="J99" s="587"/>
      <c r="K99" s="588"/>
      <c r="L99" s="589"/>
      <c r="M99" s="590"/>
      <c r="N99" s="1151"/>
      <c r="O99" s="1151"/>
      <c r="P99" s="2685"/>
      <c r="Q99" s="504"/>
    </row>
    <row r="100" spans="1:17" ht="15.75" thickBot="1">
      <c r="A100" s="2637"/>
      <c r="B100" s="569"/>
      <c r="C100" s="570"/>
      <c r="D100" s="570"/>
      <c r="E100" s="570"/>
      <c r="F100" s="570"/>
      <c r="G100" s="591"/>
      <c r="H100" s="591"/>
      <c r="I100" s="591"/>
      <c r="J100" s="591"/>
      <c r="K100" s="591"/>
      <c r="L100" s="591"/>
      <c r="M100" s="592"/>
      <c r="N100" s="1152"/>
      <c r="O100" s="1152"/>
      <c r="P100" s="2685"/>
      <c r="Q100" s="504"/>
    </row>
    <row r="101" spans="1:17">
      <c r="A101" s="527" t="s">
        <v>2567</v>
      </c>
      <c r="B101" s="528" t="s">
        <v>2616</v>
      </c>
      <c r="C101" s="530"/>
      <c r="D101" s="530"/>
      <c r="E101" s="530"/>
      <c r="F101" s="530"/>
      <c r="G101" s="530"/>
      <c r="H101" s="530"/>
      <c r="I101" s="530"/>
      <c r="J101" s="530"/>
      <c r="K101" s="531"/>
      <c r="L101" s="532"/>
      <c r="M101" s="533"/>
      <c r="N101" s="1151"/>
      <c r="O101" s="1151"/>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5"/>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5"/>
      <c r="Q103" s="504"/>
    </row>
    <row r="104" spans="1:17" s="471" customFormat="1">
      <c r="A104" s="593"/>
      <c r="B104" s="594"/>
      <c r="C104" s="595"/>
      <c r="D104" s="595"/>
      <c r="E104" s="595"/>
      <c r="F104" s="595"/>
      <c r="G104" s="595"/>
      <c r="H104" s="595"/>
      <c r="I104" s="595"/>
      <c r="J104" s="596"/>
      <c r="K104" s="596"/>
      <c r="L104" s="597"/>
      <c r="M104" s="598"/>
      <c r="N104" s="1153"/>
      <c r="O104" s="1153"/>
      <c r="P104" s="2686"/>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6"/>
      <c r="Q105" s="559"/>
    </row>
    <row r="106" spans="1:17" ht="15" thickTop="1">
      <c r="A106" s="599"/>
      <c r="B106" s="538" t="s">
        <v>2618</v>
      </c>
      <c r="C106" s="554"/>
      <c r="D106" s="554"/>
      <c r="E106" s="583"/>
      <c r="F106" s="583"/>
      <c r="G106" s="583"/>
      <c r="H106" s="583"/>
      <c r="I106" s="583"/>
      <c r="J106" s="583"/>
      <c r="K106" s="584"/>
      <c r="L106" s="585"/>
      <c r="M106" s="586"/>
      <c r="N106" s="1151"/>
      <c r="O106" s="1151"/>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5"/>
      <c r="Q107" s="504"/>
    </row>
    <row r="108" spans="1:17" ht="15" thickTop="1">
      <c r="A108" s="599"/>
      <c r="B108" s="538" t="s">
        <v>2620</v>
      </c>
      <c r="C108" s="554"/>
      <c r="D108" s="554"/>
      <c r="E108" s="554"/>
      <c r="F108" s="583"/>
      <c r="G108" s="583"/>
      <c r="H108" s="583"/>
      <c r="I108" s="583"/>
      <c r="J108" s="583"/>
      <c r="K108" s="584"/>
      <c r="L108" s="585"/>
      <c r="M108" s="586"/>
      <c r="N108" s="1151"/>
      <c r="O108" s="1151"/>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5"/>
      <c r="Q112" s="504"/>
    </row>
    <row r="113" spans="1:17" s="471" customFormat="1" ht="15" thickTop="1">
      <c r="A113" s="593"/>
      <c r="B113" s="538" t="s">
        <v>2704</v>
      </c>
      <c r="C113" s="554"/>
      <c r="D113" s="554"/>
      <c r="E113" s="554"/>
      <c r="F113" s="554"/>
      <c r="G113" s="554"/>
      <c r="H113" s="583"/>
      <c r="I113" s="583"/>
      <c r="J113" s="583"/>
      <c r="K113" s="584"/>
      <c r="L113" s="585"/>
      <c r="M113" s="586"/>
      <c r="N113" s="1153"/>
      <c r="O113" s="1153"/>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6"/>
      <c r="Q114" s="559"/>
    </row>
    <row r="115" spans="1:17" ht="15" thickTop="1">
      <c r="A115" s="599"/>
      <c r="B115" s="538" t="s">
        <v>2621</v>
      </c>
      <c r="C115" s="554"/>
      <c r="D115" s="554"/>
      <c r="E115" s="583"/>
      <c r="F115" s="583"/>
      <c r="G115" s="583"/>
      <c r="H115" s="583"/>
      <c r="I115" s="583"/>
      <c r="J115" s="583"/>
      <c r="K115" s="584"/>
      <c r="L115" s="585"/>
      <c r="M115" s="586"/>
      <c r="N115" s="1151"/>
      <c r="O115" s="1151"/>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5"/>
      <c r="Q116" s="504"/>
    </row>
    <row r="117" spans="1:17" ht="15" thickTop="1">
      <c r="A117" s="599"/>
      <c r="B117" s="538" t="s">
        <v>2622</v>
      </c>
      <c r="C117" s="554"/>
      <c r="D117" s="554"/>
      <c r="E117" s="554"/>
      <c r="F117" s="554"/>
      <c r="G117" s="554"/>
      <c r="H117" s="583"/>
      <c r="I117" s="583"/>
      <c r="J117" s="583"/>
      <c r="K117" s="584"/>
      <c r="L117" s="585"/>
      <c r="M117" s="586"/>
      <c r="N117" s="1151"/>
      <c r="O117" s="1151"/>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5"/>
      <c r="Q118" s="504"/>
    </row>
    <row r="119" spans="1:17" ht="15" thickTop="1">
      <c r="A119" s="599"/>
      <c r="B119" s="636" t="s">
        <v>2705</v>
      </c>
      <c r="C119" s="583"/>
      <c r="D119" s="583"/>
      <c r="E119" s="583"/>
      <c r="F119" s="583"/>
      <c r="G119" s="583"/>
      <c r="H119" s="583"/>
      <c r="I119" s="583"/>
      <c r="J119" s="583"/>
      <c r="K119" s="583"/>
      <c r="L119" s="2690"/>
      <c r="M119" s="2691"/>
      <c r="N119" s="1152"/>
      <c r="O119" s="1152"/>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5"/>
      <c r="Q120" s="504"/>
    </row>
    <row r="121" spans="1:17" s="471" customFormat="1" ht="15" thickTop="1">
      <c r="A121" s="593"/>
      <c r="B121" s="538" t="s">
        <v>2688</v>
      </c>
      <c r="C121" s="554"/>
      <c r="D121" s="554"/>
      <c r="E121" s="554"/>
      <c r="F121" s="583"/>
      <c r="G121" s="555"/>
      <c r="H121" s="555"/>
      <c r="I121" s="555"/>
      <c r="J121" s="555"/>
      <c r="K121" s="555"/>
      <c r="L121" s="556"/>
      <c r="M121" s="557"/>
      <c r="N121" s="1153"/>
      <c r="O121" s="1153"/>
      <c r="P121" s="2686"/>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6"/>
      <c r="Q122" s="559"/>
    </row>
    <row r="123" spans="1:17" ht="15" thickTop="1">
      <c r="A123" s="599"/>
      <c r="B123" s="538" t="s">
        <v>2624</v>
      </c>
      <c r="C123" s="554"/>
      <c r="D123" s="554"/>
      <c r="E123" s="554"/>
      <c r="F123" s="583"/>
      <c r="G123" s="583"/>
      <c r="H123" s="583"/>
      <c r="I123" s="583"/>
      <c r="J123" s="583"/>
      <c r="K123" s="584"/>
      <c r="L123" s="585"/>
      <c r="M123" s="586"/>
      <c r="N123" s="1151"/>
      <c r="O123" s="1151"/>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5"/>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1"/>
      <c r="O125" s="1151"/>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5"/>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6"/>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6"/>
      <c r="Q128" s="559"/>
    </row>
    <row r="129" spans="1:17" ht="15" thickTop="1">
      <c r="A129" s="599"/>
      <c r="B129" s="538">
        <f>B46</f>
        <v>111</v>
      </c>
      <c r="C129" s="554"/>
      <c r="D129" s="554"/>
      <c r="E129" s="554"/>
      <c r="F129" s="554"/>
      <c r="G129" s="583"/>
      <c r="H129" s="583"/>
      <c r="I129" s="583"/>
      <c r="J129" s="583"/>
      <c r="K129" s="584"/>
      <c r="L129" s="585"/>
      <c r="M129" s="586"/>
      <c r="N129" s="1151"/>
      <c r="O129" s="1151"/>
      <c r="P129" s="2685"/>
      <c r="Q129" s="504"/>
    </row>
    <row r="130" spans="1:17" ht="15.75" thickBot="1">
      <c r="A130" s="534"/>
      <c r="B130" s="543"/>
      <c r="C130" s="560"/>
      <c r="D130" s="560"/>
      <c r="E130" s="560"/>
      <c r="F130" s="560"/>
      <c r="G130" s="536"/>
      <c r="H130" s="536"/>
      <c r="I130" s="536"/>
      <c r="J130" s="536"/>
      <c r="K130" s="536"/>
      <c r="L130" s="536"/>
      <c r="M130" s="537"/>
      <c r="N130" s="1152"/>
      <c r="O130" s="1152"/>
      <c r="P130" s="2685"/>
      <c r="Q130" s="504"/>
    </row>
    <row r="131" spans="1:17" ht="15" thickTop="1">
      <c r="A131" s="599"/>
      <c r="B131" s="546">
        <f>B47</f>
        <v>111</v>
      </c>
      <c r="C131" s="523"/>
      <c r="D131" s="523"/>
      <c r="E131" s="523"/>
      <c r="F131" s="523"/>
      <c r="G131" s="587"/>
      <c r="H131" s="587"/>
      <c r="I131" s="587"/>
      <c r="J131" s="587"/>
      <c r="K131" s="523"/>
      <c r="L131" s="524"/>
      <c r="M131" s="590"/>
      <c r="N131" s="1151"/>
      <c r="O131" s="1151"/>
      <c r="P131" s="2685"/>
      <c r="Q131" s="504"/>
    </row>
    <row r="132" spans="1:17" ht="15.75" thickBot="1">
      <c r="A132" s="2637"/>
      <c r="B132" s="569"/>
      <c r="C132" s="570"/>
      <c r="D132" s="570"/>
      <c r="E132" s="570"/>
      <c r="F132" s="570"/>
      <c r="G132" s="591"/>
      <c r="H132" s="591"/>
      <c r="I132" s="591"/>
      <c r="J132" s="591"/>
      <c r="K132" s="591"/>
      <c r="L132" s="591"/>
      <c r="M132" s="592"/>
      <c r="N132" s="1152"/>
      <c r="O132" s="1152"/>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2706</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7"/>
      <c r="D2" s="1123" t="e">
        <f ca="1">SUMIF(INDIRECT("'"&amp;F2&amp;"'"&amp;"!A:A"),"承租人权益价值",INDIRECT("'"&amp;F2&amp;"'"&amp;"!c:c"))</f>
        <v>#REF!</v>
      </c>
      <c r="E2" s="2588" t="s">
        <v>2332</v>
      </c>
      <c r="F2" s="2589"/>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43696.250000000007</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185" t="s">
        <v>2652</v>
      </c>
      <c r="AC4" s="3184" t="s">
        <v>2653</v>
      </c>
    </row>
    <row r="5" spans="1:29"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185"/>
      <c r="AC5" s="3185"/>
    </row>
    <row r="6" spans="1:29" ht="15.75" thickBot="1">
      <c r="A6" s="406"/>
      <c r="B6" s="407"/>
      <c r="C6" s="3197" t="s">
        <v>2550</v>
      </c>
      <c r="D6" s="3198"/>
      <c r="E6" s="3199" t="s">
        <v>2550</v>
      </c>
      <c r="F6" s="3200"/>
      <c r="G6" s="3197" t="s">
        <v>2550</v>
      </c>
      <c r="H6" s="3198"/>
      <c r="I6" s="3197" t="s">
        <v>2550</v>
      </c>
      <c r="J6" s="3198"/>
      <c r="K6" s="610" t="s">
        <v>2551</v>
      </c>
      <c r="L6" s="1129"/>
      <c r="M6" s="1130"/>
      <c r="N6" s="1130"/>
      <c r="O6" s="1130"/>
      <c r="P6" s="3210"/>
      <c r="Q6" s="3211"/>
      <c r="R6" s="3191"/>
      <c r="S6" s="3192"/>
      <c r="T6" s="3212"/>
      <c r="U6" s="3213"/>
      <c r="V6" s="3214"/>
      <c r="W6" s="3214"/>
      <c r="X6" s="1813"/>
      <c r="Y6" s="3212"/>
      <c r="Z6" s="3213"/>
      <c r="AA6" s="3186"/>
      <c r="AB6" s="3186"/>
      <c r="AC6" s="3186"/>
    </row>
    <row r="7" spans="1:29" s="116" customFormat="1" ht="15.75" thickBot="1">
      <c r="A7" s="408" t="s">
        <v>2552</v>
      </c>
      <c r="B7" s="409"/>
      <c r="C7" s="410">
        <f>'数据-取费表'!B2</f>
        <v>43039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7" t="s">
        <v>2553</v>
      </c>
      <c r="Q7" s="3215"/>
      <c r="R7" s="770" t="s">
        <v>17</v>
      </c>
      <c r="S7" s="771">
        <f t="shared" ref="S7:S15" si="0">F7</f>
        <v>0</v>
      </c>
      <c r="T7" s="770" t="s">
        <v>17</v>
      </c>
      <c r="U7" s="771">
        <f t="shared" ref="U7:U15" si="1">H7</f>
        <v>0</v>
      </c>
      <c r="V7" s="770" t="s">
        <v>17</v>
      </c>
      <c r="W7" s="771">
        <f t="shared" ref="W7:W15" si="2">J7</f>
        <v>0</v>
      </c>
      <c r="X7" s="772"/>
      <c r="Y7" s="3187" t="s">
        <v>2553</v>
      </c>
      <c r="Z7" s="3188"/>
      <c r="AA7" s="773" t="e">
        <f>D7/F7</f>
        <v>#DIV/0!</v>
      </c>
      <c r="AB7" s="773" t="e">
        <f>D7/H7</f>
        <v>#DIV/0!</v>
      </c>
      <c r="AC7" s="773" t="e">
        <f>D7/J7</f>
        <v>#DIV/0!</v>
      </c>
    </row>
    <row r="8" spans="1:29" s="116"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40" si="3">D8/F8</f>
        <v>#DIV/0!</v>
      </c>
      <c r="AB8" s="773" t="e">
        <f t="shared" ref="AB8:AB40" si="4">D8/H8</f>
        <v>#DIV/0!</v>
      </c>
      <c r="AC8" s="773" t="e">
        <f t="shared" ref="AC8:AC40" si="5">D8/J8</f>
        <v>#DIV/0!</v>
      </c>
    </row>
    <row r="9" spans="1:29" s="116" customFormat="1">
      <c r="A9" s="415" t="s">
        <v>2557</v>
      </c>
      <c r="B9" s="70" t="s">
        <v>2558</v>
      </c>
      <c r="C9" s="416"/>
      <c r="D9" s="134">
        <v>100</v>
      </c>
      <c r="E9" s="419"/>
      <c r="F9" s="134">
        <f>SUMIF(57:57,E9,58:58)-SUMIF(57:57,C9,58:58)+100</f>
        <v>100</v>
      </c>
      <c r="G9" s="417"/>
      <c r="H9" s="134">
        <f>SUMIF(57:57,G9,58:58)-SUMIF(57:57,C9,58:58)+100</f>
        <v>100</v>
      </c>
      <c r="I9" s="417"/>
      <c r="J9" s="134">
        <f>SUMIF(57:57,I9,58:58)-SUMIF(57:57,C9,58:58)+100</f>
        <v>100</v>
      </c>
      <c r="K9" s="611"/>
      <c r="L9" s="1131"/>
      <c r="M9" s="1132"/>
      <c r="N9" s="1132"/>
      <c r="O9" s="1133"/>
      <c r="P9" s="3219"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3"/>
      <c r="F10" s="135">
        <f>SUMIF(59:59,E10,60:60)-SUMIF(59:59,C10,60:60)+100</f>
        <v>100</v>
      </c>
      <c r="G10" s="424"/>
      <c r="H10" s="135">
        <f>SUMIF(59:59,G10,60:60)-SUMIF(59:59,C10,60:60)+100</f>
        <v>100</v>
      </c>
      <c r="I10" s="423"/>
      <c r="J10" s="135">
        <f>SUMIF(59:59,I10,60:60)-SUMIF(59:59,C10,60:60)+100</f>
        <v>100</v>
      </c>
      <c r="K10" s="612"/>
      <c r="L10" s="1134"/>
      <c r="M10" s="1135"/>
      <c r="N10" s="1135"/>
      <c r="O10" s="1136"/>
      <c r="P10" s="321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7"/>
      <c r="M11" s="1130"/>
      <c r="N11" s="1130"/>
      <c r="O11" s="1138"/>
      <c r="P11" s="321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135">
        <f>SUMIF(64:64,E12,65:65)-SUMIF(64:64,C12,65:65)+100</f>
        <v>100</v>
      </c>
      <c r="G12" s="2693"/>
      <c r="H12" s="135">
        <f>SUMIF(64:64,G12,65:65)-SUMIF(64:64,C12,65:65)+100</f>
        <v>100</v>
      </c>
      <c r="I12" s="469"/>
      <c r="J12" s="135">
        <f>SUMIF(64:64,I12,65:65)-SUMIF(64:64,C12,65:65)+100</f>
        <v>100</v>
      </c>
      <c r="K12" s="613"/>
      <c r="L12" s="1131"/>
      <c r="M12" s="1132"/>
      <c r="N12" s="1132"/>
      <c r="O12" s="1133"/>
      <c r="P12" s="321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434"/>
      <c r="F13" s="135">
        <f>SUMIF(66:66,E13,67:67)-SUMIF(66:66,C13,67:67)+100</f>
        <v>100</v>
      </c>
      <c r="G13" s="2693"/>
      <c r="H13" s="435">
        <f>SUMIF(66:66,G13,67:67)-SUMIF(66:66,C13,67:67)+100</f>
        <v>100</v>
      </c>
      <c r="I13" s="469"/>
      <c r="J13" s="435">
        <f>SUMIF(66:66,I13,67:67)-SUMIF(66:66,C13,67:67)+100</f>
        <v>100</v>
      </c>
      <c r="K13" s="613"/>
      <c r="L13" s="1139"/>
      <c r="M13" s="1130"/>
      <c r="N13" s="1130"/>
      <c r="O13" s="1138"/>
      <c r="P13" s="321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9"/>
      <c r="M14" s="1130"/>
      <c r="N14" s="1130"/>
      <c r="O14" s="1138"/>
      <c r="P14" s="321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2563</v>
      </c>
      <c r="B15" s="68" t="s">
        <v>2707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1" t="s">
        <v>2564</v>
      </c>
      <c r="Q15" s="1810" t="str">
        <f t="shared" si="6"/>
        <v>产业集聚程度</v>
      </c>
      <c r="R15" s="774" t="s">
        <v>17</v>
      </c>
      <c r="S15" s="775">
        <f t="shared" si="0"/>
        <v>100</v>
      </c>
      <c r="T15" s="774" t="s">
        <v>17</v>
      </c>
      <c r="U15" s="775">
        <f t="shared" si="1"/>
        <v>100</v>
      </c>
      <c r="V15" s="774" t="s">
        <v>17</v>
      </c>
      <c r="W15" s="775">
        <f t="shared" si="2"/>
        <v>100</v>
      </c>
      <c r="X15" s="1813"/>
      <c r="Y15" s="3221"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222"/>
      <c r="Q16" s="1810"/>
      <c r="R16" s="774"/>
      <c r="S16" s="775"/>
      <c r="T16" s="774"/>
      <c r="U16" s="775"/>
      <c r="V16" s="774"/>
      <c r="W16" s="775"/>
      <c r="X16" s="1813"/>
      <c r="Y16" s="3222"/>
      <c r="Z16" s="1814"/>
      <c r="AA16" s="1811">
        <v>1</v>
      </c>
      <c r="AB16" s="1811">
        <v>1</v>
      </c>
      <c r="AC16" s="1811">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8"/>
      <c r="P18" s="3222"/>
      <c r="Q18" s="1810"/>
      <c r="R18" s="774"/>
      <c r="S18" s="775"/>
      <c r="T18" s="774"/>
      <c r="U18" s="775"/>
      <c r="V18" s="774"/>
      <c r="W18" s="775"/>
      <c r="X18" s="1813"/>
      <c r="Y18" s="3222"/>
      <c r="Z18" s="1814"/>
      <c r="AA18" s="1811">
        <v>1</v>
      </c>
      <c r="AB18" s="1811">
        <v>1</v>
      </c>
      <c r="AC18" s="1811">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2"/>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8"/>
      <c r="P20" s="3222"/>
      <c r="Q20" s="1810"/>
      <c r="R20" s="774"/>
      <c r="S20" s="775"/>
      <c r="T20" s="774"/>
      <c r="U20" s="775"/>
      <c r="V20" s="774"/>
      <c r="W20" s="775"/>
      <c r="X20" s="1813"/>
      <c r="Y20" s="3222"/>
      <c r="Z20" s="1814"/>
      <c r="AA20" s="1811">
        <v>1</v>
      </c>
      <c r="AB20" s="1811">
        <v>1</v>
      </c>
      <c r="AC20" s="1811">
        <v>1</v>
      </c>
    </row>
    <row r="21" spans="1:29" ht="28.5">
      <c r="A21" s="428"/>
      <c r="B21" s="1383"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2"/>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8"/>
      <c r="P22" s="3222"/>
      <c r="Q22" s="1810"/>
      <c r="R22" s="774"/>
      <c r="S22" s="775"/>
      <c r="T22" s="774"/>
      <c r="U22" s="775"/>
      <c r="V22" s="774"/>
      <c r="W22" s="775"/>
      <c r="X22" s="1813"/>
      <c r="Y22" s="3222"/>
      <c r="Z22" s="1814"/>
      <c r="AA22" s="1811">
        <v>1</v>
      </c>
      <c r="AB22" s="1811">
        <v>1</v>
      </c>
      <c r="AC22" s="1811">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2"/>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1811">
        <f t="shared" si="5"/>
        <v>1</v>
      </c>
    </row>
    <row r="24" spans="1:29" ht="15">
      <c r="A24" s="428"/>
      <c r="B24" s="1383"/>
      <c r="C24" s="447"/>
      <c r="D24" s="448"/>
      <c r="E24" s="2606"/>
      <c r="F24" s="449"/>
      <c r="G24" s="2605"/>
      <c r="H24" s="448"/>
      <c r="I24" s="2606"/>
      <c r="J24" s="448"/>
      <c r="K24" s="615"/>
      <c r="L24" s="1139"/>
      <c r="M24" s="1130"/>
      <c r="N24" s="1130"/>
      <c r="O24" s="1138"/>
      <c r="P24" s="3222"/>
      <c r="Q24" s="1810"/>
      <c r="R24" s="774"/>
      <c r="S24" s="775"/>
      <c r="T24" s="774"/>
      <c r="U24" s="775"/>
      <c r="V24" s="774"/>
      <c r="W24" s="775"/>
      <c r="X24" s="1813"/>
      <c r="Y24" s="3222"/>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2"/>
      <c r="Q25" s="1810">
        <f>B25</f>
        <v>111</v>
      </c>
      <c r="R25" s="774" t="s">
        <v>17</v>
      </c>
      <c r="S25" s="775">
        <f>F25</f>
        <v>100</v>
      </c>
      <c r="T25" s="774" t="s">
        <v>17</v>
      </c>
      <c r="U25" s="775">
        <f>H25</f>
        <v>100</v>
      </c>
      <c r="V25" s="774" t="s">
        <v>17</v>
      </c>
      <c r="W25" s="775">
        <f>J25</f>
        <v>100</v>
      </c>
      <c r="X25" s="1813"/>
      <c r="Y25" s="3222"/>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2"/>
      <c r="Q26" s="1810">
        <f t="shared" ref="Q26:Q40" si="11">B26</f>
        <v>111</v>
      </c>
      <c r="R26" s="774" t="s">
        <v>17</v>
      </c>
      <c r="S26" s="775">
        <f>F26</f>
        <v>100</v>
      </c>
      <c r="T26" s="774" t="s">
        <v>17</v>
      </c>
      <c r="U26" s="775">
        <f>H26</f>
        <v>100</v>
      </c>
      <c r="V26" s="774" t="s">
        <v>17</v>
      </c>
      <c r="W26" s="775">
        <f>J26</f>
        <v>100</v>
      </c>
      <c r="X26" s="1813"/>
      <c r="Y26" s="3222"/>
      <c r="Z26" s="1814">
        <f>Q26</f>
        <v>111</v>
      </c>
      <c r="AA26" s="1811">
        <f t="shared" si="3"/>
        <v>1</v>
      </c>
      <c r="AB26" s="1811">
        <f t="shared" si="4"/>
        <v>1</v>
      </c>
      <c r="AC26" s="1811">
        <f t="shared" si="5"/>
        <v>1</v>
      </c>
    </row>
    <row r="27" spans="1:29" s="116"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2"/>
      <c r="Q27" s="1795">
        <f t="shared" si="11"/>
        <v>111</v>
      </c>
      <c r="R27" s="770" t="s">
        <v>17</v>
      </c>
      <c r="S27" s="771">
        <f>F27</f>
        <v>100</v>
      </c>
      <c r="T27" s="770" t="s">
        <v>17</v>
      </c>
      <c r="U27" s="771">
        <f>H27</f>
        <v>100</v>
      </c>
      <c r="V27" s="770" t="s">
        <v>17</v>
      </c>
      <c r="W27" s="771">
        <f>J27</f>
        <v>100</v>
      </c>
      <c r="X27" s="772"/>
      <c r="Y27" s="3222"/>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2"/>
      <c r="Q28" s="1810">
        <f t="shared" si="11"/>
        <v>111</v>
      </c>
      <c r="R28" s="774" t="s">
        <v>17</v>
      </c>
      <c r="S28" s="775">
        <f t="shared" ref="S28:S40" si="12">F28</f>
        <v>100</v>
      </c>
      <c r="T28" s="774" t="s">
        <v>17</v>
      </c>
      <c r="U28" s="775">
        <f t="shared" ref="U28:U40" si="13">H28</f>
        <v>100</v>
      </c>
      <c r="V28" s="774" t="s">
        <v>17</v>
      </c>
      <c r="W28" s="775">
        <f t="shared" ref="W28:W40" si="14">J28</f>
        <v>100</v>
      </c>
      <c r="X28" s="1813"/>
      <c r="Y28" s="3222"/>
      <c r="Z28" s="1814">
        <f t="shared" ref="Z28:Z40" si="15">Q28</f>
        <v>111</v>
      </c>
      <c r="AA28" s="1811">
        <f t="shared" si="3"/>
        <v>1</v>
      </c>
      <c r="AB28" s="1811">
        <f t="shared" si="4"/>
        <v>1</v>
      </c>
      <c r="AC28" s="1811">
        <f t="shared" si="5"/>
        <v>1</v>
      </c>
    </row>
    <row r="29" spans="1:29" ht="15">
      <c r="A29" s="466" t="s">
        <v>2567</v>
      </c>
      <c r="B29" s="70" t="s">
        <v>2697</v>
      </c>
      <c r="C29" s="2680"/>
      <c r="D29" s="467">
        <v>100</v>
      </c>
      <c r="E29" s="2680"/>
      <c r="F29" s="461">
        <f>SUMIF(88:88,E29,89:89)-SUMIF(88:88,C29,89:89)+100</f>
        <v>100</v>
      </c>
      <c r="G29" s="2680"/>
      <c r="H29" s="435">
        <f>SUMIF(88:88,G29,89:89)-SUMIF(88:88,C29,89:89)+100</f>
        <v>100</v>
      </c>
      <c r="I29" s="2680"/>
      <c r="J29" s="467">
        <f>SUMIF(88:88,I29,89:89)-SUMIF(88:88,C29,89:89)+100</f>
        <v>100</v>
      </c>
      <c r="K29" s="612"/>
      <c r="L29" s="1139"/>
      <c r="M29" s="1130"/>
      <c r="N29" s="1130"/>
      <c r="O29" s="1138"/>
      <c r="P29" s="3245" t="s">
        <v>2569</v>
      </c>
      <c r="Q29" s="1810" t="str">
        <f t="shared" si="11"/>
        <v>建筑类型</v>
      </c>
      <c r="R29" s="774" t="s">
        <v>17</v>
      </c>
      <c r="S29" s="775">
        <f t="shared" si="12"/>
        <v>100</v>
      </c>
      <c r="T29" s="774" t="s">
        <v>17</v>
      </c>
      <c r="U29" s="775">
        <f t="shared" si="13"/>
        <v>100</v>
      </c>
      <c r="V29" s="774" t="s">
        <v>17</v>
      </c>
      <c r="W29" s="775">
        <f t="shared" si="14"/>
        <v>100</v>
      </c>
      <c r="X29" s="1813"/>
      <c r="Y29" s="3226" t="s">
        <v>2569</v>
      </c>
      <c r="Z29" s="1814" t="str">
        <f t="shared" si="15"/>
        <v>建筑类型</v>
      </c>
      <c r="AA29" s="1811">
        <f t="shared" si="3"/>
        <v>1</v>
      </c>
      <c r="AB29" s="1811">
        <f t="shared" si="4"/>
        <v>1</v>
      </c>
      <c r="AC29" s="1811">
        <f t="shared" si="5"/>
        <v>1</v>
      </c>
    </row>
    <row r="30" spans="1:29" s="471" customFormat="1" ht="15">
      <c r="A30" s="468"/>
      <c r="B30" s="422" t="s">
        <v>2570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7"/>
      <c r="M30" s="1140"/>
      <c r="N30" s="1140"/>
      <c r="O30" s="1141"/>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6"/>
      <c r="Q31" s="1810" t="str">
        <f t="shared" si="11"/>
        <v>建筑结构</v>
      </c>
      <c r="R31" s="774" t="s">
        <v>17</v>
      </c>
      <c r="S31" s="775">
        <f t="shared" si="12"/>
        <v>100</v>
      </c>
      <c r="T31" s="774" t="s">
        <v>17</v>
      </c>
      <c r="U31" s="775">
        <f t="shared" si="13"/>
        <v>100</v>
      </c>
      <c r="V31" s="774" t="s">
        <v>17</v>
      </c>
      <c r="W31" s="775">
        <f t="shared" si="14"/>
        <v>100</v>
      </c>
      <c r="X31" s="1813"/>
      <c r="Y31" s="3226"/>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6"/>
      <c r="Q32" s="1810" t="str">
        <f t="shared" si="11"/>
        <v>公共部分装修</v>
      </c>
      <c r="R32" s="774" t="s">
        <v>17</v>
      </c>
      <c r="S32" s="775">
        <f t="shared" si="12"/>
        <v>100</v>
      </c>
      <c r="T32" s="774" t="s">
        <v>17</v>
      </c>
      <c r="U32" s="775">
        <f t="shared" si="13"/>
        <v>100</v>
      </c>
      <c r="V32" s="774" t="s">
        <v>17</v>
      </c>
      <c r="W32" s="775">
        <f t="shared" si="14"/>
        <v>100</v>
      </c>
      <c r="X32" s="1813"/>
      <c r="Y32" s="3226"/>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6"/>
      <c r="Q33" s="1810" t="str">
        <f t="shared" si="11"/>
        <v>成新度</v>
      </c>
      <c r="R33" s="774" t="s">
        <v>17</v>
      </c>
      <c r="S33" s="775" t="e">
        <f t="shared" si="12"/>
        <v>#N/A</v>
      </c>
      <c r="T33" s="774" t="s">
        <v>17</v>
      </c>
      <c r="U33" s="775" t="e">
        <f t="shared" si="13"/>
        <v>#N/A</v>
      </c>
      <c r="V33" s="774" t="s">
        <v>17</v>
      </c>
      <c r="W33" s="775" t="e">
        <f t="shared" si="14"/>
        <v>#N/A</v>
      </c>
      <c r="X33" s="1813"/>
      <c r="Y33" s="3226"/>
      <c r="Z33" s="1814" t="str">
        <f t="shared" si="15"/>
        <v>成新度</v>
      </c>
      <c r="AA33" s="1811" t="e">
        <f t="shared" si="3"/>
        <v>#N/A</v>
      </c>
      <c r="AB33" s="1811" t="e">
        <f t="shared" si="4"/>
        <v>#N/A</v>
      </c>
      <c r="AC33" s="1811" t="e">
        <f t="shared" si="5"/>
        <v>#N/A</v>
      </c>
    </row>
    <row r="34" spans="1:29" s="116" customFormat="1" ht="15">
      <c r="A34" s="473"/>
      <c r="B34" s="422" t="s">
        <v>2699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6"/>
      <c r="Q34" s="1795"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6" t="s">
        <v>2569</v>
      </c>
      <c r="Q35" s="1810" t="str">
        <f t="shared" si="11"/>
        <v>市政基础设施</v>
      </c>
      <c r="R35" s="774" t="s">
        <v>17</v>
      </c>
      <c r="S35" s="775">
        <f t="shared" si="12"/>
        <v>100</v>
      </c>
      <c r="T35" s="774" t="s">
        <v>17</v>
      </c>
      <c r="U35" s="775">
        <f t="shared" si="13"/>
        <v>100</v>
      </c>
      <c r="V35" s="774" t="s">
        <v>17</v>
      </c>
      <c r="W35" s="775">
        <f t="shared" si="14"/>
        <v>100</v>
      </c>
      <c r="X35" s="1813"/>
      <c r="Y35" s="3226"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6"/>
      <c r="Q36" s="1810" t="str">
        <f t="shared" si="11"/>
        <v>内部装修</v>
      </c>
      <c r="R36" s="774" t="s">
        <v>17</v>
      </c>
      <c r="S36" s="775">
        <f t="shared" si="12"/>
        <v>100</v>
      </c>
      <c r="T36" s="774" t="s">
        <v>17</v>
      </c>
      <c r="U36" s="775">
        <f t="shared" si="13"/>
        <v>100</v>
      </c>
      <c r="V36" s="774" t="s">
        <v>17</v>
      </c>
      <c r="W36" s="775">
        <f t="shared" si="14"/>
        <v>100</v>
      </c>
      <c r="X36" s="1813"/>
      <c r="Y36" s="3226"/>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6"/>
      <c r="Q37" s="1810" t="str">
        <f t="shared" si="11"/>
        <v>内部装修状况</v>
      </c>
      <c r="R37" s="774" t="s">
        <v>17</v>
      </c>
      <c r="S37" s="775">
        <f t="shared" si="12"/>
        <v>100</v>
      </c>
      <c r="T37" s="774" t="s">
        <v>17</v>
      </c>
      <c r="U37" s="775">
        <f t="shared" si="13"/>
        <v>100</v>
      </c>
      <c r="V37" s="774" t="s">
        <v>17</v>
      </c>
      <c r="W37" s="775">
        <f t="shared" si="14"/>
        <v>100</v>
      </c>
      <c r="X37" s="1813"/>
      <c r="Y37" s="3226"/>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6"/>
      <c r="Q39" s="1810">
        <f t="shared" si="11"/>
        <v>111</v>
      </c>
      <c r="R39" s="774" t="s">
        <v>17</v>
      </c>
      <c r="S39" s="775">
        <f t="shared" si="12"/>
        <v>100</v>
      </c>
      <c r="T39" s="774" t="s">
        <v>17</v>
      </c>
      <c r="U39" s="775">
        <f t="shared" si="13"/>
        <v>100</v>
      </c>
      <c r="V39" s="774" t="s">
        <v>17</v>
      </c>
      <c r="W39" s="775">
        <f t="shared" si="14"/>
        <v>100</v>
      </c>
      <c r="X39" s="1813"/>
      <c r="Y39" s="3226"/>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7"/>
      <c r="Q40" s="1810">
        <f t="shared" si="11"/>
        <v>111</v>
      </c>
      <c r="R40" s="774" t="s">
        <v>17</v>
      </c>
      <c r="S40" s="775">
        <f t="shared" si="12"/>
        <v>100</v>
      </c>
      <c r="T40" s="774" t="s">
        <v>17</v>
      </c>
      <c r="U40" s="775">
        <f t="shared" si="13"/>
        <v>100</v>
      </c>
      <c r="V40" s="774" t="s">
        <v>17</v>
      </c>
      <c r="W40" s="775">
        <f t="shared" si="14"/>
        <v>100</v>
      </c>
      <c r="X40" s="1813"/>
      <c r="Y40" s="3227"/>
      <c r="Z40" s="1814">
        <f t="shared" si="15"/>
        <v>111</v>
      </c>
      <c r="AA40" s="1811">
        <f t="shared" si="3"/>
        <v>1</v>
      </c>
      <c r="AB40" s="1811">
        <f t="shared" si="4"/>
        <v>1</v>
      </c>
      <c r="AC40" s="1811">
        <f t="shared" si="5"/>
        <v>1</v>
      </c>
    </row>
    <row r="41" spans="1:29" ht="15">
      <c r="A41" s="479" t="s">
        <v>2581</v>
      </c>
      <c r="B41" s="480"/>
      <c r="C41" s="1406" t="s">
        <v>1</v>
      </c>
      <c r="D41" s="1407"/>
      <c r="E41" s="1408"/>
      <c r="F41" s="1409"/>
      <c r="G41" s="1410"/>
      <c r="H41" s="1411"/>
      <c r="I41" s="1408"/>
      <c r="J41" s="1411"/>
      <c r="K41" s="783"/>
      <c r="L41" s="1142"/>
      <c r="M41" s="1143"/>
      <c r="N41" s="1130"/>
      <c r="O41" s="1143"/>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2673</v>
      </c>
      <c r="B42" s="487"/>
      <c r="C42" s="1412" t="e">
        <f>R43</f>
        <v>#DIV/0!</v>
      </c>
      <c r="D42" s="1413"/>
      <c r="E42" s="1414" t="e">
        <f>R42</f>
        <v>#DIV/0!</v>
      </c>
      <c r="F42" s="1414"/>
      <c r="G42" s="1412" t="e">
        <f>T42</f>
        <v>#DIV/0!</v>
      </c>
      <c r="H42" s="1413"/>
      <c r="I42" s="1414" t="e">
        <f>V42</f>
        <v>#DIV/0!</v>
      </c>
      <c r="J42" s="1413"/>
      <c r="K42" s="784"/>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2674</v>
      </c>
      <c r="B43" s="493"/>
      <c r="C43" s="1416" t="e">
        <f>R43</f>
        <v>#DIV/0!</v>
      </c>
      <c r="D43" s="1416"/>
      <c r="E43" s="1416"/>
      <c r="F43" s="1416"/>
      <c r="G43" s="1416"/>
      <c r="H43" s="1416"/>
      <c r="I43" s="1416"/>
      <c r="J43" s="1416"/>
      <c r="K43" s="785"/>
      <c r="L43" s="1142"/>
      <c r="M43" s="1143"/>
      <c r="N43" s="1143"/>
      <c r="O43" s="1143"/>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2678</v>
      </c>
      <c r="B51" s="759"/>
      <c r="C51" s="764"/>
      <c r="D51" s="764"/>
      <c r="E51" s="764"/>
      <c r="F51" s="765"/>
      <c r="G51" s="765"/>
      <c r="H51" s="764"/>
      <c r="I51" s="764"/>
      <c r="J51" s="764"/>
      <c r="K51" s="1159"/>
      <c r="L51" s="1160"/>
      <c r="M51" s="1158"/>
      <c r="N51" s="1158"/>
      <c r="O51" s="1158"/>
      <c r="P51" s="503"/>
      <c r="Q51" s="504"/>
    </row>
    <row r="52" spans="1:17" s="508" customFormat="1" ht="15">
      <c r="A52" s="505" t="s">
        <v>2552</v>
      </c>
      <c r="B52" s="506"/>
      <c r="C52" s="1574" t="str">
        <f>YEAR(C7)&amp;"-"&amp;MONTH(C7)</f>
        <v>2017-10</v>
      </c>
      <c r="D52" s="1575">
        <f>EDATE(C52,-1)</f>
        <v>42979</v>
      </c>
      <c r="E52" s="1575">
        <f t="shared" ref="E52:O52" si="16">EDATE(D52,-1)</f>
        <v>42948</v>
      </c>
      <c r="F52" s="1575">
        <f t="shared" si="16"/>
        <v>42917</v>
      </c>
      <c r="G52" s="1575">
        <f t="shared" si="16"/>
        <v>42887</v>
      </c>
      <c r="H52" s="1575">
        <f t="shared" si="16"/>
        <v>42856</v>
      </c>
      <c r="I52" s="1575">
        <f t="shared" si="16"/>
        <v>42826</v>
      </c>
      <c r="J52" s="1575">
        <f t="shared" si="16"/>
        <v>42795</v>
      </c>
      <c r="K52" s="1575">
        <f t="shared" si="16"/>
        <v>42767</v>
      </c>
      <c r="L52" s="1575">
        <f t="shared" si="16"/>
        <v>42736</v>
      </c>
      <c r="M52" s="1575">
        <f t="shared" si="16"/>
        <v>42705</v>
      </c>
      <c r="N52" s="1575">
        <f t="shared" si="16"/>
        <v>42675</v>
      </c>
      <c r="O52" s="1575">
        <f t="shared" si="16"/>
        <v>42644</v>
      </c>
      <c r="P52" s="507"/>
    </row>
    <row r="53" spans="1:17" s="116" customFormat="1" ht="15">
      <c r="A53" s="509"/>
      <c r="B53" s="510"/>
      <c r="C53" s="1573">
        <v>100</v>
      </c>
      <c r="D53" s="512"/>
      <c r="E53" s="512"/>
      <c r="F53" s="512"/>
      <c r="G53" s="512"/>
      <c r="H53" s="512"/>
      <c r="I53" s="512"/>
      <c r="J53" s="512"/>
      <c r="K53" s="512"/>
      <c r="L53" s="512"/>
      <c r="M53" s="513"/>
      <c r="N53" s="512"/>
      <c r="O53" s="514"/>
      <c r="P53" s="504"/>
    </row>
    <row r="54" spans="1:17" s="116" customFormat="1" ht="15.75" thickBot="1">
      <c r="A54" s="515" t="s">
        <v>2589</v>
      </c>
      <c r="B54" s="516"/>
      <c r="C54" s="517"/>
      <c r="D54" s="518"/>
      <c r="E54" s="518"/>
      <c r="F54" s="518"/>
      <c r="G54" s="518"/>
      <c r="H54" s="518"/>
      <c r="I54" s="518"/>
      <c r="J54" s="518"/>
      <c r="K54" s="518"/>
      <c r="L54" s="518"/>
      <c r="M54" s="519"/>
      <c r="N54" s="518"/>
      <c r="O54" s="520"/>
      <c r="P54" s="504"/>
      <c r="Q54" s="504"/>
    </row>
    <row r="55" spans="1:17" s="116" customFormat="1" ht="15">
      <c r="A55" s="521" t="s">
        <v>2554</v>
      </c>
      <c r="B55" s="510"/>
      <c r="C55" s="522" t="s">
        <v>2656</v>
      </c>
      <c r="D55" s="523"/>
      <c r="E55" s="523"/>
      <c r="F55" s="523"/>
      <c r="G55" s="523"/>
      <c r="H55" s="523"/>
      <c r="I55" s="523"/>
      <c r="J55" s="523"/>
      <c r="K55" s="523"/>
      <c r="L55" s="524"/>
      <c r="M55" s="525"/>
      <c r="N55" s="1150"/>
      <c r="O55" s="1150"/>
      <c r="P55" s="526"/>
      <c r="Q55" s="504"/>
    </row>
    <row r="56" spans="1:17" s="116"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2592</v>
      </c>
      <c r="B57" s="528" t="s">
        <v>2558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6" customFormat="1" ht="15.75" thickTop="1">
      <c r="A80" s="579"/>
      <c r="B80" s="538">
        <f>B25</f>
        <v>111</v>
      </c>
      <c r="C80" s="554"/>
      <c r="D80" s="554"/>
      <c r="E80" s="554"/>
      <c r="F80" s="554"/>
      <c r="G80" s="554"/>
      <c r="H80" s="554"/>
      <c r="I80" s="554"/>
      <c r="J80" s="554"/>
      <c r="K80" s="554"/>
      <c r="L80" s="580"/>
      <c r="M80" s="581"/>
      <c r="N80" s="1150"/>
      <c r="O80" s="1150"/>
      <c r="P80" s="45"/>
      <c r="Q80" s="504"/>
    </row>
    <row r="81" spans="1:17" s="116" customFormat="1" ht="15.75" thickBot="1">
      <c r="A81" s="579"/>
      <c r="B81" s="543"/>
      <c r="C81" s="560"/>
      <c r="D81" s="536"/>
      <c r="E81" s="536"/>
      <c r="F81" s="536"/>
      <c r="G81" s="536"/>
      <c r="H81" s="536"/>
      <c r="I81" s="536"/>
      <c r="J81" s="536"/>
      <c r="K81" s="536"/>
      <c r="L81" s="536"/>
      <c r="M81" s="537"/>
      <c r="N81" s="1152"/>
      <c r="O81" s="1152"/>
      <c r="P81" s="45"/>
      <c r="Q81" s="504"/>
    </row>
    <row r="82" spans="1:17" s="116" customFormat="1" ht="15.75" thickTop="1">
      <c r="A82" s="579"/>
      <c r="B82" s="538">
        <f>B26</f>
        <v>111</v>
      </c>
      <c r="C82" s="554"/>
      <c r="D82" s="554"/>
      <c r="E82" s="554"/>
      <c r="F82" s="554"/>
      <c r="G82" s="554"/>
      <c r="H82" s="554"/>
      <c r="I82" s="554"/>
      <c r="J82" s="554"/>
      <c r="K82" s="554"/>
      <c r="L82" s="580"/>
      <c r="M82" s="581"/>
      <c r="N82" s="1150"/>
      <c r="O82" s="1150"/>
      <c r="P82" s="45"/>
      <c r="Q82" s="504"/>
    </row>
    <row r="83" spans="1:17" s="116"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7"/>
      <c r="B87" s="569"/>
      <c r="C87" s="570"/>
      <c r="D87" s="570"/>
      <c r="E87" s="570"/>
      <c r="F87" s="570"/>
      <c r="G87" s="591"/>
      <c r="H87" s="591"/>
      <c r="I87" s="591"/>
      <c r="J87" s="591"/>
      <c r="K87" s="591"/>
      <c r="L87" s="591"/>
      <c r="M87" s="592"/>
      <c r="N87" s="1152"/>
      <c r="O87" s="1152"/>
      <c r="P87" s="45"/>
      <c r="Q87" s="504"/>
    </row>
    <row r="88" spans="1:17">
      <c r="A88" s="527" t="s">
        <v>2567</v>
      </c>
      <c r="B88" s="528" t="s">
        <v>2616</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2618</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2620</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2621</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2622</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2624</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5"/>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185" t="s">
        <v>2652</v>
      </c>
      <c r="AC4" s="3184" t="s">
        <v>2653</v>
      </c>
    </row>
    <row r="5" spans="1:29"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185"/>
      <c r="AC5" s="3185"/>
    </row>
    <row r="6" spans="1:29" ht="15.75" thickBot="1">
      <c r="A6" s="406"/>
      <c r="B6" s="407"/>
      <c r="C6" s="3197" t="s">
        <v>2550</v>
      </c>
      <c r="D6" s="3198"/>
      <c r="E6" s="3199" t="s">
        <v>2550</v>
      </c>
      <c r="F6" s="3200"/>
      <c r="G6" s="3197" t="s">
        <v>2550</v>
      </c>
      <c r="H6" s="3198"/>
      <c r="I6" s="3197" t="s">
        <v>2550</v>
      </c>
      <c r="J6" s="3198"/>
      <c r="K6" s="610" t="s">
        <v>2551</v>
      </c>
      <c r="L6" s="1129"/>
      <c r="M6" s="1130"/>
      <c r="N6" s="1130"/>
      <c r="O6" s="1130"/>
      <c r="P6" s="3210"/>
      <c r="Q6" s="3211"/>
      <c r="R6" s="3191"/>
      <c r="S6" s="3192"/>
      <c r="T6" s="3212"/>
      <c r="U6" s="3213"/>
      <c r="V6" s="3214"/>
      <c r="W6" s="3214"/>
      <c r="X6" s="1813"/>
      <c r="Y6" s="3212"/>
      <c r="Z6" s="3213"/>
      <c r="AA6" s="3186"/>
      <c r="AB6" s="3186"/>
      <c r="AC6" s="3186"/>
    </row>
    <row r="7" spans="1:29" s="116" customFormat="1" ht="15.75" thickBot="1">
      <c r="A7" s="408" t="s">
        <v>2552</v>
      </c>
      <c r="B7" s="409"/>
      <c r="C7" s="410">
        <f>'数据-取费表'!B2</f>
        <v>43039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7" t="s">
        <v>2553</v>
      </c>
      <c r="Q7" s="3215"/>
      <c r="R7" s="770" t="s">
        <v>17</v>
      </c>
      <c r="S7" s="771">
        <f t="shared" ref="S7:S14" si="0">F7</f>
        <v>0</v>
      </c>
      <c r="T7" s="770" t="s">
        <v>17</v>
      </c>
      <c r="U7" s="771">
        <f t="shared" ref="U7:U14" si="1">H7</f>
        <v>0</v>
      </c>
      <c r="V7" s="770" t="s">
        <v>17</v>
      </c>
      <c r="W7" s="771">
        <f t="shared" ref="W7:W14" si="2">J7</f>
        <v>0</v>
      </c>
      <c r="X7" s="772"/>
      <c r="Y7" s="3187" t="s">
        <v>2553</v>
      </c>
      <c r="Z7" s="3188"/>
      <c r="AA7" s="773" t="e">
        <f>D7/F7</f>
        <v>#DIV/0!</v>
      </c>
      <c r="AB7" s="773" t="e">
        <f>D7/H7</f>
        <v>#DIV/0!</v>
      </c>
      <c r="AC7" s="773" t="e">
        <f>D7/J7</f>
        <v>#DIV/0!</v>
      </c>
    </row>
    <row r="8" spans="1:29" s="116"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36" si="3">D8/F8</f>
        <v>#DIV/0!</v>
      </c>
      <c r="AB8" s="773" t="e">
        <f t="shared" ref="AB8:AB36" si="4">D8/H8</f>
        <v>#DIV/0!</v>
      </c>
      <c r="AC8" s="773" t="e">
        <f t="shared" ref="AC8:AC36" si="5">D8/J8</f>
        <v>#DIV/0!</v>
      </c>
    </row>
    <row r="9" spans="1:29" s="116" customFormat="1">
      <c r="A9" s="67" t="s">
        <v>2557</v>
      </c>
      <c r="B9" s="640" t="s">
        <v>2558</v>
      </c>
      <c r="C9" s="416"/>
      <c r="D9" s="134">
        <v>100</v>
      </c>
      <c r="E9" s="419"/>
      <c r="F9" s="134">
        <f>SUMIF(53:53,E9,54:54)-SUMIF(53:53,C9,54:54)+100</f>
        <v>100</v>
      </c>
      <c r="G9" s="417"/>
      <c r="H9" s="134">
        <f>SUMIF(53:53,G9,54:54)-SUMIF(53:53,C9,54:54)+100</f>
        <v>100</v>
      </c>
      <c r="I9" s="417"/>
      <c r="J9" s="134">
        <f>SUMIF(53:53,I9,54:54)-SUMIF(53:53,C9,54:54)+100</f>
        <v>100</v>
      </c>
      <c r="K9" s="611"/>
      <c r="L9" s="1131"/>
      <c r="M9" s="1132"/>
      <c r="N9" s="1132"/>
      <c r="O9" s="1132"/>
      <c r="P9" s="3219" t="s">
        <v>2559</v>
      </c>
      <c r="Q9" s="1795" t="str">
        <f t="shared" ref="Q9:Q14" si="6">B9</f>
        <v>用途</v>
      </c>
      <c r="R9" s="770" t="s">
        <v>17</v>
      </c>
      <c r="S9" s="771">
        <f t="shared" si="0"/>
        <v>100</v>
      </c>
      <c r="T9" s="770" t="s">
        <v>17</v>
      </c>
      <c r="U9" s="771">
        <f t="shared" si="1"/>
        <v>100</v>
      </c>
      <c r="V9" s="770" t="s">
        <v>17</v>
      </c>
      <c r="W9" s="771">
        <f t="shared" si="2"/>
        <v>100</v>
      </c>
      <c r="X9" s="772"/>
      <c r="Y9" s="3014" t="s">
        <v>2560</v>
      </c>
      <c r="Z9" s="55" t="str">
        <f t="shared" ref="Z9:Z14" si="7">Q9</f>
        <v>用途</v>
      </c>
      <c r="AA9" s="773">
        <f t="shared" si="3"/>
        <v>1</v>
      </c>
      <c r="AB9" s="773">
        <f t="shared" si="4"/>
        <v>1</v>
      </c>
      <c r="AC9" s="773">
        <f t="shared" si="5"/>
        <v>1</v>
      </c>
    </row>
    <row r="10" spans="1:29" s="427" customFormat="1" ht="27">
      <c r="A10" s="641"/>
      <c r="B10" s="642" t="s">
        <v>2561</v>
      </c>
      <c r="C10" s="423"/>
      <c r="D10" s="135">
        <v>100</v>
      </c>
      <c r="E10" s="423"/>
      <c r="F10" s="135">
        <f>SUMIF(55:55,E10,56:56)-SUMIF(55:55,C10,56:56)+100</f>
        <v>100</v>
      </c>
      <c r="G10" s="424"/>
      <c r="H10" s="135">
        <f>SUMIF(55:55,G10,56:56)-SUMIF(55:55,C10,56:56)+100</f>
        <v>100</v>
      </c>
      <c r="I10" s="423"/>
      <c r="J10" s="135">
        <f>SUMIF(55:55,I10,56:56)-SUMIF(55:55,C10,56:56)+100</f>
        <v>100</v>
      </c>
      <c r="K10" s="612"/>
      <c r="L10" s="1134"/>
      <c r="M10" s="1135"/>
      <c r="N10" s="1135"/>
      <c r="O10" s="1135"/>
      <c r="P10" s="321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7"/>
      <c r="M11" s="1130"/>
      <c r="N11" s="1130"/>
      <c r="O11" s="1130"/>
      <c r="P11" s="321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1"/>
      <c r="M12" s="1132"/>
      <c r="N12" s="1132"/>
      <c r="O12" s="1132"/>
      <c r="P12" s="321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9"/>
      <c r="M13" s="1130"/>
      <c r="N13" s="1130"/>
      <c r="O13" s="1130"/>
      <c r="P13" s="321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2563</v>
      </c>
      <c r="B14" s="629" t="s">
        <v>2713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1" t="s">
        <v>2564</v>
      </c>
      <c r="Q14" s="1810" t="str">
        <f t="shared" si="6"/>
        <v>交通便捷度</v>
      </c>
      <c r="R14" s="774" t="s">
        <v>17</v>
      </c>
      <c r="S14" s="775">
        <f t="shared" si="0"/>
        <v>100</v>
      </c>
      <c r="T14" s="774" t="s">
        <v>17</v>
      </c>
      <c r="U14" s="775">
        <f t="shared" si="1"/>
        <v>100</v>
      </c>
      <c r="V14" s="774" t="s">
        <v>17</v>
      </c>
      <c r="W14" s="775">
        <f t="shared" si="2"/>
        <v>100</v>
      </c>
      <c r="X14" s="1813"/>
      <c r="Y14" s="3221"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222"/>
      <c r="Q15" s="1810"/>
      <c r="R15" s="774"/>
      <c r="S15" s="775"/>
      <c r="T15" s="774"/>
      <c r="U15" s="775"/>
      <c r="V15" s="774"/>
      <c r="W15" s="775"/>
      <c r="X15" s="1813"/>
      <c r="Y15" s="3222"/>
      <c r="Z15" s="1814"/>
      <c r="AA15" s="1811">
        <v>1</v>
      </c>
      <c r="AB15" s="1811">
        <v>1</v>
      </c>
      <c r="AC15" s="1811">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39"/>
      <c r="M17" s="1130"/>
      <c r="N17" s="1130"/>
      <c r="O17" s="1130"/>
      <c r="P17" s="3222"/>
      <c r="Q17" s="1810"/>
      <c r="R17" s="774"/>
      <c r="S17" s="775"/>
      <c r="T17" s="774"/>
      <c r="U17" s="775"/>
      <c r="V17" s="774"/>
      <c r="W17" s="775"/>
      <c r="X17" s="1813"/>
      <c r="Y17" s="3222"/>
      <c r="Z17" s="1814"/>
      <c r="AA17" s="1811">
        <v>1</v>
      </c>
      <c r="AB17" s="1811">
        <v>1</v>
      </c>
      <c r="AC17" s="1811">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2"/>
      <c r="L19" s="1139"/>
      <c r="M19" s="1130"/>
      <c r="N19" s="1130"/>
      <c r="O19" s="1130"/>
      <c r="P19" s="3222"/>
      <c r="Q19" s="1810"/>
      <c r="R19" s="774"/>
      <c r="S19" s="775"/>
      <c r="T19" s="774"/>
      <c r="U19" s="775"/>
      <c r="V19" s="774"/>
      <c r="W19" s="775"/>
      <c r="X19" s="1813"/>
      <c r="Y19" s="3222"/>
      <c r="Z19" s="1814"/>
      <c r="AA19" s="1811">
        <v>1</v>
      </c>
      <c r="AB19" s="1811">
        <v>1</v>
      </c>
      <c r="AC19" s="1811">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222"/>
      <c r="Q21" s="1810"/>
      <c r="R21" s="774"/>
      <c r="S21" s="775"/>
      <c r="T21" s="774"/>
      <c r="U21" s="775"/>
      <c r="V21" s="774"/>
      <c r="W21" s="775"/>
      <c r="X21" s="1813"/>
      <c r="Y21" s="3222"/>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2"/>
      <c r="Q24" s="1810">
        <f t="shared" ref="Q24:Q36"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15">
      <c r="A26" s="652" t="s">
        <v>2567</v>
      </c>
      <c r="B26" s="69" t="s">
        <v>2716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5"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6"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5">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6"/>
      <c r="Q28" s="1810" t="str">
        <f t="shared" si="11"/>
        <v>公共部分装修</v>
      </c>
      <c r="R28" s="774" t="s">
        <v>17</v>
      </c>
      <c r="S28" s="775">
        <f t="shared" si="12"/>
        <v>100</v>
      </c>
      <c r="T28" s="774" t="s">
        <v>17</v>
      </c>
      <c r="U28" s="775">
        <f t="shared" si="13"/>
        <v>100</v>
      </c>
      <c r="V28" s="774" t="s">
        <v>17</v>
      </c>
      <c r="W28" s="775">
        <f t="shared" si="14"/>
        <v>100</v>
      </c>
      <c r="X28" s="1813"/>
      <c r="Y28" s="3226"/>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6"/>
      <c r="Q29" s="1810" t="str">
        <f t="shared" si="11"/>
        <v>成新率</v>
      </c>
      <c r="R29" s="774" t="s">
        <v>17</v>
      </c>
      <c r="S29" s="775" t="e">
        <f t="shared" si="12"/>
        <v>#N/A</v>
      </c>
      <c r="T29" s="774" t="s">
        <v>17</v>
      </c>
      <c r="U29" s="775" t="e">
        <f t="shared" si="13"/>
        <v>#N/A</v>
      </c>
      <c r="V29" s="774" t="s">
        <v>17</v>
      </c>
      <c r="W29" s="775" t="e">
        <f t="shared" si="14"/>
        <v>#N/A</v>
      </c>
      <c r="X29" s="1813"/>
      <c r="Y29" s="3226"/>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6"/>
      <c r="Q30" s="1810" t="str">
        <f t="shared" si="11"/>
        <v>物业等级</v>
      </c>
      <c r="R30" s="774" t="s">
        <v>17</v>
      </c>
      <c r="S30" s="775">
        <f t="shared" si="12"/>
        <v>100</v>
      </c>
      <c r="T30" s="774" t="s">
        <v>17</v>
      </c>
      <c r="U30" s="775">
        <f t="shared" si="13"/>
        <v>100</v>
      </c>
      <c r="V30" s="774" t="s">
        <v>17</v>
      </c>
      <c r="W30" s="775">
        <f t="shared" si="14"/>
        <v>100</v>
      </c>
      <c r="X30" s="1813"/>
      <c r="Y30" s="3226"/>
      <c r="Z30" s="1814" t="str">
        <f t="shared" si="15"/>
        <v>物业等级</v>
      </c>
      <c r="AA30" s="1811">
        <f t="shared" si="3"/>
        <v>1</v>
      </c>
      <c r="AB30" s="1811">
        <f t="shared" si="4"/>
        <v>1</v>
      </c>
      <c r="AC30" s="1811">
        <f t="shared" si="5"/>
        <v>1</v>
      </c>
    </row>
    <row r="31" spans="1:29" s="116" customFormat="1" ht="15">
      <c r="A31" s="658"/>
      <c r="B31" s="654" t="s">
        <v>2721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6"/>
      <c r="Q31" s="1795"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6" t="s">
        <v>2569</v>
      </c>
      <c r="Q32" s="1810" t="str">
        <f t="shared" si="11"/>
        <v>车位类型</v>
      </c>
      <c r="R32" s="774" t="s">
        <v>17</v>
      </c>
      <c r="S32" s="775">
        <f t="shared" si="12"/>
        <v>100</v>
      </c>
      <c r="T32" s="774" t="s">
        <v>17</v>
      </c>
      <c r="U32" s="775">
        <f t="shared" si="13"/>
        <v>100</v>
      </c>
      <c r="V32" s="774" t="s">
        <v>17</v>
      </c>
      <c r="W32" s="775">
        <f t="shared" si="14"/>
        <v>100</v>
      </c>
      <c r="X32" s="1813"/>
      <c r="Y32" s="3226"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6"/>
      <c r="Q33" s="1810" t="str">
        <f t="shared" si="11"/>
        <v>是否直接入户</v>
      </c>
      <c r="R33" s="774" t="s">
        <v>17</v>
      </c>
      <c r="S33" s="775">
        <f t="shared" si="12"/>
        <v>100</v>
      </c>
      <c r="T33" s="774" t="s">
        <v>17</v>
      </c>
      <c r="U33" s="775">
        <f t="shared" si="13"/>
        <v>100</v>
      </c>
      <c r="V33" s="774" t="s">
        <v>17</v>
      </c>
      <c r="W33" s="775">
        <f t="shared" si="14"/>
        <v>100</v>
      </c>
      <c r="X33" s="1813"/>
      <c r="Y33" s="322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6"/>
      <c r="Q34" s="1810">
        <f t="shared" si="11"/>
        <v>111</v>
      </c>
      <c r="R34" s="774" t="s">
        <v>17</v>
      </c>
      <c r="S34" s="775">
        <f t="shared" si="12"/>
        <v>100</v>
      </c>
      <c r="T34" s="774" t="s">
        <v>17</v>
      </c>
      <c r="U34" s="775">
        <f t="shared" si="13"/>
        <v>100</v>
      </c>
      <c r="V34" s="774" t="s">
        <v>17</v>
      </c>
      <c r="W34" s="775">
        <f t="shared" si="14"/>
        <v>100</v>
      </c>
      <c r="X34" s="1813"/>
      <c r="Y34" s="322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6"/>
      <c r="Q36" s="1810">
        <f t="shared" si="11"/>
        <v>111</v>
      </c>
      <c r="R36" s="774" t="s">
        <v>17</v>
      </c>
      <c r="S36" s="775">
        <f t="shared" si="12"/>
        <v>100</v>
      </c>
      <c r="T36" s="774" t="s">
        <v>17</v>
      </c>
      <c r="U36" s="775">
        <f t="shared" si="13"/>
        <v>100</v>
      </c>
      <c r="V36" s="774" t="s">
        <v>17</v>
      </c>
      <c r="W36" s="775">
        <f t="shared" si="14"/>
        <v>100</v>
      </c>
      <c r="X36" s="1813"/>
      <c r="Y36" s="3226"/>
      <c r="Z36" s="1814">
        <f t="shared" si="15"/>
        <v>111</v>
      </c>
      <c r="AA36" s="1811">
        <f t="shared" si="3"/>
        <v>1</v>
      </c>
      <c r="AB36" s="1811">
        <f t="shared" si="4"/>
        <v>1</v>
      </c>
      <c r="AC36" s="1811">
        <f t="shared" si="5"/>
        <v>1</v>
      </c>
    </row>
    <row r="37" spans="1:29" ht="15">
      <c r="A37" s="479" t="s">
        <v>2724</v>
      </c>
      <c r="B37" s="2696" t="s">
        <v>2725</v>
      </c>
      <c r="C37" s="1406" t="s">
        <v>1</v>
      </c>
      <c r="D37" s="1407"/>
      <c r="E37" s="1408"/>
      <c r="F37" s="1409"/>
      <c r="G37" s="1410"/>
      <c r="H37" s="1411"/>
      <c r="I37" s="1408"/>
      <c r="J37" s="1411"/>
      <c r="K37" s="619"/>
      <c r="L37" s="1142"/>
      <c r="M37" s="1143"/>
      <c r="N37" s="1130"/>
      <c r="O37" s="1143"/>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2726</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2727</v>
      </c>
      <c r="B39" s="493"/>
      <c r="C39" s="1416" t="e">
        <f>R39</f>
        <v>#DIV/0!</v>
      </c>
      <c r="D39" s="1416"/>
      <c r="E39" s="1416"/>
      <c r="F39" s="1416"/>
      <c r="G39" s="1416"/>
      <c r="H39" s="1416"/>
      <c r="I39" s="1416"/>
      <c r="J39" s="1416"/>
      <c r="K39" s="621"/>
      <c r="L39" s="1142"/>
      <c r="M39" s="1143"/>
      <c r="N39" s="1143"/>
      <c r="O39" s="1143"/>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2732</v>
      </c>
      <c r="B48" s="506"/>
      <c r="C48" s="1574" t="str">
        <f>YEAR(C7)&amp;"-"&amp;MONTH(C7)</f>
        <v>2017-10</v>
      </c>
      <c r="D48" s="1575">
        <f>EDATE(C48,-1)</f>
        <v>42979</v>
      </c>
      <c r="E48" s="1575">
        <f t="shared" ref="E48:O48" si="16">EDATE(D48,-1)</f>
        <v>42948</v>
      </c>
      <c r="F48" s="1575">
        <f t="shared" si="16"/>
        <v>42917</v>
      </c>
      <c r="G48" s="1575">
        <f t="shared" si="16"/>
        <v>42887</v>
      </c>
      <c r="H48" s="1575">
        <f t="shared" si="16"/>
        <v>42856</v>
      </c>
      <c r="I48" s="1575">
        <f t="shared" si="16"/>
        <v>42826</v>
      </c>
      <c r="J48" s="1575">
        <f t="shared" si="16"/>
        <v>42795</v>
      </c>
      <c r="K48" s="1575">
        <f t="shared" si="16"/>
        <v>42767</v>
      </c>
      <c r="L48" s="1575">
        <f t="shared" si="16"/>
        <v>42736</v>
      </c>
      <c r="M48" s="1575">
        <f t="shared" si="16"/>
        <v>42705</v>
      </c>
      <c r="N48" s="1575">
        <f t="shared" si="16"/>
        <v>42675</v>
      </c>
      <c r="O48" s="1575">
        <f t="shared" si="16"/>
        <v>42644</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2589</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2554</v>
      </c>
      <c r="B51" s="510"/>
      <c r="C51" s="522" t="s">
        <v>2656</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2592</v>
      </c>
      <c r="B53" s="528" t="s">
        <v>2558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2607</v>
      </c>
      <c r="C65" s="578" t="s">
        <v>2601</v>
      </c>
      <c r="D65" s="578" t="s">
        <v>2602</v>
      </c>
      <c r="E65" s="578" t="s">
        <v>2603</v>
      </c>
      <c r="F65" s="578" t="s">
        <v>2604</v>
      </c>
      <c r="G65" s="578" t="s">
        <v>2605</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2693</v>
      </c>
      <c r="C67" s="660" t="s">
        <v>2679</v>
      </c>
      <c r="D67" s="660" t="s">
        <v>2680</v>
      </c>
      <c r="E67" s="660" t="s">
        <v>2681</v>
      </c>
      <c r="F67" s="660" t="s">
        <v>2682</v>
      </c>
      <c r="G67" s="660" t="s">
        <v>2683</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2613</v>
      </c>
      <c r="C69" s="578" t="s">
        <v>2601</v>
      </c>
      <c r="D69" s="578" t="s">
        <v>2602</v>
      </c>
      <c r="E69" s="578" t="s">
        <v>2603</v>
      </c>
      <c r="F69" s="578" t="s">
        <v>2604</v>
      </c>
      <c r="G69" s="578" t="s">
        <v>2605</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2733</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6"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2567</v>
      </c>
      <c r="B79" s="528" t="s">
        <v>2734</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2735</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2620</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2737</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2739</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2740</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185" t="s">
        <v>2652</v>
      </c>
      <c r="AC4" s="3184" t="s">
        <v>2653</v>
      </c>
    </row>
    <row r="5" spans="1:29"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185"/>
      <c r="AC5" s="3185"/>
    </row>
    <row r="6" spans="1:29" ht="15.75" thickBot="1">
      <c r="A6" s="406"/>
      <c r="B6" s="407"/>
      <c r="C6" s="3197" t="s">
        <v>2550</v>
      </c>
      <c r="D6" s="3198"/>
      <c r="E6" s="3199" t="s">
        <v>2550</v>
      </c>
      <c r="F6" s="3200"/>
      <c r="G6" s="3197" t="s">
        <v>2550</v>
      </c>
      <c r="H6" s="3198"/>
      <c r="I6" s="3197" t="s">
        <v>2550</v>
      </c>
      <c r="J6" s="3198"/>
      <c r="K6" s="610" t="s">
        <v>2551</v>
      </c>
      <c r="L6" s="1129"/>
      <c r="M6" s="1130"/>
      <c r="N6" s="1130"/>
      <c r="O6" s="1130"/>
      <c r="P6" s="3210"/>
      <c r="Q6" s="3211"/>
      <c r="R6" s="3191"/>
      <c r="S6" s="3192"/>
      <c r="T6" s="3212"/>
      <c r="U6" s="3213"/>
      <c r="V6" s="3214"/>
      <c r="W6" s="3214"/>
      <c r="X6" s="1813"/>
      <c r="Y6" s="3212"/>
      <c r="Z6" s="3213"/>
      <c r="AA6" s="3186"/>
      <c r="AB6" s="3186"/>
      <c r="AC6" s="3186"/>
    </row>
    <row r="7" spans="1:29" s="116" customFormat="1" ht="15.75" thickBot="1">
      <c r="A7" s="408" t="s">
        <v>2552</v>
      </c>
      <c r="B7" s="409"/>
      <c r="C7" s="410">
        <f>'数据-取费表'!B2</f>
        <v>43039</v>
      </c>
      <c r="D7" s="411">
        <v>100</v>
      </c>
      <c r="E7" s="412"/>
      <c r="F7" s="413">
        <f>SUMIF(46:46,YEAR(E7)&amp;"-"&amp;MONTH(E7),47:47)</f>
        <v>0</v>
      </c>
      <c r="G7" s="2697"/>
      <c r="H7" s="411">
        <f>SUMIF(46:46,YEAR(G7)&amp;"-"&amp;MONTH(G7),47:47)</f>
        <v>0</v>
      </c>
      <c r="I7" s="412"/>
      <c r="J7" s="411">
        <f>SUMIF(46:46,YEAR(I7)&amp;"-"&amp;MONTH(I7),47:47)</f>
        <v>0</v>
      </c>
      <c r="K7" s="611"/>
      <c r="L7" s="1131"/>
      <c r="M7" s="1132"/>
      <c r="N7" s="1132"/>
      <c r="O7" s="1132"/>
      <c r="P7" s="3187" t="s">
        <v>2553</v>
      </c>
      <c r="Q7" s="3215"/>
      <c r="R7" s="770" t="s">
        <v>17</v>
      </c>
      <c r="S7" s="771">
        <f t="shared" ref="S7:S14" si="0">F7</f>
        <v>0</v>
      </c>
      <c r="T7" s="770" t="s">
        <v>17</v>
      </c>
      <c r="U7" s="771">
        <f t="shared" ref="U7:U14" si="1">H7</f>
        <v>0</v>
      </c>
      <c r="V7" s="770" t="s">
        <v>17</v>
      </c>
      <c r="W7" s="771">
        <f t="shared" ref="W7:W14" si="2">J7</f>
        <v>0</v>
      </c>
      <c r="X7" s="772"/>
      <c r="Y7" s="3187" t="s">
        <v>2553</v>
      </c>
      <c r="Z7" s="3188"/>
      <c r="AA7" s="773" t="e">
        <f>D7/F7</f>
        <v>#DIV/0!</v>
      </c>
      <c r="AB7" s="773" t="e">
        <f>D7/H7</f>
        <v>#DIV/0!</v>
      </c>
      <c r="AC7" s="773" t="e">
        <f>D7/J7</f>
        <v>#DIV/0!</v>
      </c>
    </row>
    <row r="8" spans="1:29" s="116"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34" si="3">D8/F8</f>
        <v>#DIV/0!</v>
      </c>
      <c r="AB8" s="773" t="e">
        <f t="shared" ref="AB8:AB34" si="4">D8/H8</f>
        <v>#DIV/0!</v>
      </c>
      <c r="AC8" s="773" t="e">
        <f t="shared" ref="AC8:AC34" si="5">D8/J8</f>
        <v>#DIV/0!</v>
      </c>
    </row>
    <row r="9" spans="1:29" s="116" customFormat="1">
      <c r="A9" s="415" t="s">
        <v>2557</v>
      </c>
      <c r="B9" s="70" t="s">
        <v>2558</v>
      </c>
      <c r="C9" s="416"/>
      <c r="D9" s="134">
        <v>100</v>
      </c>
      <c r="E9" s="419"/>
      <c r="F9" s="418">
        <f>SUMIF(51:51,E9,52:52)-SUMIF(51:51,C9,52:52)+100</f>
        <v>100</v>
      </c>
      <c r="G9" s="419"/>
      <c r="H9" s="134">
        <f>SUMIF(51:51,G9,52:52)-SUMIF(51:51,C9,52:52)+100</f>
        <v>100</v>
      </c>
      <c r="I9" s="419"/>
      <c r="J9" s="134">
        <f>SUMIF(51:51,I9,52:52)-SUMIF(51:51,C9,52:52)+100</f>
        <v>100</v>
      </c>
      <c r="K9" s="611"/>
      <c r="L9" s="1131"/>
      <c r="M9" s="1132"/>
      <c r="N9" s="1132"/>
      <c r="O9" s="1133"/>
      <c r="P9" s="3219" t="s">
        <v>2559</v>
      </c>
      <c r="Q9" s="1795" t="str">
        <f t="shared" ref="Q9:Q14" si="6">B9</f>
        <v>用途</v>
      </c>
      <c r="R9" s="770" t="s">
        <v>17</v>
      </c>
      <c r="S9" s="771">
        <f t="shared" si="0"/>
        <v>100</v>
      </c>
      <c r="T9" s="770" t="s">
        <v>17</v>
      </c>
      <c r="U9" s="771">
        <f t="shared" si="1"/>
        <v>100</v>
      </c>
      <c r="V9" s="770" t="s">
        <v>17</v>
      </c>
      <c r="W9" s="771">
        <f t="shared" si="2"/>
        <v>100</v>
      </c>
      <c r="X9" s="772"/>
      <c r="Y9" s="3014" t="s">
        <v>2560</v>
      </c>
      <c r="Z9" s="55" t="str">
        <f t="shared" ref="Z9:Z14" si="7">Q9</f>
        <v>用途</v>
      </c>
      <c r="AA9" s="773">
        <f t="shared" si="3"/>
        <v>1</v>
      </c>
      <c r="AB9" s="773">
        <f t="shared" si="4"/>
        <v>1</v>
      </c>
      <c r="AC9" s="773">
        <f t="shared" si="5"/>
        <v>1</v>
      </c>
    </row>
    <row r="10" spans="1:29" s="427" customFormat="1" ht="27">
      <c r="A10" s="421"/>
      <c r="B10" s="422" t="s">
        <v>2561</v>
      </c>
      <c r="C10" s="423"/>
      <c r="D10" s="135">
        <v>100</v>
      </c>
      <c r="E10" s="423"/>
      <c r="F10" s="425">
        <f>SUMIF(53:53,E10,54:54)-SUMIF(53:53,C10,54:54)+100</f>
        <v>100</v>
      </c>
      <c r="G10" s="423"/>
      <c r="H10" s="135">
        <f>SUMIF(53:53,G10,54:54)-SUMIF(53:53,C10,54:54)+100</f>
        <v>100</v>
      </c>
      <c r="I10" s="423"/>
      <c r="J10" s="135">
        <f>SUMIF(53:53,I10,54:54)-SUMIF(53:53,C10,54:54)+100</f>
        <v>100</v>
      </c>
      <c r="K10" s="612"/>
      <c r="L10" s="1134"/>
      <c r="M10" s="1135"/>
      <c r="N10" s="1135"/>
      <c r="O10" s="1136"/>
      <c r="P10" s="321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1">
        <v>111</v>
      </c>
      <c r="C11" s="432"/>
      <c r="D11" s="135">
        <v>100</v>
      </c>
      <c r="E11" s="469"/>
      <c r="F11" s="425">
        <f>SUMIF(55:55,E11,56:56)-SUMIF(55:55,C11,56:56)+100</f>
        <v>100</v>
      </c>
      <c r="G11" s="469"/>
      <c r="H11" s="135">
        <f>SUMIF(55:55,G11,56:56)-SUMIF(55:55,C11,56:56)+100</f>
        <v>100</v>
      </c>
      <c r="I11" s="469"/>
      <c r="J11" s="135">
        <f>SUMIF(55:55,I11,56:56)-SUMIF(55:55,C11,56:56)+100</f>
        <v>100</v>
      </c>
      <c r="K11" s="613"/>
      <c r="L11" s="1137"/>
      <c r="M11" s="1130"/>
      <c r="N11" s="1130"/>
      <c r="O11" s="1138"/>
      <c r="P11" s="321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6" customFormat="1" ht="15">
      <c r="A12" s="431"/>
      <c r="B12" s="2601">
        <v>111</v>
      </c>
      <c r="C12" s="432"/>
      <c r="D12" s="433">
        <v>100</v>
      </c>
      <c r="E12" s="469"/>
      <c r="F12" s="425">
        <f>SUMIF(57:57,E12,58:58)-SUMIF(57:57,C12,58:58)+100</f>
        <v>100</v>
      </c>
      <c r="G12" s="469"/>
      <c r="H12" s="135">
        <f>SUMIF(57:57,G12,58:58)-SUMIF(57:57,C12,58:58)+100</f>
        <v>100</v>
      </c>
      <c r="I12" s="469"/>
      <c r="J12" s="135">
        <f>SUMIF(57:57,I12,58:58)-SUMIF(57:57,C12,58:58)+100</f>
        <v>100</v>
      </c>
      <c r="K12" s="613"/>
      <c r="L12" s="1131"/>
      <c r="M12" s="1132"/>
      <c r="N12" s="1132"/>
      <c r="O12" s="1133"/>
      <c r="P12" s="321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9"/>
      <c r="M13" s="1130"/>
      <c r="N13" s="1130"/>
      <c r="O13" s="1138"/>
      <c r="P13" s="321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2563</v>
      </c>
      <c r="B14" s="68" t="s">
        <v>2713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1" t="s">
        <v>2564</v>
      </c>
      <c r="Q14" s="1810" t="str">
        <f t="shared" si="6"/>
        <v>交通便捷度</v>
      </c>
      <c r="R14" s="774" t="s">
        <v>17</v>
      </c>
      <c r="S14" s="775">
        <f t="shared" si="0"/>
        <v>100</v>
      </c>
      <c r="T14" s="774" t="s">
        <v>17</v>
      </c>
      <c r="U14" s="775">
        <f t="shared" si="1"/>
        <v>100</v>
      </c>
      <c r="V14" s="774" t="s">
        <v>17</v>
      </c>
      <c r="W14" s="775">
        <f t="shared" si="2"/>
        <v>100</v>
      </c>
      <c r="X14" s="1813"/>
      <c r="Y14" s="3221"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222"/>
      <c r="Q15" s="1810"/>
      <c r="R15" s="774"/>
      <c r="S15" s="775"/>
      <c r="T15" s="774"/>
      <c r="U15" s="775"/>
      <c r="V15" s="774"/>
      <c r="W15" s="775"/>
      <c r="X15" s="1813"/>
      <c r="Y15" s="3222"/>
      <c r="Z15" s="1814"/>
      <c r="AA15" s="1811">
        <v>1</v>
      </c>
      <c r="AB15" s="1811">
        <v>1</v>
      </c>
      <c r="AC15" s="1811">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39"/>
      <c r="M17" s="1130"/>
      <c r="N17" s="1130"/>
      <c r="O17" s="1138"/>
      <c r="P17" s="3222"/>
      <c r="Q17" s="1810"/>
      <c r="R17" s="774"/>
      <c r="S17" s="775"/>
      <c r="T17" s="774"/>
      <c r="U17" s="775"/>
      <c r="V17" s="774"/>
      <c r="W17" s="775"/>
      <c r="X17" s="1813"/>
      <c r="Y17" s="3222"/>
      <c r="Z17" s="1814"/>
      <c r="AA17" s="1811">
        <v>1</v>
      </c>
      <c r="AB17" s="1811">
        <v>1</v>
      </c>
      <c r="AC17" s="1811">
        <v>1</v>
      </c>
    </row>
    <row r="18" spans="1:29" ht="28.5">
      <c r="A18" s="428"/>
      <c r="B18" s="1383"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28"/>
      <c r="B19" s="1383"/>
      <c r="C19" s="2609"/>
      <c r="D19" s="450"/>
      <c r="E19" s="2609"/>
      <c r="F19" s="453"/>
      <c r="G19" s="2609"/>
      <c r="H19" s="448"/>
      <c r="I19" s="447"/>
      <c r="J19" s="448"/>
      <c r="K19" s="1382"/>
      <c r="L19" s="1139"/>
      <c r="M19" s="1130"/>
      <c r="N19" s="1130"/>
      <c r="O19" s="1138"/>
      <c r="P19" s="3222"/>
      <c r="Q19" s="1810"/>
      <c r="R19" s="774"/>
      <c r="S19" s="775"/>
      <c r="T19" s="774"/>
      <c r="U19" s="775"/>
      <c r="V19" s="774"/>
      <c r="W19" s="775"/>
      <c r="X19" s="1813"/>
      <c r="Y19" s="3222"/>
      <c r="Z19" s="1814"/>
      <c r="AA19" s="1811">
        <v>1</v>
      </c>
      <c r="AB19" s="1811">
        <v>1</v>
      </c>
      <c r="AC19" s="1811">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222"/>
      <c r="Q21" s="1810"/>
      <c r="R21" s="774"/>
      <c r="S21" s="775"/>
      <c r="T21" s="774"/>
      <c r="U21" s="775"/>
      <c r="V21" s="774"/>
      <c r="W21" s="775"/>
      <c r="X21" s="1813"/>
      <c r="Y21" s="3222"/>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2"/>
      <c r="Q24" s="1810">
        <f t="shared" ref="Q24:Q34"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6"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1"/>
      <c r="M25" s="1132"/>
      <c r="N25" s="1132"/>
      <c r="O25" s="1133"/>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15">
      <c r="A26" s="466" t="s">
        <v>2567</v>
      </c>
      <c r="B26" s="70" t="s">
        <v>2718</v>
      </c>
      <c r="C26" s="2680"/>
      <c r="D26" s="467">
        <v>100</v>
      </c>
      <c r="E26" s="2680"/>
      <c r="F26" s="667">
        <f>SUMIF(77:77,E26,78:78)-SUMIF(77:77,C26,78:78)+100</f>
        <v>100</v>
      </c>
      <c r="G26" s="2680"/>
      <c r="H26" s="467">
        <f>SUMIF(77:77,G26,78:78)-SUMIF(77:77,C26,78:78)+100</f>
        <v>100</v>
      </c>
      <c r="I26" s="2680"/>
      <c r="J26" s="467">
        <f>SUMIF(77:77,I26,78:78)-SUMIF(77:77,C26,78:78)+100</f>
        <v>100</v>
      </c>
      <c r="K26" s="612"/>
      <c r="L26" s="1139"/>
      <c r="M26" s="1130"/>
      <c r="N26" s="1130"/>
      <c r="O26" s="1138"/>
      <c r="P26" s="3245"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6"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6"/>
      <c r="Q28" s="1810" t="str">
        <f t="shared" si="11"/>
        <v>物业等级</v>
      </c>
      <c r="R28" s="774" t="s">
        <v>17</v>
      </c>
      <c r="S28" s="775">
        <f t="shared" si="12"/>
        <v>100</v>
      </c>
      <c r="T28" s="774" t="s">
        <v>17</v>
      </c>
      <c r="U28" s="775">
        <f t="shared" si="13"/>
        <v>100</v>
      </c>
      <c r="V28" s="774" t="s">
        <v>17</v>
      </c>
      <c r="W28" s="775">
        <f t="shared" si="14"/>
        <v>100</v>
      </c>
      <c r="X28" s="1813"/>
      <c r="Y28" s="3226"/>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6"/>
      <c r="Q29" s="1810" t="str">
        <f t="shared" si="11"/>
        <v>有无电梯</v>
      </c>
      <c r="R29" s="774" t="s">
        <v>17</v>
      </c>
      <c r="S29" s="775">
        <f t="shared" si="12"/>
        <v>100</v>
      </c>
      <c r="T29" s="774" t="s">
        <v>17</v>
      </c>
      <c r="U29" s="775">
        <f t="shared" si="13"/>
        <v>100</v>
      </c>
      <c r="V29" s="774" t="s">
        <v>17</v>
      </c>
      <c r="W29" s="775">
        <f t="shared" si="14"/>
        <v>100</v>
      </c>
      <c r="X29" s="1813"/>
      <c r="Y29" s="3226"/>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6"/>
      <c r="Q30" s="1810" t="str">
        <f t="shared" si="11"/>
        <v>建筑面积</v>
      </c>
      <c r="R30" s="774" t="s">
        <v>17</v>
      </c>
      <c r="S30" s="775" t="e">
        <f t="shared" si="12"/>
        <v>#N/A</v>
      </c>
      <c r="T30" s="774" t="s">
        <v>17</v>
      </c>
      <c r="U30" s="775" t="e">
        <f t="shared" si="13"/>
        <v>#N/A</v>
      </c>
      <c r="V30" s="774" t="s">
        <v>17</v>
      </c>
      <c r="W30" s="775" t="e">
        <f t="shared" si="14"/>
        <v>#N/A</v>
      </c>
      <c r="X30" s="1813"/>
      <c r="Y30" s="3226"/>
      <c r="Z30" s="1814" t="str">
        <f t="shared" si="15"/>
        <v>建筑面积</v>
      </c>
      <c r="AA30" s="1811" t="e">
        <f t="shared" si="3"/>
        <v>#N/A</v>
      </c>
      <c r="AB30" s="1811" t="e">
        <f t="shared" si="4"/>
        <v>#N/A</v>
      </c>
      <c r="AC30" s="1811" t="e">
        <f t="shared" si="5"/>
        <v>#N/A</v>
      </c>
    </row>
    <row r="31" spans="1:29" s="116" customFormat="1" ht="15">
      <c r="A31" s="473"/>
      <c r="B31" s="422" t="s">
        <v>2743</v>
      </c>
      <c r="C31" s="657"/>
      <c r="D31" s="135">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6"/>
      <c r="Q31" s="1795"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6" t="s">
        <v>2569</v>
      </c>
      <c r="Q32" s="1810">
        <f t="shared" si="11"/>
        <v>111</v>
      </c>
      <c r="R32" s="774" t="s">
        <v>17</v>
      </c>
      <c r="S32" s="775">
        <f t="shared" si="12"/>
        <v>100</v>
      </c>
      <c r="T32" s="774" t="s">
        <v>17</v>
      </c>
      <c r="U32" s="775">
        <f t="shared" si="13"/>
        <v>100</v>
      </c>
      <c r="V32" s="774" t="s">
        <v>17</v>
      </c>
      <c r="W32" s="775">
        <f t="shared" si="14"/>
        <v>100</v>
      </c>
      <c r="X32" s="1813"/>
      <c r="Y32" s="3226" t="s">
        <v>2569</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6"/>
      <c r="Q33" s="1810">
        <f t="shared" si="11"/>
        <v>111</v>
      </c>
      <c r="R33" s="774" t="s">
        <v>17</v>
      </c>
      <c r="S33" s="775">
        <f t="shared" si="12"/>
        <v>100</v>
      </c>
      <c r="T33" s="774" t="s">
        <v>17</v>
      </c>
      <c r="U33" s="775">
        <f t="shared" si="13"/>
        <v>100</v>
      </c>
      <c r="V33" s="774" t="s">
        <v>17</v>
      </c>
      <c r="W33" s="775">
        <f t="shared" si="14"/>
        <v>100</v>
      </c>
      <c r="X33" s="1813"/>
      <c r="Y33" s="3226"/>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9"/>
      <c r="M34" s="1130"/>
      <c r="N34" s="1130"/>
      <c r="O34" s="1138"/>
      <c r="P34" s="3226"/>
      <c r="Q34" s="1810">
        <f t="shared" si="11"/>
        <v>111</v>
      </c>
      <c r="R34" s="774" t="s">
        <v>17</v>
      </c>
      <c r="S34" s="775">
        <f t="shared" si="12"/>
        <v>100</v>
      </c>
      <c r="T34" s="774" t="s">
        <v>17</v>
      </c>
      <c r="U34" s="775">
        <f t="shared" si="13"/>
        <v>100</v>
      </c>
      <c r="V34" s="774" t="s">
        <v>17</v>
      </c>
      <c r="W34" s="775">
        <f t="shared" si="14"/>
        <v>100</v>
      </c>
      <c r="X34" s="1813"/>
      <c r="Y34" s="3226"/>
      <c r="Z34" s="1814">
        <f t="shared" si="15"/>
        <v>111</v>
      </c>
      <c r="AA34" s="1811">
        <f t="shared" si="3"/>
        <v>1</v>
      </c>
      <c r="AB34" s="1811">
        <f t="shared" si="4"/>
        <v>1</v>
      </c>
      <c r="AC34" s="1811">
        <f t="shared" si="5"/>
        <v>1</v>
      </c>
    </row>
    <row r="35" spans="1:29" ht="15">
      <c r="A35" s="479" t="s">
        <v>2581</v>
      </c>
      <c r="B35" s="480"/>
      <c r="C35" s="1406" t="s">
        <v>1</v>
      </c>
      <c r="D35" s="1407"/>
      <c r="E35" s="1408"/>
      <c r="F35" s="1409"/>
      <c r="G35" s="1410"/>
      <c r="H35" s="1411"/>
      <c r="I35" s="1408"/>
      <c r="J35" s="1411"/>
      <c r="K35" s="783"/>
      <c r="L35" s="1142"/>
      <c r="M35" s="1143"/>
      <c r="N35" s="1130"/>
      <c r="O35" s="1143"/>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2673</v>
      </c>
      <c r="B36" s="487"/>
      <c r="C36" s="1412" t="e">
        <f>R37</f>
        <v>#DIV/0!</v>
      </c>
      <c r="D36" s="1413"/>
      <c r="E36" s="1414" t="e">
        <f>R36</f>
        <v>#DIV/0!</v>
      </c>
      <c r="F36" s="1414"/>
      <c r="G36" s="1412" t="e">
        <f>T36</f>
        <v>#DIV/0!</v>
      </c>
      <c r="H36" s="1413"/>
      <c r="I36" s="1414" t="e">
        <f>V36</f>
        <v>#DIV/0!</v>
      </c>
      <c r="J36" s="1413"/>
      <c r="K36" s="784"/>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2674</v>
      </c>
      <c r="B37" s="493"/>
      <c r="C37" s="1416" t="e">
        <f>R37</f>
        <v>#DIV/0!</v>
      </c>
      <c r="D37" s="1416"/>
      <c r="E37" s="1416"/>
      <c r="F37" s="1416"/>
      <c r="G37" s="1416"/>
      <c r="H37" s="1416"/>
      <c r="I37" s="1416"/>
      <c r="J37" s="1416"/>
      <c r="K37" s="785"/>
      <c r="L37" s="1142"/>
      <c r="M37" s="1143"/>
      <c r="N37" s="1143"/>
      <c r="O37" s="1143"/>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2017-10</v>
      </c>
      <c r="D46" s="1575">
        <f>EDATE(C46,-1)</f>
        <v>42979</v>
      </c>
      <c r="E46" s="1575">
        <f t="shared" ref="E46:O46" si="16">EDATE(D46,-1)</f>
        <v>42948</v>
      </c>
      <c r="F46" s="1575">
        <f t="shared" si="16"/>
        <v>42917</v>
      </c>
      <c r="G46" s="1575">
        <f t="shared" si="16"/>
        <v>42887</v>
      </c>
      <c r="H46" s="1575">
        <f t="shared" si="16"/>
        <v>42856</v>
      </c>
      <c r="I46" s="1575">
        <f t="shared" si="16"/>
        <v>42826</v>
      </c>
      <c r="J46" s="1575">
        <f t="shared" si="16"/>
        <v>42795</v>
      </c>
      <c r="K46" s="1575">
        <f t="shared" si="16"/>
        <v>42767</v>
      </c>
      <c r="L46" s="1575">
        <f t="shared" si="16"/>
        <v>42736</v>
      </c>
      <c r="M46" s="1575">
        <f t="shared" si="16"/>
        <v>42705</v>
      </c>
      <c r="N46" s="1575">
        <f t="shared" si="16"/>
        <v>42675</v>
      </c>
      <c r="O46" s="1575">
        <f t="shared" si="16"/>
        <v>42644</v>
      </c>
      <c r="P46" s="507"/>
    </row>
    <row r="47" spans="1:29" s="116" customFormat="1" ht="15">
      <c r="A47" s="509"/>
      <c r="B47" s="510"/>
      <c r="C47" s="1573">
        <v>100</v>
      </c>
      <c r="D47" s="512"/>
      <c r="E47" s="512"/>
      <c r="F47" s="512"/>
      <c r="G47" s="512"/>
      <c r="H47" s="512"/>
      <c r="I47" s="512"/>
      <c r="J47" s="512"/>
      <c r="K47" s="512"/>
      <c r="L47" s="512"/>
      <c r="M47" s="513"/>
      <c r="N47" s="512"/>
      <c r="O47" s="514"/>
      <c r="P47" s="504"/>
    </row>
    <row r="48" spans="1:29" s="116" customFormat="1" ht="15.75" thickBot="1">
      <c r="A48" s="515" t="s">
        <v>2589</v>
      </c>
      <c r="B48" s="516"/>
      <c r="C48" s="517"/>
      <c r="D48" s="518"/>
      <c r="E48" s="518"/>
      <c r="F48" s="518"/>
      <c r="G48" s="518"/>
      <c r="H48" s="518"/>
      <c r="I48" s="518"/>
      <c r="J48" s="518"/>
      <c r="K48" s="518"/>
      <c r="L48" s="518"/>
      <c r="M48" s="519"/>
      <c r="N48" s="518"/>
      <c r="O48" s="520"/>
      <c r="P48" s="504"/>
      <c r="Q48" s="504"/>
    </row>
    <row r="49" spans="1:17" s="116" customFormat="1" ht="15">
      <c r="A49" s="521" t="s">
        <v>2554</v>
      </c>
      <c r="B49" s="510"/>
      <c r="C49" s="522" t="s">
        <v>2656</v>
      </c>
      <c r="D49" s="523"/>
      <c r="E49" s="523"/>
      <c r="F49" s="523"/>
      <c r="G49" s="523"/>
      <c r="H49" s="523"/>
      <c r="I49" s="523"/>
      <c r="J49" s="523"/>
      <c r="K49" s="523"/>
      <c r="L49" s="524"/>
      <c r="M49" s="525"/>
      <c r="N49" s="1150"/>
      <c r="O49" s="1150"/>
      <c r="P49" s="526"/>
      <c r="Q49" s="504"/>
    </row>
    <row r="50" spans="1:17" s="116"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2592</v>
      </c>
      <c r="B51" s="528" t="s">
        <v>2558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2733</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6" customFormat="1" ht="15.75" thickTop="1">
      <c r="A71" s="579"/>
      <c r="B71" s="538">
        <f>B23</f>
        <v>111</v>
      </c>
      <c r="C71" s="549"/>
      <c r="D71" s="549"/>
      <c r="E71" s="549"/>
      <c r="F71" s="549"/>
      <c r="G71" s="554"/>
      <c r="H71" s="554"/>
      <c r="I71" s="554"/>
      <c r="J71" s="554"/>
      <c r="K71" s="554"/>
      <c r="L71" s="580"/>
      <c r="M71" s="581"/>
      <c r="N71" s="1150"/>
      <c r="O71" s="1150"/>
      <c r="P71" s="45"/>
      <c r="Q71" s="504"/>
    </row>
    <row r="72" spans="1:17" s="116" customFormat="1" ht="15.75" thickBot="1">
      <c r="A72" s="579"/>
      <c r="B72" s="543"/>
      <c r="C72" s="560"/>
      <c r="D72" s="536"/>
      <c r="E72" s="536"/>
      <c r="F72" s="536"/>
      <c r="G72" s="536"/>
      <c r="H72" s="536"/>
      <c r="I72" s="536"/>
      <c r="J72" s="536"/>
      <c r="K72" s="536"/>
      <c r="L72" s="536"/>
      <c r="M72" s="537"/>
      <c r="N72" s="1152"/>
      <c r="O72" s="1152"/>
      <c r="P72" s="45"/>
      <c r="Q72" s="504"/>
    </row>
    <row r="73" spans="1:17" s="116" customFormat="1" ht="15.75" thickTop="1">
      <c r="A73" s="579"/>
      <c r="B73" s="538">
        <f>B24</f>
        <v>111</v>
      </c>
      <c r="C73" s="549"/>
      <c r="D73" s="549"/>
      <c r="E73" s="549"/>
      <c r="F73" s="549"/>
      <c r="G73" s="554"/>
      <c r="H73" s="554"/>
      <c r="I73" s="554"/>
      <c r="J73" s="554"/>
      <c r="K73" s="554"/>
      <c r="L73" s="554"/>
      <c r="M73" s="581"/>
      <c r="N73" s="1150"/>
      <c r="O73" s="1150"/>
      <c r="P73" s="45"/>
      <c r="Q73" s="504"/>
    </row>
    <row r="74" spans="1:17" s="116"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2567</v>
      </c>
      <c r="B77" s="528" t="s">
        <v>2620</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2737</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2745</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2747</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185" t="s">
        <v>2652</v>
      </c>
      <c r="AC4" s="3184" t="s">
        <v>2653</v>
      </c>
    </row>
    <row r="5" spans="1:30"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185"/>
      <c r="AC5" s="3185"/>
    </row>
    <row r="6" spans="1:30" ht="15.75" thickBot="1">
      <c r="A6" s="406"/>
      <c r="B6" s="407"/>
      <c r="C6" s="3197" t="s">
        <v>2550</v>
      </c>
      <c r="D6" s="3198"/>
      <c r="E6" s="3199" t="s">
        <v>2550</v>
      </c>
      <c r="F6" s="3200"/>
      <c r="G6" s="3197" t="s">
        <v>2550</v>
      </c>
      <c r="H6" s="3198"/>
      <c r="I6" s="3197" t="s">
        <v>2550</v>
      </c>
      <c r="J6" s="3198"/>
      <c r="K6" s="610" t="s">
        <v>2551</v>
      </c>
      <c r="L6" s="1129"/>
      <c r="M6" s="1130"/>
      <c r="N6" s="1130"/>
      <c r="O6" s="1130"/>
      <c r="P6" s="3210"/>
      <c r="Q6" s="3211"/>
      <c r="R6" s="3191"/>
      <c r="S6" s="3192"/>
      <c r="T6" s="3212"/>
      <c r="U6" s="3213"/>
      <c r="V6" s="3214"/>
      <c r="W6" s="3214"/>
      <c r="X6" s="1813"/>
      <c r="Y6" s="3212"/>
      <c r="Z6" s="3213"/>
      <c r="AA6" s="3186"/>
      <c r="AB6" s="3186"/>
      <c r="AC6" s="3186"/>
    </row>
    <row r="7" spans="1:30" s="116" customFormat="1" ht="15.75" thickBot="1">
      <c r="A7" s="408" t="s">
        <v>2552</v>
      </c>
      <c r="B7" s="409"/>
      <c r="C7" s="410">
        <f>'数据-取费表'!B2</f>
        <v>43039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1"/>
      <c r="M7" s="1132"/>
      <c r="N7" s="1132"/>
      <c r="O7" s="1132"/>
      <c r="P7" s="3187" t="s">
        <v>2553</v>
      </c>
      <c r="Q7" s="3215"/>
      <c r="R7" s="770" t="s">
        <v>17</v>
      </c>
      <c r="S7" s="771">
        <f t="shared" ref="S7:S15" si="0">F7</f>
        <v>0</v>
      </c>
      <c r="T7" s="770" t="s">
        <v>17</v>
      </c>
      <c r="U7" s="771">
        <f t="shared" ref="U7:U15" si="1">H7</f>
        <v>0</v>
      </c>
      <c r="V7" s="770" t="s">
        <v>17</v>
      </c>
      <c r="W7" s="771">
        <f t="shared" ref="W7:W15" si="2">J7</f>
        <v>0</v>
      </c>
      <c r="X7" s="772"/>
      <c r="Y7" s="3187" t="s">
        <v>2553</v>
      </c>
      <c r="Z7" s="3188"/>
      <c r="AA7" s="773" t="e">
        <f>D7/F7</f>
        <v>#DIV/0!</v>
      </c>
      <c r="AB7" s="773" t="e">
        <f>D7/H7</f>
        <v>#DIV/0!</v>
      </c>
      <c r="AC7" s="773" t="e">
        <f>D7/J7</f>
        <v>#DIV/0!</v>
      </c>
    </row>
    <row r="8" spans="1:30" s="116"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45" si="3">D8/F8</f>
        <v>#DIV/0!</v>
      </c>
      <c r="AB8" s="773" t="e">
        <f t="shared" ref="AB8:AB45" si="4">D8/H8</f>
        <v>#DIV/0!</v>
      </c>
      <c r="AC8" s="773" t="e">
        <f t="shared" ref="AC8:AC45" si="5">D8/J8</f>
        <v>#DIV/0!</v>
      </c>
    </row>
    <row r="9" spans="1:30" s="116" customFormat="1">
      <c r="A9" s="415" t="s">
        <v>2557</v>
      </c>
      <c r="B9" s="70" t="s">
        <v>2558</v>
      </c>
      <c r="C9" s="2700"/>
      <c r="D9" s="134">
        <v>100</v>
      </c>
      <c r="E9" s="2700"/>
      <c r="F9" s="134">
        <f>SUMIF(75:75,E9,76:76)-SUMIF(75:75,C9,76:76)+100</f>
        <v>100</v>
      </c>
      <c r="G9" s="2700"/>
      <c r="H9" s="134">
        <f>SUMIF(75:75,G9,76:76)-SUMIF(75:75,C9,76:76)+100</f>
        <v>100</v>
      </c>
      <c r="I9" s="2700"/>
      <c r="J9" s="134">
        <f>SUMIF(75:75,I9,76:76)-SUMIF(75:75,C9,76:76)+100</f>
        <v>100</v>
      </c>
      <c r="K9" s="611"/>
      <c r="L9" s="1131"/>
      <c r="M9" s="1132"/>
      <c r="N9" s="1132"/>
      <c r="O9" s="1133"/>
      <c r="P9" s="3219"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773">
        <f t="shared" si="5"/>
        <v>1</v>
      </c>
    </row>
    <row r="10" spans="1:30" s="427" customFormat="1" ht="27">
      <c r="A10" s="421"/>
      <c r="B10" s="422" t="s">
        <v>2561</v>
      </c>
      <c r="C10" s="432"/>
      <c r="D10" s="135">
        <v>100</v>
      </c>
      <c r="E10" s="465"/>
      <c r="F10" s="135">
        <f>ROUND(100/'数据-取费表'!G16,0)</f>
        <v>138</v>
      </c>
      <c r="G10" s="463"/>
      <c r="H10" s="135">
        <f>ROUND(100/'数据-取费表'!G16,0)</f>
        <v>138</v>
      </c>
      <c r="I10" s="463"/>
      <c r="J10" s="135">
        <f>ROUND(100/'数据-取费表'!G16,0)</f>
        <v>138</v>
      </c>
      <c r="K10" s="672"/>
      <c r="L10" s="1134"/>
      <c r="M10" s="1135"/>
      <c r="N10" s="1135"/>
      <c r="O10" s="1136"/>
      <c r="P10" s="3219"/>
      <c r="Q10" s="1795" t="str">
        <f t="shared" si="6"/>
        <v>土地使用年限（年）</v>
      </c>
      <c r="R10" s="770" t="s">
        <v>17</v>
      </c>
      <c r="S10" s="771">
        <f t="shared" si="0"/>
        <v>138</v>
      </c>
      <c r="T10" s="770" t="s">
        <v>17</v>
      </c>
      <c r="U10" s="771">
        <f t="shared" si="1"/>
        <v>138</v>
      </c>
      <c r="V10" s="770" t="s">
        <v>17</v>
      </c>
      <c r="W10" s="771">
        <f t="shared" si="2"/>
        <v>138</v>
      </c>
      <c r="X10" s="772"/>
      <c r="Y10" s="3014"/>
      <c r="Z10" s="55" t="str">
        <f t="shared" si="7"/>
        <v>土地使用年限（年）</v>
      </c>
      <c r="AA10" s="773">
        <f t="shared" si="3"/>
        <v>0.72463768115942029</v>
      </c>
      <c r="AB10" s="773">
        <f t="shared" si="4"/>
        <v>0.72463768115942029</v>
      </c>
      <c r="AC10" s="773">
        <f t="shared" si="5"/>
        <v>0.72463768115942029</v>
      </c>
    </row>
    <row r="11" spans="1:30" ht="15">
      <c r="A11" s="428"/>
      <c r="B11" s="422" t="s">
        <v>2562</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7"/>
      <c r="M11" s="1130"/>
      <c r="N11" s="1130"/>
      <c r="O11" s="1138"/>
      <c r="P11" s="321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6" customFormat="1" ht="15">
      <c r="A12" s="431"/>
      <c r="B12" s="2601" t="s">
        <v>2751</v>
      </c>
      <c r="C12" s="432"/>
      <c r="D12" s="433">
        <v>100</v>
      </c>
      <c r="E12" s="465"/>
      <c r="F12" s="135">
        <f>SUMIF(82:82,E12,83:83)-SUMIF(82:82,C12,83:83)+100</f>
        <v>100</v>
      </c>
      <c r="G12" s="463"/>
      <c r="H12" s="135">
        <f>SUMIF(82:82,G12,83:83)-SUMIF(82:82,C12,83:83)+100</f>
        <v>100</v>
      </c>
      <c r="I12" s="465"/>
      <c r="J12" s="135">
        <f>SUMIF(82:82,I12,83:83)-SUMIF(82:82,C12,83:83)+100</f>
        <v>100</v>
      </c>
      <c r="K12" s="672"/>
      <c r="L12" s="1131"/>
      <c r="M12" s="1132"/>
      <c r="N12" s="1132"/>
      <c r="O12" s="1133"/>
      <c r="P12" s="3219"/>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1">
        <v>111</v>
      </c>
      <c r="C13" s="434"/>
      <c r="D13" s="435">
        <v>100</v>
      </c>
      <c r="E13" s="549"/>
      <c r="F13" s="135">
        <f>SUMIF(84:84,E13,85:85)-SUMIF(84:84,C13,85:85)+100</f>
        <v>100</v>
      </c>
      <c r="G13" s="674"/>
      <c r="H13" s="435">
        <f>SUMIF(84:84,G13,85:85)-SUMIF(84:84,C13,85:85)+100</f>
        <v>100</v>
      </c>
      <c r="I13" s="674"/>
      <c r="J13" s="435">
        <f>SUMIF(84:84,I13,85:85)-SUMIF(84:84,C13,85:85)+100</f>
        <v>100</v>
      </c>
      <c r="K13" s="672"/>
      <c r="L13" s="1139"/>
      <c r="M13" s="1130"/>
      <c r="N13" s="1130"/>
      <c r="O13" s="1138"/>
      <c r="P13" s="3219"/>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9"/>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2563</v>
      </c>
      <c r="B15" s="68"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1" t="s">
        <v>2564</v>
      </c>
      <c r="Q15" s="1810" t="str">
        <f t="shared" si="6"/>
        <v>居住社区成熟度</v>
      </c>
      <c r="R15" s="774" t="s">
        <v>17</v>
      </c>
      <c r="S15" s="775">
        <f t="shared" si="0"/>
        <v>100</v>
      </c>
      <c r="T15" s="774" t="s">
        <v>17</v>
      </c>
      <c r="U15" s="775">
        <f t="shared" si="1"/>
        <v>100</v>
      </c>
      <c r="V15" s="774" t="s">
        <v>17</v>
      </c>
      <c r="W15" s="775">
        <f t="shared" si="2"/>
        <v>100</v>
      </c>
      <c r="X15" s="1813"/>
      <c r="Y15" s="3221" t="s">
        <v>2564</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39"/>
      <c r="M16" s="1130"/>
      <c r="N16" s="1130"/>
      <c r="O16" s="1138"/>
      <c r="P16" s="3222"/>
      <c r="Q16" s="1810"/>
      <c r="R16" s="774"/>
      <c r="S16" s="775"/>
      <c r="T16" s="774"/>
      <c r="U16" s="775"/>
      <c r="V16" s="774"/>
      <c r="W16" s="775"/>
      <c r="X16" s="1813"/>
      <c r="Y16" s="3222"/>
      <c r="Z16" s="1814"/>
      <c r="AA16" s="1811">
        <v>1</v>
      </c>
      <c r="AB16" s="1811">
        <v>1</v>
      </c>
      <c r="AC16" s="1811">
        <v>1</v>
      </c>
    </row>
    <row r="17" spans="1:29" ht="71.25">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2"/>
      <c r="Q17" s="1810" t="str">
        <f>B17</f>
        <v>商业繁华度</v>
      </c>
      <c r="R17" s="774" t="s">
        <v>17</v>
      </c>
      <c r="S17" s="775">
        <f>F17</f>
        <v>100</v>
      </c>
      <c r="T17" s="774" t="s">
        <v>17</v>
      </c>
      <c r="U17" s="775">
        <f>H17</f>
        <v>100</v>
      </c>
      <c r="V17" s="774" t="s">
        <v>17</v>
      </c>
      <c r="W17" s="775">
        <f>J17</f>
        <v>100</v>
      </c>
      <c r="X17" s="1813"/>
      <c r="Y17" s="3222"/>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39"/>
      <c r="M18" s="1130"/>
      <c r="N18" s="1130"/>
      <c r="O18" s="1138"/>
      <c r="P18" s="3222"/>
      <c r="Q18" s="1810"/>
      <c r="R18" s="774"/>
      <c r="S18" s="775"/>
      <c r="T18" s="774"/>
      <c r="U18" s="775"/>
      <c r="V18" s="774"/>
      <c r="W18" s="775"/>
      <c r="X18" s="1813"/>
      <c r="Y18" s="3222"/>
      <c r="Z18" s="1814"/>
      <c r="AA18" s="1811">
        <v>1</v>
      </c>
      <c r="AB18" s="1811">
        <v>1</v>
      </c>
      <c r="AC18" s="1811">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2"/>
      <c r="Q19" s="1810" t="str">
        <f>B19</f>
        <v>办公集聚程度</v>
      </c>
      <c r="R19" s="774" t="s">
        <v>17</v>
      </c>
      <c r="S19" s="775">
        <f>F19</f>
        <v>100</v>
      </c>
      <c r="T19" s="774" t="s">
        <v>17</v>
      </c>
      <c r="U19" s="775">
        <f>H19</f>
        <v>100</v>
      </c>
      <c r="V19" s="774" t="s">
        <v>17</v>
      </c>
      <c r="W19" s="775">
        <f>J19</f>
        <v>100</v>
      </c>
      <c r="X19" s="1813"/>
      <c r="Y19" s="3222"/>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39"/>
      <c r="M20" s="1130"/>
      <c r="N20" s="1130"/>
      <c r="O20" s="1138"/>
      <c r="P20" s="3222"/>
      <c r="Q20" s="1810"/>
      <c r="R20" s="774"/>
      <c r="S20" s="775"/>
      <c r="T20" s="774"/>
      <c r="U20" s="775"/>
      <c r="V20" s="774"/>
      <c r="W20" s="775"/>
      <c r="X20" s="1813"/>
      <c r="Y20" s="3222"/>
      <c r="Z20" s="1814"/>
      <c r="AA20" s="1811">
        <v>1</v>
      </c>
      <c r="AB20" s="1811">
        <v>1</v>
      </c>
      <c r="AC20" s="1811">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2"/>
      <c r="Q21" s="1810" t="str">
        <f>B21</f>
        <v>交通便捷度</v>
      </c>
      <c r="R21" s="774" t="s">
        <v>17</v>
      </c>
      <c r="S21" s="775">
        <f>F21</f>
        <v>100</v>
      </c>
      <c r="T21" s="774" t="s">
        <v>17</v>
      </c>
      <c r="U21" s="775">
        <f>H21</f>
        <v>100</v>
      </c>
      <c r="V21" s="774" t="s">
        <v>17</v>
      </c>
      <c r="W21" s="775">
        <f>J21</f>
        <v>100</v>
      </c>
      <c r="X21" s="1813"/>
      <c r="Y21" s="3222"/>
      <c r="Z21" s="1814" t="str">
        <f>Q21</f>
        <v>交通便捷度</v>
      </c>
      <c r="AA21" s="1811">
        <f t="shared" si="3"/>
        <v>1</v>
      </c>
      <c r="AB21" s="1811">
        <f t="shared" si="4"/>
        <v>1</v>
      </c>
      <c r="AC21" s="1811">
        <f t="shared" si="5"/>
        <v>1</v>
      </c>
    </row>
    <row r="22" spans="1:29" ht="15">
      <c r="A22" s="428"/>
      <c r="B22" s="1383"/>
      <c r="C22" s="447"/>
      <c r="D22" s="450"/>
      <c r="E22" s="2606"/>
      <c r="F22" s="448"/>
      <c r="G22" s="2606"/>
      <c r="H22" s="448"/>
      <c r="I22" s="2605"/>
      <c r="J22" s="448"/>
      <c r="K22" s="672"/>
      <c r="L22" s="1139"/>
      <c r="M22" s="1130"/>
      <c r="N22" s="1130"/>
      <c r="O22" s="1138"/>
      <c r="P22" s="3222"/>
      <c r="Q22" s="1810"/>
      <c r="R22" s="774"/>
      <c r="S22" s="775"/>
      <c r="T22" s="774"/>
      <c r="U22" s="775"/>
      <c r="V22" s="774"/>
      <c r="W22" s="775"/>
      <c r="X22" s="1813"/>
      <c r="Y22" s="3222"/>
      <c r="Z22" s="1814"/>
      <c r="AA22" s="1811">
        <v>1</v>
      </c>
      <c r="AB22" s="1811">
        <v>1</v>
      </c>
      <c r="AC22" s="1811">
        <v>1</v>
      </c>
    </row>
    <row r="23" spans="1:29" ht="15">
      <c r="A23" s="404"/>
      <c r="B23" s="451" t="s">
        <v>2752</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2"/>
      <c r="Q23" s="1810" t="str">
        <f t="shared" ref="Q23:Q37" si="8">B23</f>
        <v>区域土地利用方向</v>
      </c>
      <c r="R23" s="774" t="s">
        <v>17</v>
      </c>
      <c r="S23" s="775">
        <f>F23</f>
        <v>100</v>
      </c>
      <c r="T23" s="774" t="s">
        <v>17</v>
      </c>
      <c r="U23" s="775">
        <f>H23</f>
        <v>100</v>
      </c>
      <c r="V23" s="774" t="s">
        <v>17</v>
      </c>
      <c r="W23" s="775">
        <f>J23</f>
        <v>100</v>
      </c>
      <c r="X23" s="1813"/>
      <c r="Y23" s="3222"/>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09"/>
      <c r="L24" s="1139"/>
      <c r="M24" s="1130"/>
      <c r="N24" s="1130"/>
      <c r="O24" s="1138"/>
      <c r="P24" s="3222"/>
      <c r="Q24" s="1810"/>
      <c r="R24" s="774"/>
      <c r="S24" s="775"/>
      <c r="T24" s="774"/>
      <c r="U24" s="775"/>
      <c r="V24" s="774"/>
      <c r="W24" s="775"/>
      <c r="X24" s="1813"/>
      <c r="Y24" s="3222"/>
      <c r="Z24" s="1814"/>
      <c r="AA24" s="1811"/>
      <c r="AB24" s="1811"/>
      <c r="AC24" s="1811"/>
    </row>
    <row r="25" spans="1:29" ht="57">
      <c r="A25" s="404"/>
      <c r="B25" s="1383"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2"/>
      <c r="Q25" s="1810" t="str">
        <f t="shared" si="8"/>
        <v>自然及人文环境状况</v>
      </c>
      <c r="R25" s="774" t="s">
        <v>17</v>
      </c>
      <c r="S25" s="775">
        <f>F25</f>
        <v>100</v>
      </c>
      <c r="T25" s="774" t="s">
        <v>17</v>
      </c>
      <c r="U25" s="775">
        <f>H25</f>
        <v>100</v>
      </c>
      <c r="V25" s="774" t="s">
        <v>17</v>
      </c>
      <c r="W25" s="775">
        <f>J25</f>
        <v>100</v>
      </c>
      <c r="X25" s="1813"/>
      <c r="Y25" s="3222"/>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39"/>
      <c r="M26" s="1130"/>
      <c r="N26" s="1130"/>
      <c r="O26" s="1138"/>
      <c r="P26" s="3222"/>
      <c r="Q26" s="1810"/>
      <c r="R26" s="774"/>
      <c r="S26" s="775"/>
      <c r="T26" s="774"/>
      <c r="U26" s="775"/>
      <c r="V26" s="774"/>
      <c r="W26" s="775"/>
      <c r="X26" s="1813"/>
      <c r="Y26" s="3222"/>
      <c r="Z26" s="1814"/>
      <c r="AA26" s="1811">
        <v>1</v>
      </c>
      <c r="AB26" s="1811">
        <v>1</v>
      </c>
      <c r="AC26" s="1811">
        <v>1</v>
      </c>
    </row>
    <row r="27" spans="1:29" s="116" customFormat="1" ht="42.75">
      <c r="A27" s="649"/>
      <c r="B27" s="1383"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2"/>
      <c r="Q27" s="1795" t="str">
        <f t="shared" si="8"/>
        <v>公共配套设施</v>
      </c>
      <c r="R27" s="770" t="s">
        <v>17</v>
      </c>
      <c r="S27" s="771">
        <f>F27</f>
        <v>100</v>
      </c>
      <c r="T27" s="770" t="s">
        <v>17</v>
      </c>
      <c r="U27" s="771">
        <f>H27</f>
        <v>100</v>
      </c>
      <c r="V27" s="770" t="s">
        <v>17</v>
      </c>
      <c r="W27" s="771">
        <f>J27</f>
        <v>100</v>
      </c>
      <c r="X27" s="772"/>
      <c r="Y27" s="3222"/>
      <c r="Z27" s="55" t="str">
        <f>Q27</f>
        <v>公共配套设施</v>
      </c>
      <c r="AA27" s="1811">
        <f>D27/F27</f>
        <v>1</v>
      </c>
      <c r="AB27" s="1811">
        <f>D27/H27</f>
        <v>1</v>
      </c>
      <c r="AC27" s="1811">
        <f>D27/J27</f>
        <v>1</v>
      </c>
    </row>
    <row r="28" spans="1:29" s="116" customFormat="1" ht="15">
      <c r="A28" s="649"/>
      <c r="B28" s="456"/>
      <c r="C28" s="2701"/>
      <c r="D28" s="448"/>
      <c r="E28" s="2612"/>
      <c r="F28" s="448"/>
      <c r="G28" s="2612"/>
      <c r="H28" s="448"/>
      <c r="I28" s="447"/>
      <c r="J28" s="448"/>
      <c r="K28" s="672"/>
      <c r="L28" s="1131"/>
      <c r="M28" s="1132"/>
      <c r="N28" s="1132"/>
      <c r="O28" s="1133"/>
      <c r="P28" s="3222"/>
      <c r="Q28" s="1795"/>
      <c r="R28" s="770"/>
      <c r="S28" s="771"/>
      <c r="T28" s="770"/>
      <c r="U28" s="771"/>
      <c r="V28" s="770"/>
      <c r="W28" s="771"/>
      <c r="X28" s="772"/>
      <c r="Y28" s="3222"/>
      <c r="Z28" s="55"/>
      <c r="AA28" s="1811">
        <v>1</v>
      </c>
      <c r="AB28" s="1811">
        <v>1</v>
      </c>
      <c r="AC28" s="1811">
        <v>1</v>
      </c>
    </row>
    <row r="29" spans="1:29" s="116" customFormat="1" ht="28.5">
      <c r="A29" s="649"/>
      <c r="B29" s="1383"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2"/>
      <c r="Q29" s="1795"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1">
        <f>D29/F29</f>
        <v>1</v>
      </c>
      <c r="AB29" s="1811">
        <f>D29/H29</f>
        <v>1</v>
      </c>
      <c r="AC29" s="1811">
        <f>D29/J29</f>
        <v>1</v>
      </c>
    </row>
    <row r="30" spans="1:29" s="116" customFormat="1" ht="15">
      <c r="A30" s="649"/>
      <c r="B30" s="456"/>
      <c r="C30" s="2701"/>
      <c r="D30" s="448"/>
      <c r="E30" s="2702"/>
      <c r="F30" s="448"/>
      <c r="G30" s="2702"/>
      <c r="H30" s="448"/>
      <c r="I30" s="2702"/>
      <c r="J30" s="448"/>
      <c r="K30" s="672"/>
      <c r="L30" s="1131"/>
      <c r="M30" s="1132"/>
      <c r="N30" s="1132"/>
      <c r="O30" s="1133"/>
      <c r="P30" s="3222"/>
      <c r="Q30" s="1795"/>
      <c r="R30" s="770"/>
      <c r="S30" s="771"/>
      <c r="T30" s="770"/>
      <c r="U30" s="771"/>
      <c r="V30" s="770"/>
      <c r="W30" s="771"/>
      <c r="X30" s="772"/>
      <c r="Y30" s="3222"/>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2"/>
      <c r="Z31" s="1814" t="str">
        <f t="shared" ref="Z31:Z45" si="13">Q31</f>
        <v>临街状况</v>
      </c>
      <c r="AA31" s="1811">
        <f t="shared" si="3"/>
        <v>1</v>
      </c>
      <c r="AB31" s="1811">
        <f t="shared" si="4"/>
        <v>1</v>
      </c>
      <c r="AC31" s="1811">
        <f t="shared" si="5"/>
        <v>1</v>
      </c>
    </row>
    <row r="32" spans="1:29" ht="27">
      <c r="A32" s="428"/>
      <c r="B32" s="1383"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2"/>
      <c r="Q32" s="1810" t="str">
        <f t="shared" si="8"/>
        <v>毗邻道路的类型与等级</v>
      </c>
      <c r="R32" s="774" t="s">
        <v>17</v>
      </c>
      <c r="S32" s="775">
        <f t="shared" si="10"/>
        <v>100</v>
      </c>
      <c r="T32" s="774" t="s">
        <v>17</v>
      </c>
      <c r="U32" s="775">
        <f t="shared" si="11"/>
        <v>100</v>
      </c>
      <c r="V32" s="774" t="s">
        <v>17</v>
      </c>
      <c r="W32" s="775">
        <f t="shared" si="12"/>
        <v>100</v>
      </c>
      <c r="X32" s="1813"/>
      <c r="Y32" s="3222"/>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39"/>
      <c r="M33" s="1130"/>
      <c r="N33" s="1130"/>
      <c r="O33" s="1138"/>
      <c r="P33" s="3222"/>
      <c r="Q33" s="1810"/>
      <c r="R33" s="774"/>
      <c r="S33" s="775"/>
      <c r="T33" s="774"/>
      <c r="U33" s="775"/>
      <c r="V33" s="774"/>
      <c r="W33" s="775"/>
      <c r="X33" s="1813"/>
      <c r="Y33" s="3222"/>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2"/>
      <c r="Q34" s="1810" t="str">
        <f t="shared" si="8"/>
        <v>土地级别</v>
      </c>
      <c r="R34" s="774" t="s">
        <v>17</v>
      </c>
      <c r="S34" s="775">
        <f t="shared" si="10"/>
        <v>100</v>
      </c>
      <c r="T34" s="774" t="s">
        <v>17</v>
      </c>
      <c r="U34" s="775">
        <f t="shared" si="11"/>
        <v>100</v>
      </c>
      <c r="V34" s="774" t="s">
        <v>17</v>
      </c>
      <c r="W34" s="775">
        <f t="shared" si="12"/>
        <v>100</v>
      </c>
      <c r="X34" s="1813"/>
      <c r="Y34" s="3222"/>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2"/>
      <c r="Q35" s="1810">
        <f t="shared" si="8"/>
        <v>111</v>
      </c>
      <c r="R35" s="774" t="s">
        <v>17</v>
      </c>
      <c r="S35" s="775">
        <f t="shared" si="10"/>
        <v>100</v>
      </c>
      <c r="T35" s="774" t="s">
        <v>17</v>
      </c>
      <c r="U35" s="775">
        <f t="shared" si="11"/>
        <v>100</v>
      </c>
      <c r="V35" s="774" t="s">
        <v>17</v>
      </c>
      <c r="W35" s="775">
        <f t="shared" si="12"/>
        <v>100</v>
      </c>
      <c r="X35" s="1813"/>
      <c r="Y35" s="3222"/>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5" t="s">
        <v>2569</v>
      </c>
      <c r="Q36" s="1810">
        <f t="shared" si="8"/>
        <v>111</v>
      </c>
      <c r="R36" s="774" t="s">
        <v>17</v>
      </c>
      <c r="S36" s="775">
        <f t="shared" si="10"/>
        <v>100</v>
      </c>
      <c r="T36" s="774" t="s">
        <v>17</v>
      </c>
      <c r="U36" s="775">
        <f t="shared" si="11"/>
        <v>100</v>
      </c>
      <c r="V36" s="774" t="s">
        <v>17</v>
      </c>
      <c r="W36" s="775">
        <f t="shared" si="12"/>
        <v>100</v>
      </c>
      <c r="X36" s="1813"/>
      <c r="Y36" s="3226" t="s">
        <v>2569</v>
      </c>
      <c r="Z36" s="1814">
        <f t="shared" si="13"/>
        <v>111</v>
      </c>
      <c r="AA36" s="1811">
        <f t="shared" si="3"/>
        <v>1</v>
      </c>
      <c r="AB36" s="1811">
        <f t="shared" si="4"/>
        <v>1</v>
      </c>
      <c r="AC36" s="1811">
        <f t="shared" si="5"/>
        <v>1</v>
      </c>
    </row>
    <row r="37" spans="1:29" s="471" customFormat="1" ht="15.75" thickBot="1">
      <c r="A37" s="676"/>
      <c r="B37" s="1387">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6"/>
      <c r="Q37" s="1810">
        <f t="shared" si="8"/>
        <v>111</v>
      </c>
      <c r="R37" s="777" t="s">
        <v>17</v>
      </c>
      <c r="S37" s="778">
        <f t="shared" si="10"/>
        <v>100</v>
      </c>
      <c r="T37" s="777" t="s">
        <v>17</v>
      </c>
      <c r="U37" s="778">
        <f t="shared" si="11"/>
        <v>100</v>
      </c>
      <c r="V37" s="777" t="s">
        <v>17</v>
      </c>
      <c r="W37" s="778">
        <f t="shared" si="12"/>
        <v>100</v>
      </c>
      <c r="X37" s="779"/>
      <c r="Y37" s="3226"/>
      <c r="Z37" s="780">
        <f t="shared" si="13"/>
        <v>111</v>
      </c>
      <c r="AA37" s="1811">
        <f t="shared" si="3"/>
        <v>1</v>
      </c>
      <c r="AB37" s="1811">
        <f t="shared" si="4"/>
        <v>1</v>
      </c>
      <c r="AC37" s="1811">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6"/>
      <c r="Q38" s="1810" t="str">
        <f>B38</f>
        <v>宗地面积</v>
      </c>
      <c r="R38" s="774" t="s">
        <v>17</v>
      </c>
      <c r="S38" s="775" t="e">
        <f t="shared" si="10"/>
        <v>#N/A</v>
      </c>
      <c r="T38" s="774" t="s">
        <v>17</v>
      </c>
      <c r="U38" s="775" t="e">
        <f t="shared" si="11"/>
        <v>#N/A</v>
      </c>
      <c r="V38" s="774" t="s">
        <v>17</v>
      </c>
      <c r="W38" s="775" t="e">
        <f t="shared" si="12"/>
        <v>#N/A</v>
      </c>
      <c r="X38" s="1813"/>
      <c r="Y38" s="3226"/>
      <c r="Z38" s="1814" t="str">
        <f t="shared" si="13"/>
        <v>宗地面积</v>
      </c>
      <c r="AA38" s="1811" t="e">
        <f t="shared" si="3"/>
        <v>#N/A</v>
      </c>
      <c r="AB38" s="1811" t="e">
        <f t="shared" si="4"/>
        <v>#N/A</v>
      </c>
      <c r="AC38" s="1811"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9"/>
      <c r="M39" s="1130"/>
      <c r="N39" s="1130"/>
      <c r="O39" s="1138"/>
      <c r="P39" s="3226"/>
      <c r="Q39" s="1810" t="str">
        <f t="shared" ref="Q39:Q45" si="14">B39</f>
        <v>宗地形状</v>
      </c>
      <c r="R39" s="774" t="s">
        <v>17</v>
      </c>
      <c r="S39" s="775">
        <f t="shared" si="10"/>
        <v>100</v>
      </c>
      <c r="T39" s="774" t="s">
        <v>17</v>
      </c>
      <c r="U39" s="775">
        <f t="shared" si="11"/>
        <v>100</v>
      </c>
      <c r="V39" s="774" t="s">
        <v>17</v>
      </c>
      <c r="W39" s="775">
        <f t="shared" si="12"/>
        <v>100</v>
      </c>
      <c r="X39" s="1813"/>
      <c r="Y39" s="3226"/>
      <c r="Z39" s="1814" t="str">
        <f t="shared" si="13"/>
        <v>宗地形状</v>
      </c>
      <c r="AA39" s="1811">
        <f t="shared" si="3"/>
        <v>1</v>
      </c>
      <c r="AB39" s="1811">
        <f t="shared" si="4"/>
        <v>1</v>
      </c>
      <c r="AC39" s="1811">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9"/>
      <c r="M40" s="1130"/>
      <c r="N40" s="1130"/>
      <c r="O40" s="1138"/>
      <c r="P40" s="3226"/>
      <c r="Q40" s="1810" t="str">
        <f t="shared" si="14"/>
        <v>临街宽度及深度</v>
      </c>
      <c r="R40" s="774" t="s">
        <v>17</v>
      </c>
      <c r="S40" s="775">
        <f t="shared" si="10"/>
        <v>100</v>
      </c>
      <c r="T40" s="774" t="s">
        <v>17</v>
      </c>
      <c r="U40" s="775">
        <f t="shared" si="11"/>
        <v>100</v>
      </c>
      <c r="V40" s="774" t="s">
        <v>17</v>
      </c>
      <c r="W40" s="775">
        <f t="shared" si="12"/>
        <v>100</v>
      </c>
      <c r="X40" s="1813"/>
      <c r="Y40" s="3226"/>
      <c r="Z40" s="1814" t="str">
        <f t="shared" si="13"/>
        <v>临街宽度及深度</v>
      </c>
      <c r="AA40" s="1811">
        <f t="shared" si="3"/>
        <v>1</v>
      </c>
      <c r="AB40" s="1811">
        <f t="shared" si="4"/>
        <v>1</v>
      </c>
      <c r="AC40" s="1811">
        <f t="shared" si="5"/>
        <v>1</v>
      </c>
    </row>
    <row r="41" spans="1:29" s="116" customFormat="1" ht="15">
      <c r="A41" s="473"/>
      <c r="B41" s="422" t="s">
        <v>2758</v>
      </c>
      <c r="C41" s="2703"/>
      <c r="D41" s="135">
        <v>100</v>
      </c>
      <c r="E41" s="2703"/>
      <c r="F41" s="435">
        <f>SUMIF(123:123,E41,124:124)-SUMIF(123:123,C41,124:124)+100</f>
        <v>100</v>
      </c>
      <c r="G41" s="2703"/>
      <c r="H41" s="435">
        <f>SUMIF(123:123,G41,124:124)-SUMIF(123:123,C41,124:124)+100</f>
        <v>100</v>
      </c>
      <c r="I41" s="2703"/>
      <c r="J41" s="435">
        <f>SUMIF(123:123,I41,124:124)-SUMIF(123:123,C41,124:124)+100</f>
        <v>100</v>
      </c>
      <c r="K41" s="612"/>
      <c r="L41" s="1131"/>
      <c r="M41" s="1132"/>
      <c r="N41" s="1132"/>
      <c r="O41" s="1133"/>
      <c r="P41" s="3226"/>
      <c r="Q41" s="1810"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9"/>
      <c r="M42" s="1130"/>
      <c r="N42" s="1130"/>
      <c r="O42" s="1138"/>
      <c r="P42" s="3226" t="s">
        <v>2569</v>
      </c>
      <c r="Q42" s="1810" t="str">
        <f t="shared" si="14"/>
        <v>工程地质条件</v>
      </c>
      <c r="R42" s="774" t="s">
        <v>17</v>
      </c>
      <c r="S42" s="775">
        <f t="shared" si="10"/>
        <v>100</v>
      </c>
      <c r="T42" s="774" t="s">
        <v>17</v>
      </c>
      <c r="U42" s="775">
        <f t="shared" si="11"/>
        <v>100</v>
      </c>
      <c r="V42" s="774" t="s">
        <v>17</v>
      </c>
      <c r="W42" s="775">
        <f t="shared" si="12"/>
        <v>100</v>
      </c>
      <c r="X42" s="1813"/>
      <c r="Y42" s="3226" t="s">
        <v>2569</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6"/>
      <c r="Q43" s="1810">
        <f t="shared" si="14"/>
        <v>111</v>
      </c>
      <c r="R43" s="774" t="s">
        <v>17</v>
      </c>
      <c r="S43" s="775">
        <f t="shared" si="10"/>
        <v>100</v>
      </c>
      <c r="T43" s="774" t="s">
        <v>17</v>
      </c>
      <c r="U43" s="775">
        <f t="shared" si="11"/>
        <v>100</v>
      </c>
      <c r="V43" s="774" t="s">
        <v>17</v>
      </c>
      <c r="W43" s="775">
        <f t="shared" si="12"/>
        <v>100</v>
      </c>
      <c r="X43" s="1813"/>
      <c r="Y43" s="3226"/>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6"/>
      <c r="Q44" s="1810">
        <f t="shared" si="14"/>
        <v>111</v>
      </c>
      <c r="R44" s="774" t="s">
        <v>17</v>
      </c>
      <c r="S44" s="775">
        <f t="shared" si="10"/>
        <v>100</v>
      </c>
      <c r="T44" s="774" t="s">
        <v>17</v>
      </c>
      <c r="U44" s="775">
        <f t="shared" si="11"/>
        <v>100</v>
      </c>
      <c r="V44" s="774" t="s">
        <v>17</v>
      </c>
      <c r="W44" s="775">
        <f t="shared" si="12"/>
        <v>100</v>
      </c>
      <c r="X44" s="1813"/>
      <c r="Y44" s="3226"/>
      <c r="Z44" s="1814">
        <f t="shared" si="13"/>
        <v>111</v>
      </c>
      <c r="AA44" s="1811">
        <f t="shared" si="3"/>
        <v>1</v>
      </c>
      <c r="AB44" s="1811">
        <f t="shared" si="4"/>
        <v>1</v>
      </c>
      <c r="AC44" s="1811">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6"/>
      <c r="Q45" s="1810">
        <f t="shared" si="14"/>
        <v>111</v>
      </c>
      <c r="R45" s="777" t="s">
        <v>17</v>
      </c>
      <c r="S45" s="778">
        <f t="shared" si="10"/>
        <v>100</v>
      </c>
      <c r="T45" s="777" t="s">
        <v>17</v>
      </c>
      <c r="U45" s="778">
        <f t="shared" si="11"/>
        <v>100</v>
      </c>
      <c r="V45" s="777" t="s">
        <v>17</v>
      </c>
      <c r="W45" s="778">
        <f t="shared" si="12"/>
        <v>100</v>
      </c>
      <c r="X45" s="779"/>
      <c r="Y45" s="3226"/>
      <c r="Z45" s="780">
        <f t="shared" si="13"/>
        <v>111</v>
      </c>
      <c r="AA45" s="1811">
        <f t="shared" si="3"/>
        <v>1</v>
      </c>
      <c r="AB45" s="1811">
        <f t="shared" si="4"/>
        <v>1</v>
      </c>
      <c r="AC45" s="1811">
        <f t="shared" si="5"/>
        <v>1</v>
      </c>
    </row>
    <row r="46" spans="1:29" ht="15">
      <c r="A46" s="479" t="s">
        <v>2724</v>
      </c>
      <c r="B46" s="2705" t="s">
        <v>2760</v>
      </c>
      <c r="C46" s="682" t="s">
        <v>1</v>
      </c>
      <c r="D46" s="481"/>
      <c r="E46" s="482"/>
      <c r="F46" s="483"/>
      <c r="G46" s="484"/>
      <c r="H46" s="485"/>
      <c r="I46" s="482"/>
      <c r="J46" s="485"/>
      <c r="K46" s="783"/>
      <c r="L46" s="1142"/>
      <c r="M46" s="1143"/>
      <c r="N46" s="1130"/>
      <c r="O46" s="1143"/>
      <c r="P46" s="3219" t="str">
        <f>A46</f>
        <v>成交单价</v>
      </c>
      <c r="Q46" s="3219"/>
      <c r="R46" s="3214">
        <f>E46</f>
        <v>0</v>
      </c>
      <c r="S46" s="3214"/>
      <c r="T46" s="3214">
        <f>G46</f>
        <v>0</v>
      </c>
      <c r="U46" s="3214"/>
      <c r="V46" s="3214">
        <f>I46</f>
        <v>0</v>
      </c>
      <c r="W46" s="3214"/>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2"/>
      <c r="M47" s="1143"/>
      <c r="N47" s="1143"/>
      <c r="O47" s="1143"/>
      <c r="P47" s="3219" t="str">
        <f>A47</f>
        <v>比较价值（元/平方米）</v>
      </c>
      <c r="Q47" s="3219"/>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2"/>
      <c r="M48" s="1143"/>
      <c r="N48" s="1143"/>
      <c r="O48" s="1143"/>
      <c r="P48" s="3216" t="str">
        <f>A48</f>
        <v>估价对象XX用房的比较价值（楼面单价，元/平方米）</v>
      </c>
      <c r="Q48" s="3217"/>
      <c r="R48" s="3247" t="e">
        <f>ROUND(AVERAGE(R47:V47),0)</f>
        <v>#DIV/0!</v>
      </c>
      <c r="S48" s="3247"/>
      <c r="T48" s="3247"/>
      <c r="U48" s="3247"/>
      <c r="V48" s="3247"/>
      <c r="W48" s="324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2762</v>
      </c>
      <c r="B55" s="685" t="s">
        <v>2763</v>
      </c>
      <c r="C55" s="2706" t="s">
        <v>2764</v>
      </c>
      <c r="D55" s="2707" t="s">
        <v>2765</v>
      </c>
      <c r="E55" s="686" t="s">
        <v>2766</v>
      </c>
      <c r="F55" s="1106" t="s">
        <v>2767</v>
      </c>
      <c r="G55" s="3202" t="s">
        <v>2768</v>
      </c>
      <c r="H55" s="3248"/>
      <c r="I55" s="143" t="s">
        <v>2769</v>
      </c>
      <c r="J55" s="2708">
        <f>项目基本情况!F35</f>
        <v>0</v>
      </c>
      <c r="K55" s="2709" t="s">
        <v>2770</v>
      </c>
      <c r="L55" s="1105"/>
      <c r="M55" s="1143"/>
      <c r="N55" s="1143"/>
      <c r="O55" s="1143"/>
    </row>
    <row r="56" spans="1:15" s="692" customFormat="1">
      <c r="A56" s="688" t="s">
        <v>2771</v>
      </c>
      <c r="B56" s="689" t="e">
        <f>C48</f>
        <v>#DIV/0!</v>
      </c>
      <c r="C56" s="690">
        <v>1</v>
      </c>
      <c r="D56" s="1162">
        <v>1</v>
      </c>
      <c r="E56" s="690">
        <f>'数据-汇总表'!E8+'数据-汇总表'!E9</f>
        <v>43696.250000000007</v>
      </c>
      <c r="F56" s="1102" t="e">
        <f t="shared" ref="F56:F65" si="15">ROUND(B56*E56/10000,0)</f>
        <v>#DIV/0!</v>
      </c>
      <c r="G56" s="3201"/>
      <c r="H56" s="3219"/>
      <c r="I56" s="1107">
        <v>1</v>
      </c>
      <c r="J56" s="1110">
        <v>1</v>
      </c>
      <c r="K56" s="1144"/>
      <c r="L56" s="941"/>
      <c r="M56" s="941"/>
      <c r="N56" s="941"/>
      <c r="O56" s="941"/>
    </row>
    <row r="57" spans="1:15" s="692" customFormat="1">
      <c r="A57" s="693" t="s">
        <v>2772</v>
      </c>
      <c r="B57" s="262" t="e">
        <f>ROUND($C$48*C57*D57,0)</f>
        <v>#DIV/0!</v>
      </c>
      <c r="C57" s="200">
        <f t="shared" ref="C57:C65" si="16">IF($C$55="北京市系数",I57,J57)</f>
        <v>0.7</v>
      </c>
      <c r="D57" s="1163">
        <v>0.25</v>
      </c>
      <c r="E57" s="694"/>
      <c r="F57" s="1102" t="e">
        <f t="shared" si="15"/>
        <v>#DIV/0!</v>
      </c>
      <c r="G57" s="3249" t="s">
        <v>2773</v>
      </c>
      <c r="H57" s="1103" t="str">
        <f>项目基本情况!B37</f>
        <v>五级</v>
      </c>
      <c r="I57" s="1107">
        <f>SUMIF(修正!A45:A56,H57,修正!B45:B56)</f>
        <v>0.7</v>
      </c>
      <c r="J57" s="1111"/>
      <c r="K57" s="1143"/>
      <c r="L57" s="941"/>
      <c r="M57" s="941"/>
      <c r="N57" s="941"/>
      <c r="O57" s="941"/>
    </row>
    <row r="58" spans="1:15" s="692" customFormat="1">
      <c r="A58" s="693" t="s">
        <v>2774</v>
      </c>
      <c r="B58" s="262" t="e">
        <f t="shared" ref="B58:B65" si="17">ROUND($C$48*C58*D58,0)</f>
        <v>#DIV/0!</v>
      </c>
      <c r="C58" s="200">
        <f t="shared" si="16"/>
        <v>0.4</v>
      </c>
      <c r="D58" s="1163">
        <v>0.25</v>
      </c>
      <c r="E58" s="694"/>
      <c r="F58" s="1102" t="e">
        <f t="shared" si="15"/>
        <v>#DIV/0!</v>
      </c>
      <c r="G58" s="3249"/>
      <c r="H58" s="1103" t="str">
        <f>项目基本情况!B37</f>
        <v>五级</v>
      </c>
      <c r="I58" s="1107">
        <f>SUMIF(修正!A45:A56,H58,修正!C45:C56)</f>
        <v>0.4</v>
      </c>
      <c r="J58" s="1111"/>
      <c r="K58" s="1144"/>
      <c r="L58" s="941"/>
      <c r="M58" s="941"/>
      <c r="N58" s="941"/>
      <c r="O58" s="941"/>
    </row>
    <row r="59" spans="1:15" s="692" customFormat="1">
      <c r="A59" s="693" t="s">
        <v>2775</v>
      </c>
      <c r="B59" s="262" t="e">
        <f t="shared" si="17"/>
        <v>#DIV/0!</v>
      </c>
      <c r="C59" s="200">
        <f t="shared" si="16"/>
        <v>0.28000000000000003</v>
      </c>
      <c r="D59" s="1163">
        <v>0.25</v>
      </c>
      <c r="E59" s="694"/>
      <c r="F59" s="1102" t="e">
        <f t="shared" si="15"/>
        <v>#DIV/0!</v>
      </c>
      <c r="G59" s="3249"/>
      <c r="H59" s="1103" t="str">
        <f>项目基本情况!B37</f>
        <v>五级</v>
      </c>
      <c r="I59" s="1107">
        <f>SUMIF(修正!A45:A56,H59,修正!D45:D56)</f>
        <v>0.28000000000000003</v>
      </c>
      <c r="J59" s="1111"/>
      <c r="K59" s="1143"/>
      <c r="L59" s="941"/>
      <c r="M59" s="941"/>
      <c r="N59" s="941"/>
      <c r="O59" s="941"/>
    </row>
    <row r="60" spans="1:15" s="692" customFormat="1">
      <c r="A60" s="693" t="s">
        <v>2776</v>
      </c>
      <c r="B60" s="262" t="e">
        <f t="shared" si="17"/>
        <v>#DIV/0!</v>
      </c>
      <c r="C60" s="200">
        <f t="shared" si="16"/>
        <v>0.25</v>
      </c>
      <c r="D60" s="1163">
        <v>0.25</v>
      </c>
      <c r="E60" s="694"/>
      <c r="F60" s="1102" t="e">
        <f t="shared" si="15"/>
        <v>#DIV/0!</v>
      </c>
      <c r="G60" s="3249"/>
      <c r="H60" s="1103" t="str">
        <f>项目基本情况!B37</f>
        <v>五级</v>
      </c>
      <c r="I60" s="1107">
        <f>SUMIF(修正!A45:A56,H60,修正!E45:E56)</f>
        <v>0.25</v>
      </c>
      <c r="J60" s="1111"/>
      <c r="K60" s="1144"/>
      <c r="L60" s="941"/>
      <c r="M60" s="941"/>
      <c r="N60" s="941"/>
      <c r="O60" s="941"/>
    </row>
    <row r="61" spans="1:15" s="692" customFormat="1">
      <c r="A61" s="693" t="s">
        <v>2777</v>
      </c>
      <c r="B61" s="262" t="e">
        <f t="shared" si="17"/>
        <v>#DIV/0!</v>
      </c>
      <c r="C61" s="200">
        <f t="shared" si="16"/>
        <v>0</v>
      </c>
      <c r="D61" s="1163">
        <v>0.25</v>
      </c>
      <c r="E61" s="261">
        <f>'数据-汇总表'!E11</f>
        <v>0</v>
      </c>
      <c r="F61" s="1102" t="e">
        <f t="shared" si="15"/>
        <v>#DIV/0!</v>
      </c>
      <c r="G61" s="2710" t="s">
        <v>2778</v>
      </c>
      <c r="H61" s="1103">
        <f>项目基本情况!C37</f>
        <v>0</v>
      </c>
      <c r="I61" s="1107">
        <f>SUMIF(修正!A45:A56,H61,修正!F45:F56)</f>
        <v>0</v>
      </c>
      <c r="J61" s="1111"/>
      <c r="K61" s="1143"/>
      <c r="L61" s="941"/>
      <c r="M61" s="941"/>
      <c r="N61" s="941"/>
      <c r="O61" s="941"/>
    </row>
    <row r="62" spans="1:15" s="692" customFormat="1">
      <c r="A62" s="693" t="s">
        <v>2779</v>
      </c>
      <c r="B62" s="262" t="e">
        <f t="shared" si="17"/>
        <v>#DIV/0!</v>
      </c>
      <c r="C62" s="200">
        <f t="shared" si="16"/>
        <v>0</v>
      </c>
      <c r="D62" s="1163">
        <v>0.25</v>
      </c>
      <c r="E62" s="261">
        <f>'数据-汇总表'!E12</f>
        <v>0</v>
      </c>
      <c r="F62" s="1102" t="e">
        <f t="shared" si="15"/>
        <v>#DIV/0!</v>
      </c>
      <c r="G62" s="1108" t="s">
        <v>2780</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2781</v>
      </c>
      <c r="B63" s="262" t="e">
        <f t="shared" si="17"/>
        <v>#DIV/0!</v>
      </c>
      <c r="C63" s="200">
        <f t="shared" si="16"/>
        <v>0</v>
      </c>
      <c r="D63" s="1163">
        <v>0.25</v>
      </c>
      <c r="E63" s="261">
        <f>'数据-汇总表'!E13</f>
        <v>0</v>
      </c>
      <c r="F63" s="1102" t="e">
        <f t="shared" si="15"/>
        <v>#DIV/0!</v>
      </c>
      <c r="G63" s="1108" t="s">
        <v>2782</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2783</v>
      </c>
      <c r="B64" s="262" t="e">
        <f t="shared" si="17"/>
        <v>#DIV/0!</v>
      </c>
      <c r="C64" s="200">
        <f t="shared" si="16"/>
        <v>0.2</v>
      </c>
      <c r="D64" s="1163">
        <v>0.25</v>
      </c>
      <c r="E64" s="261">
        <f>'数据-汇总表'!E14</f>
        <v>0</v>
      </c>
      <c r="F64" s="1102" t="e">
        <f t="shared" si="15"/>
        <v>#DIV/0!</v>
      </c>
      <c r="G64" s="2710" t="s">
        <v>2773</v>
      </c>
      <c r="H64" s="1103" t="str">
        <f>项目基本情况!B37</f>
        <v>五级</v>
      </c>
      <c r="I64" s="1107">
        <f>SUMIF(修正!A45:A56,H64,修正!H45:H56)</f>
        <v>0.2</v>
      </c>
      <c r="J64" s="1111"/>
      <c r="K64" s="1144"/>
      <c r="L64" s="941"/>
      <c r="M64" s="941"/>
      <c r="N64" s="941"/>
      <c r="O64" s="941"/>
    </row>
    <row r="65" spans="1:17" s="692" customFormat="1" ht="15" thickBot="1">
      <c r="A65" s="693" t="s">
        <v>2784</v>
      </c>
      <c r="B65" s="262" t="e">
        <f t="shared" si="17"/>
        <v>#DIV/0!</v>
      </c>
      <c r="C65" s="200">
        <f t="shared" si="16"/>
        <v>0</v>
      </c>
      <c r="D65" s="1163">
        <v>0.25</v>
      </c>
      <c r="E65" s="261">
        <f>'数据-汇总表'!E15</f>
        <v>0</v>
      </c>
      <c r="F65" s="1102" t="e">
        <f t="shared" si="15"/>
        <v>#DIV/0!</v>
      </c>
      <c r="G65" s="2711" t="s">
        <v>2778</v>
      </c>
      <c r="H65" s="1113">
        <f>项目基本情况!C37</f>
        <v>0</v>
      </c>
      <c r="I65" s="1109">
        <f>SUMIF(修正!A45:A56,H65,修正!H45:H56)</f>
        <v>0</v>
      </c>
      <c r="J65" s="1112"/>
      <c r="K65" s="1143"/>
      <c r="L65" s="941"/>
      <c r="M65" s="941"/>
      <c r="N65" s="941"/>
      <c r="O65" s="941"/>
    </row>
    <row r="66" spans="1:17" s="692" customFormat="1" ht="13.5" thickBot="1">
      <c r="A66" s="695" t="s">
        <v>2785</v>
      </c>
      <c r="B66" s="696" t="s">
        <v>28</v>
      </c>
      <c r="C66" s="696" t="s">
        <v>29</v>
      </c>
      <c r="D66" s="696" t="s">
        <v>1029</v>
      </c>
      <c r="E66" s="696">
        <f>IF(B46="楼面地价",SUM(E56:E65),'数据-汇总表'!D3)</f>
        <v>43696.250000000007</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2678</v>
      </c>
      <c r="B69" s="759"/>
      <c r="C69" s="764"/>
      <c r="D69" s="764"/>
      <c r="E69" s="764"/>
      <c r="F69" s="765"/>
      <c r="G69" s="765"/>
      <c r="H69" s="764"/>
      <c r="I69" s="764"/>
      <c r="J69" s="1158"/>
      <c r="K69" s="1159"/>
      <c r="L69" s="1160"/>
      <c r="M69" s="1158"/>
      <c r="N69" s="1158"/>
      <c r="O69" s="1158"/>
      <c r="P69" s="503"/>
      <c r="Q69" s="504"/>
    </row>
    <row r="70" spans="1:17" s="508" customFormat="1" ht="15">
      <c r="A70" s="2712" t="s">
        <v>2786</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7"/>
    </row>
    <row r="71" spans="1:17" s="116" customFormat="1" ht="30" customHeight="1">
      <c r="A71" s="2713"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7"/>
      <c r="N71" s="595"/>
      <c r="O71" s="1568"/>
      <c r="P71" s="504"/>
    </row>
    <row r="72" spans="1:17" s="116" customFormat="1" ht="15.75" thickBot="1">
      <c r="A72" s="515" t="s">
        <v>2589</v>
      </c>
      <c r="B72" s="516"/>
      <c r="C72" s="517"/>
      <c r="D72" s="518"/>
      <c r="E72" s="518"/>
      <c r="F72" s="518"/>
      <c r="G72" s="518"/>
      <c r="H72" s="518"/>
      <c r="I72" s="518"/>
      <c r="J72" s="518"/>
      <c r="K72" s="518"/>
      <c r="L72" s="518"/>
      <c r="M72" s="519"/>
      <c r="N72" s="518"/>
      <c r="O72" s="1161"/>
      <c r="P72" s="504"/>
      <c r="Q72" s="504"/>
    </row>
    <row r="73" spans="1:17" s="116" customFormat="1" ht="15">
      <c r="A73" s="521" t="s">
        <v>2554</v>
      </c>
      <c r="B73" s="510"/>
      <c r="C73" s="522" t="s">
        <v>2656</v>
      </c>
      <c r="D73" s="523"/>
      <c r="E73" s="523"/>
      <c r="F73" s="523"/>
      <c r="G73" s="523"/>
      <c r="H73" s="523"/>
      <c r="I73" s="523"/>
      <c r="J73" s="523"/>
      <c r="K73" s="523"/>
      <c r="L73" s="524"/>
      <c r="M73" s="525"/>
      <c r="N73" s="1150"/>
      <c r="O73" s="1150"/>
      <c r="P73" s="526"/>
      <c r="Q73" s="504"/>
    </row>
    <row r="74" spans="1:17" s="116"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2592</v>
      </c>
      <c r="B75" s="528" t="s">
        <v>2558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2561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6" customFormat="1" ht="15.75" thickTop="1">
      <c r="A96" s="579"/>
      <c r="B96" s="538" t="s">
        <v>2789</v>
      </c>
      <c r="C96" s="578" t="s">
        <v>2601</v>
      </c>
      <c r="D96" s="578" t="s">
        <v>2602</v>
      </c>
      <c r="E96" s="578" t="s">
        <v>2603</v>
      </c>
      <c r="F96" s="578" t="s">
        <v>2604</v>
      </c>
      <c r="G96" s="578" t="s">
        <v>2605</v>
      </c>
      <c r="H96" s="578"/>
      <c r="I96" s="578"/>
      <c r="J96" s="578"/>
      <c r="K96" s="578"/>
      <c r="L96" s="698"/>
      <c r="M96" s="622"/>
      <c r="N96" s="1150"/>
      <c r="O96" s="1150"/>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6" customFormat="1" ht="27.75" thickTop="1">
      <c r="A98" s="579"/>
      <c r="B98" s="538" t="s">
        <v>2790</v>
      </c>
      <c r="C98" s="573" t="s">
        <v>2601</v>
      </c>
      <c r="D98" s="573" t="s">
        <v>2602</v>
      </c>
      <c r="E98" s="573" t="s">
        <v>2603</v>
      </c>
      <c r="F98" s="573" t="s">
        <v>2604</v>
      </c>
      <c r="G98" s="573" t="s">
        <v>2605</v>
      </c>
      <c r="H98" s="578"/>
      <c r="I98" s="578"/>
      <c r="J98" s="578"/>
      <c r="K98" s="578"/>
      <c r="L98" s="578"/>
      <c r="M98" s="622"/>
      <c r="N98" s="1150"/>
      <c r="O98" s="1150"/>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2695</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2754</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2796</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2797</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2798</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2799</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189" t="s">
        <v>2651</v>
      </c>
      <c r="S4" s="3190"/>
      <c r="T4" s="3189" t="s">
        <v>2652</v>
      </c>
      <c r="U4" s="3190"/>
      <c r="V4" s="3214" t="s">
        <v>2653</v>
      </c>
      <c r="W4" s="3214"/>
      <c r="X4" s="1813"/>
      <c r="Y4" s="3189" t="s">
        <v>2655</v>
      </c>
      <c r="Z4" s="3190"/>
      <c r="AA4" s="3184" t="s">
        <v>2651</v>
      </c>
      <c r="AB4" s="3185" t="s">
        <v>2652</v>
      </c>
      <c r="AC4" s="3184" t="s">
        <v>2653</v>
      </c>
    </row>
    <row r="5" spans="1:29" ht="15">
      <c r="A5" s="404"/>
      <c r="B5" s="405"/>
      <c r="C5" s="3195" t="s">
        <v>2546</v>
      </c>
      <c r="D5" s="3196"/>
      <c r="E5" s="3193" t="s">
        <v>2547</v>
      </c>
      <c r="F5" s="3194"/>
      <c r="G5" s="3195" t="s">
        <v>2548</v>
      </c>
      <c r="H5" s="3196"/>
      <c r="I5" s="3195" t="s">
        <v>2549</v>
      </c>
      <c r="J5" s="3196"/>
      <c r="K5" s="610"/>
      <c r="L5" s="1129"/>
      <c r="M5" s="1130"/>
      <c r="N5" s="1130"/>
      <c r="O5" s="1130"/>
      <c r="P5" s="3208"/>
      <c r="Q5" s="3209"/>
      <c r="R5" s="3191"/>
      <c r="S5" s="3192"/>
      <c r="T5" s="3191"/>
      <c r="U5" s="3192"/>
      <c r="V5" s="3214"/>
      <c r="W5" s="3214"/>
      <c r="X5" s="1813"/>
      <c r="Y5" s="3191"/>
      <c r="Z5" s="3192"/>
      <c r="AA5" s="3185"/>
      <c r="AB5" s="3185"/>
      <c r="AC5" s="3185"/>
    </row>
    <row r="6" spans="1:29" ht="15.75" thickBot="1">
      <c r="A6" s="406"/>
      <c r="B6" s="407"/>
      <c r="C6" s="3250" t="s">
        <v>2801</v>
      </c>
      <c r="D6" s="3251"/>
      <c r="E6" s="3252" t="s">
        <v>2801</v>
      </c>
      <c r="F6" s="3253"/>
      <c r="G6" s="3250" t="s">
        <v>2801</v>
      </c>
      <c r="H6" s="3251"/>
      <c r="I6" s="3250" t="s">
        <v>2801</v>
      </c>
      <c r="J6" s="3251"/>
      <c r="K6" s="610" t="s">
        <v>2551</v>
      </c>
      <c r="L6" s="1129"/>
      <c r="M6" s="1130"/>
      <c r="N6" s="1130"/>
      <c r="O6" s="1130"/>
      <c r="P6" s="3210"/>
      <c r="Q6" s="3211"/>
      <c r="R6" s="3191"/>
      <c r="S6" s="3192"/>
      <c r="T6" s="3212"/>
      <c r="U6" s="3213"/>
      <c r="V6" s="3214"/>
      <c r="W6" s="3214"/>
      <c r="X6" s="1813"/>
      <c r="Y6" s="3212"/>
      <c r="Z6" s="3213"/>
      <c r="AA6" s="3186"/>
      <c r="AB6" s="3186"/>
      <c r="AC6" s="3186"/>
    </row>
    <row r="7" spans="1:29" s="116" customFormat="1" ht="15.75" thickBot="1">
      <c r="A7" s="408" t="s">
        <v>2552</v>
      </c>
      <c r="B7" s="409"/>
      <c r="C7" s="410">
        <f>'数据-取费表'!B2</f>
        <v>43039</v>
      </c>
      <c r="D7" s="411">
        <v>100</v>
      </c>
      <c r="E7" s="412"/>
      <c r="F7" s="413">
        <f>SUMIF(65:65,YEAR(E7)&amp;"-"&amp;INT((MONTH(E7)+2)/3),66:66)</f>
        <v>0</v>
      </c>
      <c r="G7" s="2697"/>
      <c r="H7" s="411">
        <f>SUMIF(65:65,YEAR(G7)&amp;"-"&amp;INT((MONTH(G7)+2)/3),66:66)</f>
        <v>0</v>
      </c>
      <c r="I7" s="2697"/>
      <c r="J7" s="411">
        <f>SUMIF(65:65,YEAR(I7)&amp;"-"&amp;INT((MONTH(I7)+2)/3),66:66)</f>
        <v>0</v>
      </c>
      <c r="K7" s="611"/>
      <c r="L7" s="1131"/>
      <c r="M7" s="1132"/>
      <c r="N7" s="1132"/>
      <c r="O7" s="1132"/>
      <c r="P7" s="3187" t="s">
        <v>2553</v>
      </c>
      <c r="Q7" s="3215"/>
      <c r="R7" s="770" t="s">
        <v>17</v>
      </c>
      <c r="S7" s="771">
        <f t="shared" ref="S7:S15" si="0">F7</f>
        <v>0</v>
      </c>
      <c r="T7" s="770" t="s">
        <v>17</v>
      </c>
      <c r="U7" s="771">
        <f t="shared" ref="U7:U15" si="1">H7</f>
        <v>0</v>
      </c>
      <c r="V7" s="770" t="s">
        <v>17</v>
      </c>
      <c r="W7" s="771">
        <f t="shared" ref="W7:W15" si="2">J7</f>
        <v>0</v>
      </c>
      <c r="X7" s="772"/>
      <c r="Y7" s="3187" t="s">
        <v>2553</v>
      </c>
      <c r="Z7" s="3188"/>
      <c r="AA7" s="773" t="e">
        <f>D7/F7</f>
        <v>#DIV/0!</v>
      </c>
      <c r="AB7" s="773" t="e">
        <f>D7/H7</f>
        <v>#DIV/0!</v>
      </c>
      <c r="AC7" s="773" t="e">
        <f>D7/J7</f>
        <v>#DIV/0!</v>
      </c>
    </row>
    <row r="8" spans="1:29" s="116"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7" t="s">
        <v>2556</v>
      </c>
      <c r="Q8" s="3188"/>
      <c r="R8" s="770" t="s">
        <v>17</v>
      </c>
      <c r="S8" s="771">
        <f t="shared" si="0"/>
        <v>0</v>
      </c>
      <c r="T8" s="770" t="s">
        <v>17</v>
      </c>
      <c r="U8" s="771">
        <f t="shared" si="1"/>
        <v>0</v>
      </c>
      <c r="V8" s="770" t="s">
        <v>17</v>
      </c>
      <c r="W8" s="771">
        <f t="shared" si="2"/>
        <v>0</v>
      </c>
      <c r="X8" s="772"/>
      <c r="Y8" s="3187" t="s">
        <v>2556</v>
      </c>
      <c r="Z8" s="3188"/>
      <c r="AA8" s="773" t="e">
        <f t="shared" ref="AA8:AA40" si="3">D8/F8</f>
        <v>#DIV/0!</v>
      </c>
      <c r="AB8" s="773" t="e">
        <f t="shared" ref="AB8:AB40" si="4">D8/H8</f>
        <v>#DIV/0!</v>
      </c>
      <c r="AC8" s="773" t="e">
        <f t="shared" ref="AC8:AC40" si="5">D8/J8</f>
        <v>#DIV/0!</v>
      </c>
    </row>
    <row r="9" spans="1:29" s="116" customFormat="1">
      <c r="A9" s="415" t="s">
        <v>2557</v>
      </c>
      <c r="B9" s="70" t="s">
        <v>2558</v>
      </c>
      <c r="C9" s="2700"/>
      <c r="D9" s="134">
        <v>100</v>
      </c>
      <c r="E9" s="2700"/>
      <c r="F9" s="134">
        <f>SUMIF(70:70,E9,71:71)-SUMIF(70:70,C9,71:71)+100</f>
        <v>100</v>
      </c>
      <c r="G9" s="2700"/>
      <c r="H9" s="134">
        <f>SUMIF(70:70,G9,71:71)-SUMIF(70:70,C9,71:71)+100</f>
        <v>100</v>
      </c>
      <c r="I9" s="2700"/>
      <c r="J9" s="134">
        <f>SUMIF(70:70,I9,71:71)-SUMIF(70:70,C9,71:71)+100</f>
        <v>100</v>
      </c>
      <c r="K9" s="611"/>
      <c r="L9" s="1131"/>
      <c r="M9" s="1132"/>
      <c r="N9" s="1132"/>
      <c r="O9" s="1133"/>
      <c r="P9" s="3219" t="s">
        <v>2559</v>
      </c>
      <c r="Q9" s="1795" t="str">
        <f t="shared" ref="Q9:Q15" si="6">B9</f>
        <v>用途</v>
      </c>
      <c r="R9" s="770" t="s">
        <v>17</v>
      </c>
      <c r="S9" s="771">
        <f t="shared" si="0"/>
        <v>100</v>
      </c>
      <c r="T9" s="770" t="s">
        <v>17</v>
      </c>
      <c r="U9" s="771">
        <f t="shared" si="1"/>
        <v>100</v>
      </c>
      <c r="V9" s="770" t="s">
        <v>17</v>
      </c>
      <c r="W9" s="771">
        <f t="shared" si="2"/>
        <v>100</v>
      </c>
      <c r="X9" s="772"/>
      <c r="Y9" s="3014" t="s">
        <v>2560</v>
      </c>
      <c r="Z9" s="55" t="str">
        <f t="shared" ref="Z9:Z15" si="7">Q9</f>
        <v>用途</v>
      </c>
      <c r="AA9" s="773">
        <f t="shared" si="3"/>
        <v>1</v>
      </c>
      <c r="AB9" s="773">
        <f t="shared" si="4"/>
        <v>1</v>
      </c>
      <c r="AC9" s="773">
        <f t="shared" si="5"/>
        <v>1</v>
      </c>
    </row>
    <row r="10" spans="1:29" s="427" customFormat="1" ht="27">
      <c r="A10" s="421"/>
      <c r="B10" s="422" t="s">
        <v>2561</v>
      </c>
      <c r="C10" s="432"/>
      <c r="D10" s="135">
        <v>100</v>
      </c>
      <c r="E10" s="432"/>
      <c r="F10" s="135">
        <f>ROUND(100/'数据-取费表'!G16,0)</f>
        <v>138</v>
      </c>
      <c r="G10" s="432"/>
      <c r="H10" s="135">
        <f>ROUND(100/'数据-取费表'!G16,0)</f>
        <v>138</v>
      </c>
      <c r="I10" s="432"/>
      <c r="J10" s="135">
        <f>ROUND(100/'数据-取费表'!G16,0)</f>
        <v>138</v>
      </c>
      <c r="K10" s="672"/>
      <c r="L10" s="1134"/>
      <c r="M10" s="1135"/>
      <c r="N10" s="1135"/>
      <c r="O10" s="1136"/>
      <c r="P10" s="3219"/>
      <c r="Q10" s="1795" t="str">
        <f t="shared" si="6"/>
        <v>土地使用年限（年）</v>
      </c>
      <c r="R10" s="770" t="s">
        <v>17</v>
      </c>
      <c r="S10" s="771">
        <f t="shared" si="0"/>
        <v>138</v>
      </c>
      <c r="T10" s="770" t="s">
        <v>17</v>
      </c>
      <c r="U10" s="771">
        <f t="shared" si="1"/>
        <v>138</v>
      </c>
      <c r="V10" s="770" t="s">
        <v>17</v>
      </c>
      <c r="W10" s="771">
        <f t="shared" si="2"/>
        <v>138</v>
      </c>
      <c r="X10" s="772"/>
      <c r="Y10" s="3014"/>
      <c r="Z10" s="55" t="str">
        <f t="shared" si="7"/>
        <v>土地使用年限（年）</v>
      </c>
      <c r="AA10" s="773">
        <f t="shared" si="3"/>
        <v>0.72463768115942029</v>
      </c>
      <c r="AB10" s="773">
        <f t="shared" si="4"/>
        <v>0.72463768115942029</v>
      </c>
      <c r="AC10" s="773">
        <f t="shared" si="5"/>
        <v>0.72463768115942029</v>
      </c>
    </row>
    <row r="11" spans="1:29" ht="15">
      <c r="A11" s="428"/>
      <c r="B11" s="422" t="s">
        <v>2562</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7"/>
      <c r="M11" s="1130"/>
      <c r="N11" s="1130"/>
      <c r="O11" s="1138"/>
      <c r="P11" s="321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6" customFormat="1" ht="15">
      <c r="A12" s="431"/>
      <c r="B12" s="2601">
        <v>111</v>
      </c>
      <c r="C12" s="432"/>
      <c r="D12" s="433">
        <v>100</v>
      </c>
      <c r="E12" s="549"/>
      <c r="F12" s="135">
        <f>SUMIF(77:77,E12,78:78)-SUMIF(77:77,C12,78:78)+100</f>
        <v>100</v>
      </c>
      <c r="G12" s="674"/>
      <c r="H12" s="135">
        <f>SUMIF(77:77,G12,78:78)-SUMIF(77:77,C12,78:78)+100</f>
        <v>100</v>
      </c>
      <c r="I12" s="549"/>
      <c r="J12" s="135">
        <f>SUMIF(77:77,I12,78:78)-SUMIF(77:77,C12,78:78)+100</f>
        <v>100</v>
      </c>
      <c r="K12" s="672"/>
      <c r="L12" s="1131"/>
      <c r="M12" s="1132"/>
      <c r="N12" s="1132"/>
      <c r="O12" s="1133"/>
      <c r="P12" s="321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549"/>
      <c r="F13" s="135">
        <f>SUMIF(79:79,E13,80:80)-SUMIF(79:79,C13,80:80)+100</f>
        <v>100</v>
      </c>
      <c r="G13" s="674"/>
      <c r="H13" s="435">
        <f>SUMIF(79:79,G13,80:80)-SUMIF(79:79,C13,80:80)+100</f>
        <v>100</v>
      </c>
      <c r="I13" s="549"/>
      <c r="J13" s="435">
        <f>SUMIF(79:79,I13,80:80)-SUMIF(79:79,C13,80:80)+100</f>
        <v>100</v>
      </c>
      <c r="K13" s="672"/>
      <c r="L13" s="1139"/>
      <c r="M13" s="1130"/>
      <c r="N13" s="1130"/>
      <c r="O13" s="1138"/>
      <c r="P13" s="321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2563</v>
      </c>
      <c r="B15" s="629" t="s">
        <v>2802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1" t="s">
        <v>2564</v>
      </c>
      <c r="Q15" s="1810" t="str">
        <f t="shared" si="6"/>
        <v>产业集聚程度</v>
      </c>
      <c r="R15" s="774" t="s">
        <v>17</v>
      </c>
      <c r="S15" s="775">
        <f t="shared" si="0"/>
        <v>100</v>
      </c>
      <c r="T15" s="774" t="s">
        <v>17</v>
      </c>
      <c r="U15" s="775">
        <f t="shared" si="1"/>
        <v>100</v>
      </c>
      <c r="V15" s="774" t="s">
        <v>17</v>
      </c>
      <c r="W15" s="775">
        <f t="shared" si="2"/>
        <v>100</v>
      </c>
      <c r="X15" s="1813"/>
      <c r="Y15" s="3221" t="s">
        <v>2564</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39"/>
      <c r="M16" s="1130"/>
      <c r="N16" s="1130"/>
      <c r="O16" s="1138"/>
      <c r="P16" s="3222"/>
      <c r="Q16" s="1810"/>
      <c r="R16" s="774"/>
      <c r="S16" s="775"/>
      <c r="T16" s="774"/>
      <c r="U16" s="775"/>
      <c r="V16" s="774"/>
      <c r="W16" s="775"/>
      <c r="X16" s="1813"/>
      <c r="Y16" s="3222"/>
      <c r="Z16" s="1814"/>
      <c r="AA16" s="1811">
        <v>1</v>
      </c>
      <c r="AB16" s="1811">
        <v>1</v>
      </c>
      <c r="AC16" s="1811">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39"/>
      <c r="M18" s="1130"/>
      <c r="N18" s="1130"/>
      <c r="O18" s="1138"/>
      <c r="P18" s="3222"/>
      <c r="Q18" s="1810"/>
      <c r="R18" s="774"/>
      <c r="S18" s="775"/>
      <c r="T18" s="774"/>
      <c r="U18" s="775"/>
      <c r="V18" s="774"/>
      <c r="W18" s="775"/>
      <c r="X18" s="1813"/>
      <c r="Y18" s="3222"/>
      <c r="Z18" s="1814"/>
      <c r="AA18" s="1811">
        <v>1</v>
      </c>
      <c r="AB18" s="1811">
        <v>1</v>
      </c>
      <c r="AC18" s="1811">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2"/>
      <c r="Q19" s="1810" t="str">
        <f t="shared" ref="Q19:Q33" si="8">B19</f>
        <v>区域土地利用方向</v>
      </c>
      <c r="R19" s="774" t="s">
        <v>17</v>
      </c>
      <c r="S19" s="775">
        <f>F19</f>
        <v>100</v>
      </c>
      <c r="T19" s="774" t="s">
        <v>17</v>
      </c>
      <c r="U19" s="775">
        <f>H19</f>
        <v>100</v>
      </c>
      <c r="V19" s="774" t="s">
        <v>17</v>
      </c>
      <c r="W19" s="775">
        <f>J19</f>
        <v>100</v>
      </c>
      <c r="X19" s="1813"/>
      <c r="Y19" s="322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09"/>
      <c r="L20" s="1139"/>
      <c r="M20" s="1130"/>
      <c r="N20" s="1130"/>
      <c r="O20" s="1138"/>
      <c r="P20" s="3222"/>
      <c r="Q20" s="1810"/>
      <c r="R20" s="774"/>
      <c r="S20" s="775"/>
      <c r="T20" s="774"/>
      <c r="U20" s="775"/>
      <c r="V20" s="774"/>
      <c r="W20" s="775"/>
      <c r="X20" s="1813"/>
      <c r="Y20" s="3222"/>
      <c r="Z20" s="1814"/>
      <c r="AA20" s="1811"/>
      <c r="AB20" s="1811"/>
      <c r="AC20" s="1811"/>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2"/>
      <c r="Q21" s="1810" t="str">
        <f t="shared" si="8"/>
        <v>环境状况</v>
      </c>
      <c r="R21" s="774" t="s">
        <v>17</v>
      </c>
      <c r="S21" s="775">
        <f>F21</f>
        <v>100</v>
      </c>
      <c r="T21" s="774" t="s">
        <v>17</v>
      </c>
      <c r="U21" s="775">
        <f>H21</f>
        <v>100</v>
      </c>
      <c r="V21" s="774" t="s">
        <v>17</v>
      </c>
      <c r="W21" s="775">
        <f>J21</f>
        <v>100</v>
      </c>
      <c r="X21" s="1813"/>
      <c r="Y21" s="322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39"/>
      <c r="M22" s="1130"/>
      <c r="N22" s="1130"/>
      <c r="O22" s="1138"/>
      <c r="P22" s="3222"/>
      <c r="Q22" s="1810"/>
      <c r="R22" s="774"/>
      <c r="S22" s="775"/>
      <c r="T22" s="774"/>
      <c r="U22" s="775"/>
      <c r="V22" s="774"/>
      <c r="W22" s="775"/>
      <c r="X22" s="1813"/>
      <c r="Y22" s="3222"/>
      <c r="Z22" s="1814"/>
      <c r="AA22" s="1811">
        <v>1</v>
      </c>
      <c r="AB22" s="1811">
        <v>1</v>
      </c>
      <c r="AC22" s="1811">
        <v>1</v>
      </c>
    </row>
    <row r="23" spans="1:29" s="116"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2"/>
      <c r="Q23" s="1795" t="str">
        <f t="shared" si="8"/>
        <v>公共配套设施</v>
      </c>
      <c r="R23" s="770" t="s">
        <v>17</v>
      </c>
      <c r="S23" s="771">
        <f>F23</f>
        <v>100</v>
      </c>
      <c r="T23" s="770" t="s">
        <v>17</v>
      </c>
      <c r="U23" s="771">
        <f>H23</f>
        <v>100</v>
      </c>
      <c r="V23" s="770" t="s">
        <v>17</v>
      </c>
      <c r="W23" s="771">
        <f>J23</f>
        <v>100</v>
      </c>
      <c r="X23" s="772"/>
      <c r="Y23" s="3222"/>
      <c r="Z23" s="55" t="str">
        <f>Q23</f>
        <v>公共配套设施</v>
      </c>
      <c r="AA23" s="1811">
        <f>D23/F23</f>
        <v>1</v>
      </c>
      <c r="AB23" s="1811">
        <f>D23/H23</f>
        <v>1</v>
      </c>
      <c r="AC23" s="1811">
        <f>D23/J23</f>
        <v>1</v>
      </c>
    </row>
    <row r="24" spans="1:29" s="116" customFormat="1" ht="15">
      <c r="A24" s="649"/>
      <c r="B24" s="632"/>
      <c r="C24" s="2701"/>
      <c r="D24" s="448"/>
      <c r="E24" s="2612"/>
      <c r="F24" s="448"/>
      <c r="G24" s="2612"/>
      <c r="H24" s="448"/>
      <c r="I24" s="447"/>
      <c r="J24" s="448"/>
      <c r="K24" s="672"/>
      <c r="L24" s="1131"/>
      <c r="M24" s="1132"/>
      <c r="N24" s="1132"/>
      <c r="O24" s="1133"/>
      <c r="P24" s="3222"/>
      <c r="Q24" s="1795"/>
      <c r="R24" s="770"/>
      <c r="S24" s="771"/>
      <c r="T24" s="770"/>
      <c r="U24" s="771"/>
      <c r="V24" s="770"/>
      <c r="W24" s="771"/>
      <c r="X24" s="772"/>
      <c r="Y24" s="3222"/>
      <c r="Z24" s="55"/>
      <c r="AA24" s="773">
        <v>1</v>
      </c>
      <c r="AB24" s="773">
        <v>1</v>
      </c>
      <c r="AC24" s="773">
        <v>1</v>
      </c>
    </row>
    <row r="25" spans="1:29" s="116"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2"/>
      <c r="Q25" s="1795"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1">
        <f>D25/F25</f>
        <v>1</v>
      </c>
      <c r="AB25" s="1811">
        <f>D25/H25</f>
        <v>1</v>
      </c>
      <c r="AC25" s="1811">
        <f>D25/J25</f>
        <v>1</v>
      </c>
    </row>
    <row r="26" spans="1:29" s="116" customFormat="1" ht="15">
      <c r="A26" s="649"/>
      <c r="B26" s="632"/>
      <c r="C26" s="2701"/>
      <c r="D26" s="448"/>
      <c r="E26" s="2702"/>
      <c r="F26" s="448"/>
      <c r="G26" s="2702"/>
      <c r="H26" s="448"/>
      <c r="I26" s="2702"/>
      <c r="J26" s="448"/>
      <c r="K26" s="672"/>
      <c r="L26" s="1131"/>
      <c r="M26" s="1132"/>
      <c r="N26" s="1132"/>
      <c r="O26" s="1133"/>
      <c r="P26" s="3222"/>
      <c r="Q26" s="1795"/>
      <c r="R26" s="770"/>
      <c r="S26" s="771"/>
      <c r="T26" s="770"/>
      <c r="U26" s="771"/>
      <c r="V26" s="770"/>
      <c r="W26" s="771"/>
      <c r="X26" s="772"/>
      <c r="Y26" s="322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2"/>
      <c r="Z27" s="1814" t="str">
        <f t="shared" ref="Z27:Z40" si="13">Q27</f>
        <v>临街状况</v>
      </c>
      <c r="AA27" s="1811">
        <f t="shared" si="3"/>
        <v>1</v>
      </c>
      <c r="AB27" s="1811">
        <f t="shared" si="4"/>
        <v>1</v>
      </c>
      <c r="AC27" s="1811">
        <f t="shared" si="5"/>
        <v>1</v>
      </c>
    </row>
    <row r="28" spans="1:29" ht="27">
      <c r="A28" s="428"/>
      <c r="B28" s="633" t="s">
        <v>2695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2"/>
      <c r="Q28" s="1810" t="str">
        <f t="shared" si="8"/>
        <v>毗邻道路的类型与等级</v>
      </c>
      <c r="R28" s="774" t="s">
        <v>17</v>
      </c>
      <c r="S28" s="775">
        <f t="shared" si="10"/>
        <v>100</v>
      </c>
      <c r="T28" s="774" t="s">
        <v>17</v>
      </c>
      <c r="U28" s="775">
        <f t="shared" si="11"/>
        <v>100</v>
      </c>
      <c r="V28" s="774" t="s">
        <v>17</v>
      </c>
      <c r="W28" s="775">
        <f t="shared" si="12"/>
        <v>100</v>
      </c>
      <c r="X28" s="1813"/>
      <c r="Y28" s="322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39"/>
      <c r="M29" s="1130"/>
      <c r="N29" s="1130"/>
      <c r="O29" s="1138"/>
      <c r="P29" s="3222"/>
      <c r="Q29" s="1810"/>
      <c r="R29" s="774"/>
      <c r="S29" s="775"/>
      <c r="T29" s="774"/>
      <c r="U29" s="775"/>
      <c r="V29" s="774"/>
      <c r="W29" s="775"/>
      <c r="X29" s="1813"/>
      <c r="Y29" s="3222"/>
      <c r="Z29" s="1814"/>
      <c r="AA29" s="1811">
        <v>1</v>
      </c>
      <c r="AB29" s="1811">
        <v>1</v>
      </c>
      <c r="AC29" s="1811">
        <v>1</v>
      </c>
    </row>
    <row r="30" spans="1:29" ht="15">
      <c r="A30" s="428"/>
      <c r="B30" s="654" t="s">
        <v>2754</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2"/>
      <c r="Q30" s="1810" t="str">
        <f t="shared" si="8"/>
        <v>土地级别</v>
      </c>
      <c r="R30" s="774" t="s">
        <v>17</v>
      </c>
      <c r="S30" s="775">
        <f t="shared" si="10"/>
        <v>100</v>
      </c>
      <c r="T30" s="774" t="s">
        <v>17</v>
      </c>
      <c r="U30" s="775">
        <f t="shared" si="11"/>
        <v>100</v>
      </c>
      <c r="V30" s="774" t="s">
        <v>17</v>
      </c>
      <c r="W30" s="775">
        <f t="shared" si="12"/>
        <v>100</v>
      </c>
      <c r="X30" s="1813"/>
      <c r="Y30" s="322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2"/>
      <c r="Q31" s="1810">
        <f t="shared" si="8"/>
        <v>111</v>
      </c>
      <c r="R31" s="774" t="s">
        <v>17</v>
      </c>
      <c r="S31" s="775">
        <f t="shared" si="10"/>
        <v>100</v>
      </c>
      <c r="T31" s="774" t="s">
        <v>17</v>
      </c>
      <c r="U31" s="775">
        <f t="shared" si="11"/>
        <v>100</v>
      </c>
      <c r="V31" s="774" t="s">
        <v>17</v>
      </c>
      <c r="W31" s="775">
        <f t="shared" si="12"/>
        <v>100</v>
      </c>
      <c r="X31" s="1813"/>
      <c r="Y31" s="322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5" t="s">
        <v>2569</v>
      </c>
      <c r="Q32" s="1810">
        <f t="shared" si="8"/>
        <v>111</v>
      </c>
      <c r="R32" s="774" t="s">
        <v>17</v>
      </c>
      <c r="S32" s="775">
        <f t="shared" si="10"/>
        <v>100</v>
      </c>
      <c r="T32" s="774" t="s">
        <v>17</v>
      </c>
      <c r="U32" s="775">
        <f t="shared" si="11"/>
        <v>100</v>
      </c>
      <c r="V32" s="774" t="s">
        <v>17</v>
      </c>
      <c r="W32" s="775">
        <f t="shared" si="12"/>
        <v>100</v>
      </c>
      <c r="X32" s="1813"/>
      <c r="Y32" s="3226" t="s">
        <v>2569</v>
      </c>
      <c r="Z32" s="1814">
        <f t="shared" si="13"/>
        <v>111</v>
      </c>
      <c r="AA32" s="1811">
        <f t="shared" si="3"/>
        <v>1</v>
      </c>
      <c r="AB32" s="1811">
        <f t="shared" si="4"/>
        <v>1</v>
      </c>
      <c r="AC32" s="1811">
        <f t="shared" si="5"/>
        <v>1</v>
      </c>
    </row>
    <row r="33" spans="1:29" s="471" customFormat="1" ht="15.75" thickBot="1">
      <c r="A33" s="676"/>
      <c r="B33" s="2716">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6"/>
      <c r="Q33" s="1810">
        <f t="shared" si="8"/>
        <v>111</v>
      </c>
      <c r="R33" s="777" t="s">
        <v>17</v>
      </c>
      <c r="S33" s="778">
        <f t="shared" si="10"/>
        <v>100</v>
      </c>
      <c r="T33" s="777" t="s">
        <v>17</v>
      </c>
      <c r="U33" s="778">
        <f t="shared" si="11"/>
        <v>100</v>
      </c>
      <c r="V33" s="777" t="s">
        <v>17</v>
      </c>
      <c r="W33" s="778">
        <f t="shared" si="12"/>
        <v>100</v>
      </c>
      <c r="X33" s="779"/>
      <c r="Y33" s="3226"/>
      <c r="Z33" s="780">
        <f t="shared" si="13"/>
        <v>111</v>
      </c>
      <c r="AA33" s="1811">
        <f t="shared" si="3"/>
        <v>1</v>
      </c>
      <c r="AB33" s="1811">
        <f t="shared" si="4"/>
        <v>1</v>
      </c>
      <c r="AC33" s="1811">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6"/>
      <c r="Q34" s="1810" t="str">
        <f>B34</f>
        <v>宗地面积</v>
      </c>
      <c r="R34" s="774" t="s">
        <v>17</v>
      </c>
      <c r="S34" s="775" t="e">
        <f t="shared" si="10"/>
        <v>#N/A</v>
      </c>
      <c r="T34" s="774" t="s">
        <v>17</v>
      </c>
      <c r="U34" s="775" t="e">
        <f t="shared" si="11"/>
        <v>#N/A</v>
      </c>
      <c r="V34" s="774" t="s">
        <v>17</v>
      </c>
      <c r="W34" s="775" t="e">
        <f t="shared" si="12"/>
        <v>#N/A</v>
      </c>
      <c r="X34" s="1813"/>
      <c r="Y34" s="3226"/>
      <c r="Z34" s="1814" t="str">
        <f t="shared" si="13"/>
        <v>宗地面积</v>
      </c>
      <c r="AA34" s="1811" t="e">
        <f t="shared" si="3"/>
        <v>#N/A</v>
      </c>
      <c r="AB34" s="1811" t="e">
        <f t="shared" si="4"/>
        <v>#N/A</v>
      </c>
      <c r="AC34" s="1811"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9"/>
      <c r="M35" s="1130"/>
      <c r="N35" s="1130"/>
      <c r="O35" s="1138"/>
      <c r="P35" s="3226"/>
      <c r="Q35" s="1810" t="str">
        <f t="shared" ref="Q35:Q40" si="14">B35</f>
        <v>宗地形状</v>
      </c>
      <c r="R35" s="774" t="s">
        <v>17</v>
      </c>
      <c r="S35" s="775">
        <f t="shared" si="10"/>
        <v>100</v>
      </c>
      <c r="T35" s="774" t="s">
        <v>17</v>
      </c>
      <c r="U35" s="775">
        <f t="shared" si="11"/>
        <v>100</v>
      </c>
      <c r="V35" s="774" t="s">
        <v>17</v>
      </c>
      <c r="W35" s="775">
        <f t="shared" si="12"/>
        <v>100</v>
      </c>
      <c r="X35" s="1813"/>
      <c r="Y35" s="3226"/>
      <c r="Z35" s="1814" t="str">
        <f t="shared" si="13"/>
        <v>宗地形状</v>
      </c>
      <c r="AA35" s="1811">
        <f t="shared" si="3"/>
        <v>1</v>
      </c>
      <c r="AB35" s="1811">
        <f t="shared" si="4"/>
        <v>1</v>
      </c>
      <c r="AC35" s="1811">
        <f t="shared" si="5"/>
        <v>1</v>
      </c>
    </row>
    <row r="36" spans="1:29" s="116" customFormat="1" ht="15">
      <c r="A36" s="473"/>
      <c r="B36" s="422" t="s">
        <v>2758</v>
      </c>
      <c r="C36" s="2703"/>
      <c r="D36" s="135">
        <v>100</v>
      </c>
      <c r="E36" s="2703"/>
      <c r="F36" s="435">
        <f>SUMIF(112:112,E36,113:113)-SUMIF(112:112,C36,113:113)+100</f>
        <v>100</v>
      </c>
      <c r="G36" s="2703"/>
      <c r="H36" s="435">
        <f>SUMIF(112:112,G36,113:113)-SUMIF(112:112,C36,113:113)+100</f>
        <v>100</v>
      </c>
      <c r="I36" s="2703"/>
      <c r="J36" s="435">
        <f>SUMIF(112:112,I36,113:113)-SUMIF(112:112,C36,113:113)+100</f>
        <v>100</v>
      </c>
      <c r="K36" s="612"/>
      <c r="L36" s="1131"/>
      <c r="M36" s="1132"/>
      <c r="N36" s="1132"/>
      <c r="O36" s="1133"/>
      <c r="P36" s="3226"/>
      <c r="Q36" s="1810"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9"/>
      <c r="M37" s="1130"/>
      <c r="N37" s="1130"/>
      <c r="O37" s="1138"/>
      <c r="P37" s="3226" t="s">
        <v>2569</v>
      </c>
      <c r="Q37" s="1810" t="str">
        <f t="shared" si="14"/>
        <v>工程地质条件</v>
      </c>
      <c r="R37" s="774" t="s">
        <v>17</v>
      </c>
      <c r="S37" s="775">
        <f t="shared" si="10"/>
        <v>100</v>
      </c>
      <c r="T37" s="774" t="s">
        <v>17</v>
      </c>
      <c r="U37" s="775">
        <f t="shared" si="11"/>
        <v>100</v>
      </c>
      <c r="V37" s="774" t="s">
        <v>17</v>
      </c>
      <c r="W37" s="775">
        <f t="shared" si="12"/>
        <v>100</v>
      </c>
      <c r="X37" s="1813"/>
      <c r="Y37" s="3226" t="s">
        <v>2569</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6"/>
      <c r="Q38" s="1810">
        <f t="shared" si="14"/>
        <v>111</v>
      </c>
      <c r="R38" s="774" t="s">
        <v>17</v>
      </c>
      <c r="S38" s="775">
        <f t="shared" si="10"/>
        <v>100</v>
      </c>
      <c r="T38" s="774" t="s">
        <v>17</v>
      </c>
      <c r="U38" s="775">
        <f t="shared" si="11"/>
        <v>100</v>
      </c>
      <c r="V38" s="774" t="s">
        <v>17</v>
      </c>
      <c r="W38" s="775">
        <f t="shared" si="12"/>
        <v>100</v>
      </c>
      <c r="X38" s="1813"/>
      <c r="Y38" s="3226"/>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6"/>
      <c r="Q39" s="1810">
        <f t="shared" si="14"/>
        <v>111</v>
      </c>
      <c r="R39" s="774" t="s">
        <v>17</v>
      </c>
      <c r="S39" s="775">
        <f t="shared" si="10"/>
        <v>100</v>
      </c>
      <c r="T39" s="774" t="s">
        <v>17</v>
      </c>
      <c r="U39" s="775">
        <f t="shared" si="11"/>
        <v>100</v>
      </c>
      <c r="V39" s="774" t="s">
        <v>17</v>
      </c>
      <c r="W39" s="775">
        <f t="shared" si="12"/>
        <v>100</v>
      </c>
      <c r="X39" s="1813"/>
      <c r="Y39" s="3226"/>
      <c r="Z39" s="1814">
        <f t="shared" si="13"/>
        <v>111</v>
      </c>
      <c r="AA39" s="1811">
        <f t="shared" si="3"/>
        <v>1</v>
      </c>
      <c r="AB39" s="1811">
        <f t="shared" si="4"/>
        <v>1</v>
      </c>
      <c r="AC39" s="1811">
        <f t="shared" si="5"/>
        <v>1</v>
      </c>
    </row>
    <row r="40" spans="1:29" s="471" customFormat="1" ht="15.75" thickBot="1">
      <c r="A40" s="468"/>
      <c r="B40" s="1386">
        <v>111</v>
      </c>
      <c r="C40" s="2704"/>
      <c r="D40" s="136">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6"/>
      <c r="Q40" s="1810">
        <f t="shared" si="14"/>
        <v>111</v>
      </c>
      <c r="R40" s="777" t="s">
        <v>17</v>
      </c>
      <c r="S40" s="778">
        <f t="shared" si="10"/>
        <v>100</v>
      </c>
      <c r="T40" s="777" t="s">
        <v>17</v>
      </c>
      <c r="U40" s="778">
        <f t="shared" si="11"/>
        <v>100</v>
      </c>
      <c r="V40" s="777" t="s">
        <v>17</v>
      </c>
      <c r="W40" s="778">
        <f t="shared" si="12"/>
        <v>100</v>
      </c>
      <c r="X40" s="779"/>
      <c r="Y40" s="3226"/>
      <c r="Z40" s="780">
        <f t="shared" si="13"/>
        <v>111</v>
      </c>
      <c r="AA40" s="1811">
        <f t="shared" si="3"/>
        <v>1</v>
      </c>
      <c r="AB40" s="1811">
        <f t="shared" si="4"/>
        <v>1</v>
      </c>
      <c r="AC40" s="1811">
        <f t="shared" si="5"/>
        <v>1</v>
      </c>
    </row>
    <row r="41" spans="1:29" ht="15">
      <c r="A41" s="479" t="s">
        <v>2724</v>
      </c>
      <c r="B41" s="2705" t="s">
        <v>2804</v>
      </c>
      <c r="C41" s="682" t="s">
        <v>1</v>
      </c>
      <c r="D41" s="481"/>
      <c r="E41" s="482"/>
      <c r="F41" s="483"/>
      <c r="G41" s="484"/>
      <c r="H41" s="485"/>
      <c r="I41" s="482"/>
      <c r="J41" s="485"/>
      <c r="K41" s="783"/>
      <c r="L41" s="1142"/>
      <c r="M41" s="1130"/>
      <c r="N41" s="1130"/>
      <c r="O41" s="1143"/>
      <c r="P41" s="3219" t="str">
        <f>A41</f>
        <v>成交单价</v>
      </c>
      <c r="Q41" s="3219"/>
      <c r="R41" s="3214">
        <f>E41</f>
        <v>0</v>
      </c>
      <c r="S41" s="3214"/>
      <c r="T41" s="3214">
        <f>G41</f>
        <v>0</v>
      </c>
      <c r="U41" s="3214"/>
      <c r="V41" s="3214">
        <f>I41</f>
        <v>0</v>
      </c>
      <c r="W41" s="3214"/>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2"/>
      <c r="M42" s="1130"/>
      <c r="N42" s="1130"/>
      <c r="O42" s="1143"/>
      <c r="P42" s="3219" t="str">
        <f>A42</f>
        <v>比较价值（元/平方米）</v>
      </c>
      <c r="Q42" s="3219"/>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2"/>
      <c r="M43" s="1130"/>
      <c r="N43" s="1130"/>
      <c r="O43" s="1143"/>
      <c r="P43" s="3216" t="str">
        <f>A43</f>
        <v>估价对象XX用房的比较价值（楼面单价，元/平方米）</v>
      </c>
      <c r="Q43" s="3217"/>
      <c r="R43" s="3247" t="e">
        <f>ROUND(AVERAGE(R42:V42),0)</f>
        <v>#DIV/0!</v>
      </c>
      <c r="S43" s="3247"/>
      <c r="T43" s="3247"/>
      <c r="U43" s="3247"/>
      <c r="V43" s="3247"/>
      <c r="W43" s="324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2762</v>
      </c>
      <c r="B50" s="685" t="s">
        <v>2763</v>
      </c>
      <c r="C50" s="2706" t="s">
        <v>2764</v>
      </c>
      <c r="D50" s="2707" t="s">
        <v>2765</v>
      </c>
      <c r="E50" s="686" t="s">
        <v>2766</v>
      </c>
      <c r="F50" s="687" t="s">
        <v>2767</v>
      </c>
      <c r="G50" s="3202" t="s">
        <v>2768</v>
      </c>
      <c r="H50" s="3248"/>
      <c r="I50" s="1814" t="s">
        <v>2805</v>
      </c>
      <c r="J50" s="1814">
        <f>项目基本情况!F35</f>
        <v>0</v>
      </c>
      <c r="K50" s="2709" t="s">
        <v>2770</v>
      </c>
      <c r="L50" s="1105"/>
      <c r="M50" s="1143"/>
      <c r="N50" s="1143"/>
      <c r="O50" s="1143"/>
    </row>
    <row r="51" spans="1:17" s="692" customFormat="1">
      <c r="A51" s="688" t="s">
        <v>2771</v>
      </c>
      <c r="B51" s="689" t="e">
        <f>C43</f>
        <v>#DIV/0!</v>
      </c>
      <c r="C51" s="690">
        <v>1</v>
      </c>
      <c r="D51" s="1162">
        <v>1</v>
      </c>
      <c r="E51" s="690">
        <f>'数据-汇总表'!E8+'数据-汇总表'!E9</f>
        <v>43696.250000000007</v>
      </c>
      <c r="F51" s="691" t="e">
        <f t="shared" ref="F51:F60" si="15">ROUND(B51*E51/10000,0)</f>
        <v>#DIV/0!</v>
      </c>
      <c r="G51" s="3201"/>
      <c r="H51" s="3219"/>
      <c r="I51" s="942">
        <v>1</v>
      </c>
      <c r="J51" s="942">
        <v>1</v>
      </c>
      <c r="K51" s="1144"/>
      <c r="L51" s="941"/>
      <c r="M51" s="941"/>
      <c r="N51" s="941"/>
      <c r="O51" s="941"/>
    </row>
    <row r="52" spans="1:17" s="692" customFormat="1">
      <c r="A52" s="693" t="s">
        <v>2772</v>
      </c>
      <c r="B52" s="262" t="e">
        <f>ROUND($C$43*C52*D52,0)</f>
        <v>#DIV/0!</v>
      </c>
      <c r="C52" s="200">
        <f t="shared" ref="C52:C60" si="16">IF($C$50="北京市系数",I52,J52)</f>
        <v>0.7</v>
      </c>
      <c r="D52" s="1163">
        <v>0.25</v>
      </c>
      <c r="E52" s="694"/>
      <c r="F52" s="691" t="e">
        <f t="shared" si="15"/>
        <v>#DIV/0!</v>
      </c>
      <c r="G52" s="3249" t="s">
        <v>2773</v>
      </c>
      <c r="H52" s="1103" t="str">
        <f>项目基本情况!B37</f>
        <v>五级</v>
      </c>
      <c r="I52" s="942">
        <f>SUMIF(修正!A45:A56,H52,修正!B45:B56)</f>
        <v>0.7</v>
      </c>
      <c r="J52" s="943"/>
      <c r="K52" s="1143"/>
      <c r="L52" s="941"/>
      <c r="M52" s="941"/>
      <c r="N52" s="941"/>
      <c r="O52" s="941"/>
    </row>
    <row r="53" spans="1:17" s="692" customFormat="1">
      <c r="A53" s="693" t="s">
        <v>2774</v>
      </c>
      <c r="B53" s="262" t="e">
        <f t="shared" ref="B53:B60" si="17">ROUND($C$43*C53*D53,0)</f>
        <v>#DIV/0!</v>
      </c>
      <c r="C53" s="200">
        <f t="shared" si="16"/>
        <v>0.4</v>
      </c>
      <c r="D53" s="1163">
        <v>0.25</v>
      </c>
      <c r="E53" s="694"/>
      <c r="F53" s="691" t="e">
        <f t="shared" si="15"/>
        <v>#DIV/0!</v>
      </c>
      <c r="G53" s="3249"/>
      <c r="H53" s="1103" t="str">
        <f>项目基本情况!B37</f>
        <v>五级</v>
      </c>
      <c r="I53" s="942">
        <f>SUMIF(修正!A45:A56,H53,修正!C45:C56)</f>
        <v>0.4</v>
      </c>
      <c r="J53" s="943"/>
      <c r="K53" s="1144"/>
      <c r="L53" s="941"/>
      <c r="M53" s="941"/>
      <c r="N53" s="941"/>
      <c r="O53" s="941"/>
    </row>
    <row r="54" spans="1:17" s="692" customFormat="1">
      <c r="A54" s="693" t="s">
        <v>2775</v>
      </c>
      <c r="B54" s="262" t="e">
        <f t="shared" si="17"/>
        <v>#DIV/0!</v>
      </c>
      <c r="C54" s="200">
        <f t="shared" si="16"/>
        <v>0.28000000000000003</v>
      </c>
      <c r="D54" s="1163">
        <v>0.25</v>
      </c>
      <c r="E54" s="694"/>
      <c r="F54" s="691" t="e">
        <f t="shared" si="15"/>
        <v>#DIV/0!</v>
      </c>
      <c r="G54" s="3249"/>
      <c r="H54" s="1103" t="str">
        <f>项目基本情况!B37</f>
        <v>五级</v>
      </c>
      <c r="I54" s="942">
        <f>SUMIF(修正!A45:A56,H54,修正!D45:D56)</f>
        <v>0.28000000000000003</v>
      </c>
      <c r="J54" s="943"/>
      <c r="K54" s="1143"/>
      <c r="L54" s="941"/>
      <c r="M54" s="941"/>
      <c r="N54" s="941"/>
      <c r="O54" s="941"/>
    </row>
    <row r="55" spans="1:17" s="692" customFormat="1">
      <c r="A55" s="693" t="s">
        <v>2776</v>
      </c>
      <c r="B55" s="262" t="e">
        <f t="shared" si="17"/>
        <v>#DIV/0!</v>
      </c>
      <c r="C55" s="200">
        <f t="shared" si="16"/>
        <v>0.25</v>
      </c>
      <c r="D55" s="1163">
        <v>0.25</v>
      </c>
      <c r="E55" s="694"/>
      <c r="F55" s="691" t="e">
        <f t="shared" si="15"/>
        <v>#DIV/0!</v>
      </c>
      <c r="G55" s="3249"/>
      <c r="H55" s="1103" t="str">
        <f>项目基本情况!B37</f>
        <v>五级</v>
      </c>
      <c r="I55" s="942">
        <f>SUMIF(修正!A45:A56,H55,修正!E45:E56)</f>
        <v>0.25</v>
      </c>
      <c r="J55" s="943"/>
      <c r="K55" s="1144"/>
      <c r="L55" s="941"/>
      <c r="M55" s="941"/>
      <c r="N55" s="941"/>
      <c r="O55" s="941"/>
    </row>
    <row r="56" spans="1:17" s="692" customFormat="1">
      <c r="A56" s="693" t="s">
        <v>2777</v>
      </c>
      <c r="B56" s="262" t="e">
        <f t="shared" si="17"/>
        <v>#DIV/0!</v>
      </c>
      <c r="C56" s="200">
        <f t="shared" si="16"/>
        <v>0</v>
      </c>
      <c r="D56" s="1163">
        <v>0.25</v>
      </c>
      <c r="E56" s="261">
        <f>'数据-汇总表'!E11</f>
        <v>0</v>
      </c>
      <c r="F56" s="691" t="e">
        <f t="shared" si="15"/>
        <v>#DIV/0!</v>
      </c>
      <c r="G56" s="2710" t="s">
        <v>2778</v>
      </c>
      <c r="H56" s="1103">
        <f>项目基本情况!C37</f>
        <v>0</v>
      </c>
      <c r="I56" s="942">
        <f>SUMIF(修正!A45:A56,H56,修正!F45:F56)</f>
        <v>0</v>
      </c>
      <c r="J56" s="943"/>
      <c r="K56" s="1143"/>
      <c r="L56" s="941"/>
      <c r="M56" s="941"/>
      <c r="N56" s="941"/>
      <c r="O56" s="941"/>
    </row>
    <row r="57" spans="1:17" s="692" customFormat="1">
      <c r="A57" s="693" t="s">
        <v>2779</v>
      </c>
      <c r="B57" s="262" t="e">
        <f t="shared" si="17"/>
        <v>#DIV/0!</v>
      </c>
      <c r="C57" s="200">
        <f t="shared" si="16"/>
        <v>0</v>
      </c>
      <c r="D57" s="1163">
        <v>0.25</v>
      </c>
      <c r="E57" s="261">
        <f>'数据-汇总表'!E12</f>
        <v>0</v>
      </c>
      <c r="F57" s="691" t="e">
        <f t="shared" si="15"/>
        <v>#DIV/0!</v>
      </c>
      <c r="G57" s="1108" t="s">
        <v>2780</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2781</v>
      </c>
      <c r="B58" s="262" t="e">
        <f t="shared" si="17"/>
        <v>#DIV/0!</v>
      </c>
      <c r="C58" s="200">
        <f t="shared" si="16"/>
        <v>0</v>
      </c>
      <c r="D58" s="1163">
        <v>0.25</v>
      </c>
      <c r="E58" s="261">
        <f>'数据-汇总表'!E13</f>
        <v>0</v>
      </c>
      <c r="F58" s="691" t="e">
        <f t="shared" si="15"/>
        <v>#DIV/0!</v>
      </c>
      <c r="G58" s="1108" t="s">
        <v>2782</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2783</v>
      </c>
      <c r="B59" s="262" t="e">
        <f t="shared" si="17"/>
        <v>#DIV/0!</v>
      </c>
      <c r="C59" s="200">
        <f t="shared" si="16"/>
        <v>0.2</v>
      </c>
      <c r="D59" s="1163">
        <v>0.25</v>
      </c>
      <c r="E59" s="261">
        <f>'数据-汇总表'!E14</f>
        <v>0</v>
      </c>
      <c r="F59" s="691" t="e">
        <f t="shared" si="15"/>
        <v>#DIV/0!</v>
      </c>
      <c r="G59" s="2710" t="s">
        <v>2773</v>
      </c>
      <c r="H59" s="1103" t="str">
        <f>项目基本情况!B37</f>
        <v>五级</v>
      </c>
      <c r="I59" s="942">
        <f>SUMIF(修正!A45:A56,H59,修正!H45:H56)</f>
        <v>0.2</v>
      </c>
      <c r="J59" s="943"/>
      <c r="K59" s="1144"/>
      <c r="L59" s="941"/>
      <c r="M59" s="941"/>
      <c r="N59" s="941"/>
      <c r="O59" s="941"/>
    </row>
    <row r="60" spans="1:17" s="692" customFormat="1" ht="15" thickBot="1">
      <c r="A60" s="693" t="s">
        <v>2784</v>
      </c>
      <c r="B60" s="262" t="e">
        <f t="shared" si="17"/>
        <v>#DIV/0!</v>
      </c>
      <c r="C60" s="200">
        <f t="shared" si="16"/>
        <v>0</v>
      </c>
      <c r="D60" s="1163">
        <v>0.25</v>
      </c>
      <c r="E60" s="261">
        <f>'数据-汇总表'!E15</f>
        <v>0</v>
      </c>
      <c r="F60" s="691" t="e">
        <f t="shared" si="15"/>
        <v>#DIV/0!</v>
      </c>
      <c r="G60" s="2711" t="s">
        <v>2778</v>
      </c>
      <c r="H60" s="1113">
        <f>项目基本情况!C37</f>
        <v>0</v>
      </c>
      <c r="I60" s="942">
        <f>SUMIF(修正!A45:A56,H60,修正!H45:H56)</f>
        <v>0</v>
      </c>
      <c r="J60" s="943"/>
      <c r="K60" s="1143"/>
      <c r="L60" s="941"/>
      <c r="M60" s="941"/>
      <c r="N60" s="941"/>
      <c r="O60" s="941"/>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2678</v>
      </c>
      <c r="B64" s="759"/>
      <c r="C64" s="764"/>
      <c r="D64" s="764"/>
      <c r="E64" s="764"/>
      <c r="F64" s="765"/>
      <c r="G64" s="765"/>
      <c r="H64" s="764"/>
      <c r="I64" s="764"/>
      <c r="J64" s="764"/>
      <c r="K64" s="766"/>
      <c r="L64" s="767"/>
      <c r="M64" s="764"/>
      <c r="N64" s="764"/>
      <c r="O64" s="1158"/>
      <c r="P64" s="503"/>
      <c r="Q64" s="504"/>
    </row>
    <row r="65" spans="1:17" s="508" customFormat="1" ht="15">
      <c r="A65" s="2712" t="s">
        <v>2786</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7"/>
    </row>
    <row r="66" spans="1:17" s="116" customFormat="1" ht="30.75" customHeight="1">
      <c r="A66" s="2717" t="s">
        <v>2806</v>
      </c>
      <c r="B66" s="332" t="str">
        <f>"北京市平均增长率"&amp;TEXT(基准地价修正!P24,"0.00%")</f>
        <v>北京市平均增长率1.39%</v>
      </c>
      <c r="C66" s="603">
        <v>100</v>
      </c>
      <c r="D66" s="595"/>
      <c r="E66" s="595"/>
      <c r="F66" s="595"/>
      <c r="G66" s="595"/>
      <c r="H66" s="595"/>
      <c r="I66" s="595"/>
      <c r="J66" s="595"/>
      <c r="K66" s="595"/>
      <c r="L66" s="595"/>
      <c r="M66" s="1567"/>
      <c r="N66" s="1567"/>
      <c r="O66" s="1569"/>
      <c r="P66" s="504"/>
    </row>
    <row r="67" spans="1:17" s="116" customFormat="1" ht="15.75" thickBot="1">
      <c r="A67" s="515" t="s">
        <v>2589</v>
      </c>
      <c r="B67" s="516"/>
      <c r="C67" s="517"/>
      <c r="D67" s="518"/>
      <c r="E67" s="518"/>
      <c r="F67" s="518"/>
      <c r="G67" s="518"/>
      <c r="H67" s="518"/>
      <c r="I67" s="518"/>
      <c r="J67" s="518"/>
      <c r="K67" s="518"/>
      <c r="L67" s="518"/>
      <c r="M67" s="519"/>
      <c r="N67" s="519"/>
      <c r="O67" s="520"/>
      <c r="P67" s="504"/>
      <c r="Q67" s="504"/>
    </row>
    <row r="68" spans="1:17" s="116" customFormat="1" ht="15">
      <c r="A68" s="521" t="s">
        <v>2554</v>
      </c>
      <c r="B68" s="510"/>
      <c r="C68" s="522" t="s">
        <v>2656</v>
      </c>
      <c r="D68" s="523"/>
      <c r="E68" s="523"/>
      <c r="F68" s="523"/>
      <c r="G68" s="523"/>
      <c r="H68" s="523"/>
      <c r="I68" s="523"/>
      <c r="J68" s="523"/>
      <c r="K68" s="523"/>
      <c r="L68" s="524"/>
      <c r="M68" s="525"/>
      <c r="N68" s="1150"/>
      <c r="O68" s="1150"/>
      <c r="P68" s="526"/>
      <c r="Q68" s="504"/>
    </row>
    <row r="69" spans="1:17" s="116"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2592</v>
      </c>
      <c r="B70" s="528" t="s">
        <v>2558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6" customFormat="1" ht="15.75" thickTop="1">
      <c r="A87" s="579"/>
      <c r="B87" s="538" t="s">
        <v>2789</v>
      </c>
      <c r="C87" s="573" t="s">
        <v>2601</v>
      </c>
      <c r="D87" s="573" t="s">
        <v>2602</v>
      </c>
      <c r="E87" s="573" t="s">
        <v>2603</v>
      </c>
      <c r="F87" s="573" t="s">
        <v>2604</v>
      </c>
      <c r="G87" s="573" t="s">
        <v>2605</v>
      </c>
      <c r="H87" s="578"/>
      <c r="I87" s="578"/>
      <c r="J87" s="578"/>
      <c r="K87" s="578"/>
      <c r="L87" s="698"/>
      <c r="M87" s="622"/>
      <c r="N87" s="1150"/>
      <c r="O87" s="1150"/>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6" customFormat="1" ht="27.75" thickTop="1">
      <c r="A89" s="579"/>
      <c r="B89" s="538" t="s">
        <v>2790</v>
      </c>
      <c r="C89" s="573" t="s">
        <v>2601</v>
      </c>
      <c r="D89" s="573" t="s">
        <v>2602</v>
      </c>
      <c r="E89" s="573" t="s">
        <v>2603</v>
      </c>
      <c r="F89" s="573" t="s">
        <v>2604</v>
      </c>
      <c r="G89" s="573" t="s">
        <v>2605</v>
      </c>
      <c r="H89" s="578"/>
      <c r="I89" s="578"/>
      <c r="J89" s="578"/>
      <c r="K89" s="578"/>
      <c r="L89" s="578"/>
      <c r="M89" s="622"/>
      <c r="N89" s="1150"/>
      <c r="O89" s="1150"/>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2695</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2754</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2796</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2798</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2799</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54" t="s">
        <v>183</v>
      </c>
      <c r="B18" s="879" t="s">
        <v>560</v>
      </c>
      <c r="C18" s="880" t="s">
        <v>561</v>
      </c>
      <c r="D18" s="881"/>
      <c r="E18" s="879">
        <v>1</v>
      </c>
      <c r="F18" s="882" t="s">
        <v>562</v>
      </c>
      <c r="G18" s="883"/>
      <c r="H18" s="875"/>
      <c r="I18" s="875"/>
    </row>
    <row r="19" spans="1:9" s="884" customFormat="1" ht="19.5" customHeight="1">
      <c r="A19" s="3254"/>
      <c r="B19" s="3254" t="s">
        <v>563</v>
      </c>
      <c r="C19" s="880" t="s">
        <v>564</v>
      </c>
      <c r="D19" s="881"/>
      <c r="E19" s="879">
        <v>0.9</v>
      </c>
      <c r="F19" s="882" t="s">
        <v>565</v>
      </c>
      <c r="G19" s="883"/>
      <c r="H19" s="875"/>
      <c r="I19" s="875"/>
    </row>
    <row r="20" spans="1:9" s="884" customFormat="1" ht="19.5" customHeight="1">
      <c r="A20" s="3254"/>
      <c r="B20" s="3254"/>
      <c r="C20" s="880" t="s">
        <v>566</v>
      </c>
      <c r="D20" s="881"/>
      <c r="E20" s="879">
        <v>1.1000000000000001</v>
      </c>
      <c r="F20" s="882" t="s">
        <v>567</v>
      </c>
      <c r="G20" s="883"/>
      <c r="H20" s="875"/>
      <c r="I20" s="875"/>
    </row>
    <row r="21" spans="1:9" s="884" customFormat="1" ht="19.5" customHeight="1">
      <c r="A21" s="3254"/>
      <c r="B21" s="3254"/>
      <c r="C21" s="880" t="s">
        <v>568</v>
      </c>
      <c r="D21" s="881"/>
      <c r="E21" s="879">
        <v>0.8</v>
      </c>
      <c r="F21" s="882" t="s">
        <v>569</v>
      </c>
      <c r="G21" s="883"/>
      <c r="H21" s="875"/>
      <c r="I21" s="875"/>
    </row>
    <row r="22" spans="1:9" s="884" customFormat="1" ht="19.5" customHeight="1">
      <c r="A22" s="3254"/>
      <c r="B22" s="3254"/>
      <c r="C22" s="880" t="s">
        <v>570</v>
      </c>
      <c r="D22" s="881"/>
      <c r="E22" s="879">
        <v>0.5</v>
      </c>
      <c r="F22" s="882"/>
      <c r="G22" s="883"/>
      <c r="H22" s="875"/>
      <c r="I22" s="875"/>
    </row>
    <row r="23" spans="1:9" s="884" customFormat="1" ht="19.5" customHeight="1">
      <c r="A23" s="3254" t="s">
        <v>184</v>
      </c>
      <c r="B23" s="879" t="s">
        <v>560</v>
      </c>
      <c r="C23" s="880" t="s">
        <v>571</v>
      </c>
      <c r="D23" s="881"/>
      <c r="E23" s="879">
        <v>1</v>
      </c>
      <c r="F23" s="882" t="s">
        <v>572</v>
      </c>
      <c r="G23" s="883"/>
      <c r="H23" s="875"/>
      <c r="I23" s="875"/>
    </row>
    <row r="24" spans="1:9" s="884" customFormat="1" ht="19.5" customHeight="1">
      <c r="A24" s="3254"/>
      <c r="B24" s="3254" t="s">
        <v>563</v>
      </c>
      <c r="C24" s="880" t="s">
        <v>573</v>
      </c>
      <c r="D24" s="881"/>
      <c r="E24" s="879">
        <v>0.5</v>
      </c>
      <c r="F24" s="882"/>
      <c r="G24" s="883"/>
      <c r="H24" s="875"/>
      <c r="I24" s="875"/>
    </row>
    <row r="25" spans="1:9" s="884" customFormat="1" ht="19.5" customHeight="1">
      <c r="A25" s="3254"/>
      <c r="B25" s="3254"/>
      <c r="C25" s="880" t="s">
        <v>574</v>
      </c>
      <c r="D25" s="881"/>
      <c r="E25" s="879">
        <v>1.1000000000000001</v>
      </c>
      <c r="F25" s="882"/>
      <c r="G25" s="883"/>
      <c r="H25" s="875"/>
      <c r="I25" s="875"/>
    </row>
    <row r="26" spans="1:9" s="884" customFormat="1" ht="19.5" customHeight="1">
      <c r="A26" s="3254"/>
      <c r="B26" s="3254"/>
      <c r="C26" s="880" t="s">
        <v>575</v>
      </c>
      <c r="D26" s="881"/>
      <c r="E26" s="879">
        <v>1.1000000000000001</v>
      </c>
      <c r="F26" s="882"/>
      <c r="G26" s="883"/>
      <c r="H26" s="875"/>
      <c r="I26" s="875"/>
    </row>
    <row r="27" spans="1:9" s="884" customFormat="1" ht="19.5" customHeight="1">
      <c r="A27" s="3254"/>
      <c r="B27" s="3254"/>
      <c r="C27" s="880" t="s">
        <v>576</v>
      </c>
      <c r="D27" s="881"/>
      <c r="E27" s="879">
        <v>0.9</v>
      </c>
      <c r="F27" s="882" t="s">
        <v>577</v>
      </c>
      <c r="G27" s="883"/>
      <c r="H27" s="875"/>
      <c r="I27" s="875"/>
    </row>
    <row r="28" spans="1:9" s="884" customFormat="1" ht="19.5" customHeight="1">
      <c r="A28" s="3254"/>
      <c r="B28" s="3254"/>
      <c r="C28" s="880" t="s">
        <v>578</v>
      </c>
      <c r="D28" s="881"/>
      <c r="E28" s="879">
        <v>0.9</v>
      </c>
      <c r="F28" s="882" t="s">
        <v>579</v>
      </c>
      <c r="G28" s="883"/>
      <c r="H28" s="875"/>
      <c r="I28" s="875"/>
    </row>
    <row r="29" spans="1:9" s="884" customFormat="1" ht="19.5" customHeight="1">
      <c r="A29" s="3254"/>
      <c r="B29" s="3254"/>
      <c r="C29" s="880" t="s">
        <v>580</v>
      </c>
      <c r="D29" s="881"/>
      <c r="E29" s="879">
        <v>0.9</v>
      </c>
      <c r="F29" s="882" t="s">
        <v>581</v>
      </c>
      <c r="G29" s="883"/>
      <c r="H29" s="875"/>
      <c r="I29" s="875"/>
    </row>
    <row r="30" spans="1:9" s="884" customFormat="1" ht="19.5" customHeight="1">
      <c r="A30" s="3254"/>
      <c r="B30" s="3254"/>
      <c r="C30" s="880" t="s">
        <v>582</v>
      </c>
      <c r="D30" s="881"/>
      <c r="E30" s="879">
        <v>0.9</v>
      </c>
      <c r="F30" s="882" t="s">
        <v>583</v>
      </c>
      <c r="G30" s="883"/>
      <c r="H30" s="875"/>
      <c r="I30" s="875"/>
    </row>
    <row r="31" spans="1:9" s="884" customFormat="1" ht="19.5" customHeight="1">
      <c r="A31" s="3254"/>
      <c r="B31" s="3254"/>
      <c r="C31" s="880" t="s">
        <v>584</v>
      </c>
      <c r="D31" s="881"/>
      <c r="E31" s="879">
        <v>0.8</v>
      </c>
      <c r="F31" s="882" t="s">
        <v>585</v>
      </c>
      <c r="G31" s="883"/>
      <c r="H31" s="875"/>
      <c r="I31" s="875"/>
    </row>
    <row r="32" spans="1:9" s="884" customFormat="1" ht="19.5" customHeight="1">
      <c r="A32" s="3254"/>
      <c r="B32" s="3254"/>
      <c r="C32" s="880" t="s">
        <v>586</v>
      </c>
      <c r="D32" s="881"/>
      <c r="E32" s="879">
        <v>0.8</v>
      </c>
      <c r="F32" s="882" t="s">
        <v>587</v>
      </c>
      <c r="G32" s="883"/>
      <c r="H32" s="875"/>
      <c r="I32" s="875"/>
    </row>
    <row r="33" spans="1:9" s="884" customFormat="1" ht="19.5" customHeight="1">
      <c r="A33" s="3254" t="s">
        <v>185</v>
      </c>
      <c r="B33" s="879" t="s">
        <v>560</v>
      </c>
      <c r="C33" s="880" t="s">
        <v>588</v>
      </c>
      <c r="D33" s="881"/>
      <c r="E33" s="879">
        <v>1</v>
      </c>
      <c r="F33" s="882" t="s">
        <v>589</v>
      </c>
      <c r="G33" s="883"/>
      <c r="H33" s="875"/>
      <c r="I33" s="875"/>
    </row>
    <row r="34" spans="1:9" s="884" customFormat="1" ht="19.5" customHeight="1">
      <c r="A34" s="3254"/>
      <c r="B34" s="879" t="s">
        <v>563</v>
      </c>
      <c r="C34" s="880" t="s">
        <v>590</v>
      </c>
      <c r="D34" s="881"/>
      <c r="E34" s="879">
        <v>1.5</v>
      </c>
      <c r="F34" s="882" t="s">
        <v>591</v>
      </c>
      <c r="G34" s="883"/>
      <c r="H34" s="875"/>
      <c r="I34" s="875"/>
    </row>
    <row r="35" spans="1:9" s="884" customFormat="1" ht="19.5" customHeight="1">
      <c r="A35" s="3254" t="s">
        <v>186</v>
      </c>
      <c r="B35" s="879" t="s">
        <v>560</v>
      </c>
      <c r="C35" s="880" t="s">
        <v>592</v>
      </c>
      <c r="D35" s="881"/>
      <c r="E35" s="879">
        <v>1</v>
      </c>
      <c r="F35" s="882" t="s">
        <v>593</v>
      </c>
      <c r="G35" s="883"/>
      <c r="H35" s="875"/>
      <c r="I35" s="875"/>
    </row>
    <row r="36" spans="1:9" s="884" customFormat="1" ht="19.5" customHeight="1">
      <c r="A36" s="3254"/>
      <c r="B36" s="3254" t="s">
        <v>563</v>
      </c>
      <c r="C36" s="880" t="s">
        <v>594</v>
      </c>
      <c r="D36" s="881"/>
      <c r="E36" s="879">
        <v>1</v>
      </c>
      <c r="F36" s="882" t="s">
        <v>595</v>
      </c>
      <c r="G36" s="883"/>
      <c r="H36" s="875"/>
      <c r="I36" s="875"/>
    </row>
    <row r="37" spans="1:9" s="884" customFormat="1" ht="19.5" customHeight="1">
      <c r="A37" s="3254"/>
      <c r="B37" s="3254"/>
      <c r="C37" s="880" t="s">
        <v>596</v>
      </c>
      <c r="D37" s="881"/>
      <c r="E37" s="879">
        <v>1.5</v>
      </c>
      <c r="F37" s="882" t="s">
        <v>597</v>
      </c>
      <c r="G37" s="883"/>
      <c r="H37" s="875"/>
      <c r="I37" s="875"/>
    </row>
    <row r="38" spans="1:9" s="884" customFormat="1" ht="19.5" customHeight="1">
      <c r="A38" s="3254"/>
      <c r="B38" s="3254"/>
      <c r="C38" s="880" t="s">
        <v>598</v>
      </c>
      <c r="D38" s="881"/>
      <c r="E38" s="879">
        <v>1</v>
      </c>
      <c r="F38" s="882" t="s">
        <v>599</v>
      </c>
      <c r="G38" s="883"/>
      <c r="H38" s="875"/>
      <c r="I38" s="875"/>
    </row>
    <row r="39" spans="1:9" s="884" customFormat="1" ht="19.5" customHeight="1">
      <c r="A39" s="3254"/>
      <c r="B39" s="325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54" t="s">
        <v>614</v>
      </c>
      <c r="C61" s="815" t="s">
        <v>615</v>
      </c>
      <c r="D61" s="815" t="s">
        <v>616</v>
      </c>
      <c r="E61" s="892">
        <v>0.5</v>
      </c>
      <c r="F61" s="879">
        <v>80</v>
      </c>
    </row>
    <row r="62" spans="1:8" s="875" customFormat="1" ht="24">
      <c r="A62" s="879">
        <v>2</v>
      </c>
      <c r="B62" s="3254"/>
      <c r="C62" s="815" t="s">
        <v>617</v>
      </c>
      <c r="D62" s="815" t="s">
        <v>618</v>
      </c>
      <c r="E62" s="892">
        <v>0.5</v>
      </c>
      <c r="F62" s="879">
        <v>80</v>
      </c>
    </row>
    <row r="63" spans="1:8" s="875" customFormat="1" ht="36">
      <c r="A63" s="879">
        <v>3</v>
      </c>
      <c r="B63" s="3254"/>
      <c r="C63" s="815" t="s">
        <v>619</v>
      </c>
      <c r="D63" s="815" t="s">
        <v>620</v>
      </c>
      <c r="E63" s="892">
        <v>0.5</v>
      </c>
      <c r="F63" s="879">
        <v>80</v>
      </c>
    </row>
    <row r="64" spans="1:8" s="875" customFormat="1" ht="36">
      <c r="A64" s="879">
        <v>4</v>
      </c>
      <c r="B64" s="3254"/>
      <c r="C64" s="815" t="s">
        <v>621</v>
      </c>
      <c r="D64" s="815" t="s">
        <v>622</v>
      </c>
      <c r="E64" s="892">
        <v>0.4</v>
      </c>
      <c r="F64" s="879">
        <v>60</v>
      </c>
    </row>
    <row r="65" spans="1:6" s="875" customFormat="1" ht="36">
      <c r="A65" s="879">
        <v>5</v>
      </c>
      <c r="B65" s="3254"/>
      <c r="C65" s="815" t="s">
        <v>623</v>
      </c>
      <c r="D65" s="815" t="s">
        <v>624</v>
      </c>
      <c r="E65" s="892">
        <v>0.2</v>
      </c>
      <c r="F65" s="879">
        <v>30</v>
      </c>
    </row>
    <row r="66" spans="1:6" s="875" customFormat="1" ht="36">
      <c r="A66" s="879">
        <v>6</v>
      </c>
      <c r="B66" s="3254"/>
      <c r="C66" s="815" t="s">
        <v>625</v>
      </c>
      <c r="D66" s="815" t="s">
        <v>626</v>
      </c>
      <c r="E66" s="892">
        <v>0.3</v>
      </c>
      <c r="F66" s="879">
        <v>50</v>
      </c>
    </row>
    <row r="67" spans="1:6" s="875" customFormat="1" ht="36">
      <c r="A67" s="879">
        <v>7</v>
      </c>
      <c r="B67" s="3254"/>
      <c r="C67" s="815" t="s">
        <v>627</v>
      </c>
      <c r="D67" s="815" t="s">
        <v>628</v>
      </c>
      <c r="E67" s="892">
        <v>0.2</v>
      </c>
      <c r="F67" s="879">
        <v>30</v>
      </c>
    </row>
    <row r="68" spans="1:6" s="875" customFormat="1" ht="36">
      <c r="A68" s="879">
        <v>8</v>
      </c>
      <c r="B68" s="3254"/>
      <c r="C68" s="815" t="s">
        <v>629</v>
      </c>
      <c r="D68" s="815" t="s">
        <v>630</v>
      </c>
      <c r="E68" s="892">
        <v>0.2</v>
      </c>
      <c r="F68" s="879">
        <v>30</v>
      </c>
    </row>
    <row r="69" spans="1:6" s="875" customFormat="1" ht="36">
      <c r="A69" s="879">
        <v>9</v>
      </c>
      <c r="B69" s="3254"/>
      <c r="C69" s="815" t="s">
        <v>631</v>
      </c>
      <c r="D69" s="815" t="s">
        <v>632</v>
      </c>
      <c r="E69" s="892">
        <v>0.2</v>
      </c>
      <c r="F69" s="879">
        <v>30</v>
      </c>
    </row>
    <row r="70" spans="1:6" s="875" customFormat="1" ht="48">
      <c r="A70" s="879">
        <v>10</v>
      </c>
      <c r="B70" s="3254"/>
      <c r="C70" s="815" t="s">
        <v>633</v>
      </c>
      <c r="D70" s="815" t="s">
        <v>634</v>
      </c>
      <c r="E70" s="892">
        <v>0.2</v>
      </c>
      <c r="F70" s="879">
        <v>30</v>
      </c>
    </row>
    <row r="71" spans="1:6" s="875" customFormat="1" ht="48">
      <c r="A71" s="879">
        <v>11</v>
      </c>
      <c r="B71" s="3254"/>
      <c r="C71" s="815" t="s">
        <v>635</v>
      </c>
      <c r="D71" s="815" t="s">
        <v>636</v>
      </c>
      <c r="E71" s="892">
        <v>0.2</v>
      </c>
      <c r="F71" s="879">
        <v>30</v>
      </c>
    </row>
    <row r="72" spans="1:6" s="875" customFormat="1" ht="36">
      <c r="A72" s="879">
        <v>12</v>
      </c>
      <c r="B72" s="3254"/>
      <c r="C72" s="815" t="s">
        <v>637</v>
      </c>
      <c r="D72" s="815" t="s">
        <v>638</v>
      </c>
      <c r="E72" s="892">
        <v>0.5</v>
      </c>
      <c r="F72" s="879">
        <v>80</v>
      </c>
    </row>
    <row r="73" spans="1:6" s="875" customFormat="1" ht="24">
      <c r="A73" s="879">
        <v>13</v>
      </c>
      <c r="B73" s="3254"/>
      <c r="C73" s="815" t="s">
        <v>639</v>
      </c>
      <c r="D73" s="815" t="s">
        <v>640</v>
      </c>
      <c r="E73" s="892">
        <v>0.4</v>
      </c>
      <c r="F73" s="879">
        <v>60</v>
      </c>
    </row>
    <row r="74" spans="1:6" s="875" customFormat="1" ht="24">
      <c r="A74" s="879">
        <v>14</v>
      </c>
      <c r="B74" s="3254"/>
      <c r="C74" s="815" t="s">
        <v>641</v>
      </c>
      <c r="D74" s="815" t="s">
        <v>642</v>
      </c>
      <c r="E74" s="892">
        <v>0.2</v>
      </c>
      <c r="F74" s="879">
        <v>30</v>
      </c>
    </row>
    <row r="75" spans="1:6" s="875" customFormat="1" ht="24">
      <c r="A75" s="879">
        <v>15</v>
      </c>
      <c r="B75" s="3254"/>
      <c r="C75" s="815" t="s">
        <v>643</v>
      </c>
      <c r="D75" s="815" t="s">
        <v>644</v>
      </c>
      <c r="E75" s="892">
        <v>0.2</v>
      </c>
      <c r="F75" s="879">
        <v>30</v>
      </c>
    </row>
    <row r="76" spans="1:6" s="875" customFormat="1" ht="24">
      <c r="A76" s="879">
        <v>16</v>
      </c>
      <c r="B76" s="3254" t="s">
        <v>645</v>
      </c>
      <c r="C76" s="815" t="s">
        <v>646</v>
      </c>
      <c r="D76" s="815" t="s">
        <v>647</v>
      </c>
      <c r="E76" s="892">
        <v>0.5</v>
      </c>
      <c r="F76" s="879">
        <v>80</v>
      </c>
    </row>
    <row r="77" spans="1:6" s="875" customFormat="1" ht="24">
      <c r="A77" s="879">
        <v>17</v>
      </c>
      <c r="B77" s="3254"/>
      <c r="C77" s="815" t="s">
        <v>648</v>
      </c>
      <c r="D77" s="815" t="s">
        <v>649</v>
      </c>
      <c r="E77" s="892">
        <v>0.5</v>
      </c>
      <c r="F77" s="879">
        <v>80</v>
      </c>
    </row>
    <row r="78" spans="1:6" s="875" customFormat="1" ht="24">
      <c r="A78" s="879">
        <v>18</v>
      </c>
      <c r="B78" s="3254"/>
      <c r="C78" s="815" t="s">
        <v>650</v>
      </c>
      <c r="D78" s="815" t="s">
        <v>651</v>
      </c>
      <c r="E78" s="892">
        <v>0.2</v>
      </c>
      <c r="F78" s="879">
        <v>30</v>
      </c>
    </row>
    <row r="79" spans="1:6" s="875" customFormat="1" ht="24">
      <c r="A79" s="879">
        <v>19</v>
      </c>
      <c r="B79" s="3254"/>
      <c r="C79" s="815" t="s">
        <v>652</v>
      </c>
      <c r="D79" s="815" t="s">
        <v>653</v>
      </c>
      <c r="E79" s="892">
        <v>0.5</v>
      </c>
      <c r="F79" s="879">
        <v>80</v>
      </c>
    </row>
    <row r="80" spans="1:6" s="875" customFormat="1" ht="36">
      <c r="A80" s="879">
        <v>20</v>
      </c>
      <c r="B80" s="3254"/>
      <c r="C80" s="815" t="s">
        <v>654</v>
      </c>
      <c r="D80" s="815" t="s">
        <v>655</v>
      </c>
      <c r="E80" s="892">
        <v>0.2</v>
      </c>
      <c r="F80" s="879">
        <v>30</v>
      </c>
    </row>
    <row r="81" spans="1:6" s="875" customFormat="1" ht="36">
      <c r="A81" s="879">
        <v>21</v>
      </c>
      <c r="B81" s="3254"/>
      <c r="C81" s="815" t="s">
        <v>656</v>
      </c>
      <c r="D81" s="815" t="s">
        <v>657</v>
      </c>
      <c r="E81" s="892">
        <v>0.2</v>
      </c>
      <c r="F81" s="879">
        <v>30</v>
      </c>
    </row>
    <row r="82" spans="1:6" s="875" customFormat="1" ht="48">
      <c r="A82" s="879">
        <v>22</v>
      </c>
      <c r="B82" s="3254"/>
      <c r="C82" s="815" t="s">
        <v>658</v>
      </c>
      <c r="D82" s="815" t="s">
        <v>659</v>
      </c>
      <c r="E82" s="892">
        <v>0.2</v>
      </c>
      <c r="F82" s="879">
        <v>30</v>
      </c>
    </row>
    <row r="83" spans="1:6" s="875" customFormat="1" ht="48">
      <c r="A83" s="879">
        <v>23</v>
      </c>
      <c r="B83" s="3254"/>
      <c r="C83" s="815" t="s">
        <v>660</v>
      </c>
      <c r="D83" s="815" t="s">
        <v>661</v>
      </c>
      <c r="E83" s="892">
        <v>0.2</v>
      </c>
      <c r="F83" s="879">
        <v>30</v>
      </c>
    </row>
    <row r="84" spans="1:6" s="875" customFormat="1" ht="36">
      <c r="A84" s="879">
        <v>24</v>
      </c>
      <c r="B84" s="3254"/>
      <c r="C84" s="815" t="s">
        <v>662</v>
      </c>
      <c r="D84" s="815" t="s">
        <v>663</v>
      </c>
      <c r="E84" s="892">
        <v>0.2</v>
      </c>
      <c r="F84" s="879">
        <v>30</v>
      </c>
    </row>
    <row r="85" spans="1:6" s="875" customFormat="1" ht="36">
      <c r="A85" s="879">
        <v>25</v>
      </c>
      <c r="B85" s="3254"/>
      <c r="C85" s="815" t="s">
        <v>664</v>
      </c>
      <c r="D85" s="815" t="s">
        <v>665</v>
      </c>
      <c r="E85" s="892">
        <v>0.5</v>
      </c>
      <c r="F85" s="879">
        <v>80</v>
      </c>
    </row>
    <row r="86" spans="1:6" s="875" customFormat="1" ht="36">
      <c r="A86" s="879">
        <v>26</v>
      </c>
      <c r="B86" s="3254"/>
      <c r="C86" s="815" t="s">
        <v>666</v>
      </c>
      <c r="D86" s="815" t="s">
        <v>667</v>
      </c>
      <c r="E86" s="892">
        <v>0.2</v>
      </c>
      <c r="F86" s="879">
        <v>30</v>
      </c>
    </row>
    <row r="87" spans="1:6" s="875" customFormat="1" ht="36">
      <c r="A87" s="879">
        <v>27</v>
      </c>
      <c r="B87" s="3254"/>
      <c r="C87" s="815" t="s">
        <v>668</v>
      </c>
      <c r="D87" s="815" t="s">
        <v>669</v>
      </c>
      <c r="E87" s="892">
        <v>0.2</v>
      </c>
      <c r="F87" s="879">
        <v>30</v>
      </c>
    </row>
    <row r="88" spans="1:6" s="875" customFormat="1" ht="36">
      <c r="A88" s="879">
        <v>28</v>
      </c>
      <c r="B88" s="3254"/>
      <c r="C88" s="815" t="s">
        <v>670</v>
      </c>
      <c r="D88" s="815" t="s">
        <v>671</v>
      </c>
      <c r="E88" s="892">
        <v>0.2</v>
      </c>
      <c r="F88" s="879">
        <v>30</v>
      </c>
    </row>
    <row r="89" spans="1:6" s="875" customFormat="1" ht="24">
      <c r="A89" s="879">
        <v>29</v>
      </c>
      <c r="B89" s="3254"/>
      <c r="C89" s="815" t="s">
        <v>672</v>
      </c>
      <c r="D89" s="815" t="s">
        <v>673</v>
      </c>
      <c r="E89" s="892">
        <v>0.2</v>
      </c>
      <c r="F89" s="879">
        <v>30</v>
      </c>
    </row>
    <row r="90" spans="1:6" s="875" customFormat="1" ht="24">
      <c r="A90" s="879">
        <v>30</v>
      </c>
      <c r="B90" s="3254"/>
      <c r="C90" s="815" t="s">
        <v>674</v>
      </c>
      <c r="D90" s="815" t="s">
        <v>675</v>
      </c>
      <c r="E90" s="892">
        <v>0.2</v>
      </c>
      <c r="F90" s="879">
        <v>30</v>
      </c>
    </row>
    <row r="91" spans="1:6" s="875" customFormat="1" ht="36">
      <c r="A91" s="879">
        <v>31</v>
      </c>
      <c r="B91" s="3254"/>
      <c r="C91" s="815" t="s">
        <v>676</v>
      </c>
      <c r="D91" s="815" t="s">
        <v>677</v>
      </c>
      <c r="E91" s="892">
        <v>0.2</v>
      </c>
      <c r="F91" s="879">
        <v>30</v>
      </c>
    </row>
    <row r="92" spans="1:6" s="875" customFormat="1" ht="24">
      <c r="A92" s="879">
        <v>32</v>
      </c>
      <c r="B92" s="3254" t="s">
        <v>678</v>
      </c>
      <c r="C92" s="879" t="s">
        <v>679</v>
      </c>
      <c r="D92" s="815" t="s">
        <v>680</v>
      </c>
      <c r="E92" s="892">
        <v>0.2</v>
      </c>
      <c r="F92" s="879">
        <v>30</v>
      </c>
    </row>
    <row r="93" spans="1:6" s="875" customFormat="1" ht="36">
      <c r="A93" s="879">
        <v>33</v>
      </c>
      <c r="B93" s="3254"/>
      <c r="C93" s="879" t="s">
        <v>681</v>
      </c>
      <c r="D93" s="815" t="s">
        <v>682</v>
      </c>
      <c r="E93" s="892">
        <v>0.2</v>
      </c>
      <c r="F93" s="879">
        <v>30</v>
      </c>
    </row>
    <row r="94" spans="1:6" s="875" customFormat="1" ht="48">
      <c r="A94" s="879">
        <v>34</v>
      </c>
      <c r="B94" s="3254"/>
      <c r="C94" s="879" t="s">
        <v>683</v>
      </c>
      <c r="D94" s="815" t="s">
        <v>684</v>
      </c>
      <c r="E94" s="892">
        <v>0.2</v>
      </c>
      <c r="F94" s="879">
        <v>30</v>
      </c>
    </row>
    <row r="95" spans="1:6" s="875" customFormat="1" ht="36">
      <c r="A95" s="879">
        <v>35</v>
      </c>
      <c r="B95" s="3254"/>
      <c r="C95" s="879" t="s">
        <v>685</v>
      </c>
      <c r="D95" s="815" t="s">
        <v>686</v>
      </c>
      <c r="E95" s="892">
        <v>0.2</v>
      </c>
      <c r="F95" s="879">
        <v>30</v>
      </c>
    </row>
    <row r="96" spans="1:6" s="875" customFormat="1" ht="48">
      <c r="A96" s="879">
        <v>36</v>
      </c>
      <c r="B96" s="3254"/>
      <c r="C96" s="815" t="s">
        <v>687</v>
      </c>
      <c r="D96" s="815" t="s">
        <v>688</v>
      </c>
      <c r="E96" s="892">
        <v>0.2</v>
      </c>
      <c r="F96" s="879">
        <v>30</v>
      </c>
    </row>
    <row r="97" spans="1:6" s="875" customFormat="1" ht="36">
      <c r="A97" s="879">
        <v>37</v>
      </c>
      <c r="B97" s="3254"/>
      <c r="C97" s="879" t="s">
        <v>689</v>
      </c>
      <c r="D97" s="815" t="s">
        <v>690</v>
      </c>
      <c r="E97" s="892">
        <v>0.2</v>
      </c>
      <c r="F97" s="879">
        <v>30</v>
      </c>
    </row>
    <row r="98" spans="1:6" s="875" customFormat="1" ht="36">
      <c r="A98" s="879">
        <v>38</v>
      </c>
      <c r="B98" s="3254"/>
      <c r="C98" s="879" t="s">
        <v>691</v>
      </c>
      <c r="D98" s="815" t="s">
        <v>692</v>
      </c>
      <c r="E98" s="892">
        <v>0.2</v>
      </c>
      <c r="F98" s="879">
        <v>30</v>
      </c>
    </row>
    <row r="99" spans="1:6" s="875" customFormat="1" ht="36">
      <c r="A99" s="879">
        <v>39</v>
      </c>
      <c r="B99" s="3254" t="s">
        <v>693</v>
      </c>
      <c r="C99" s="879" t="s">
        <v>694</v>
      </c>
      <c r="D99" s="815" t="s">
        <v>695</v>
      </c>
      <c r="E99" s="892">
        <v>0.3</v>
      </c>
      <c r="F99" s="879">
        <v>50</v>
      </c>
    </row>
    <row r="100" spans="1:6" s="875" customFormat="1" ht="24">
      <c r="A100" s="879">
        <v>40</v>
      </c>
      <c r="B100" s="3254"/>
      <c r="C100" s="879" t="s">
        <v>696</v>
      </c>
      <c r="D100" s="815" t="s">
        <v>697</v>
      </c>
      <c r="E100" s="892">
        <v>0.2</v>
      </c>
      <c r="F100" s="879">
        <v>30</v>
      </c>
    </row>
    <row r="101" spans="1:6" s="875" customFormat="1" ht="36">
      <c r="A101" s="879">
        <v>41</v>
      </c>
      <c r="B101" s="325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54" t="s">
        <v>708</v>
      </c>
      <c r="C105" s="879" t="s">
        <v>709</v>
      </c>
      <c r="D105" s="815" t="s">
        <v>710</v>
      </c>
      <c r="E105" s="892">
        <v>0.2</v>
      </c>
      <c r="F105" s="879">
        <v>30</v>
      </c>
    </row>
    <row r="106" spans="1:6" s="875" customFormat="1" ht="36">
      <c r="A106" s="879">
        <v>46</v>
      </c>
      <c r="B106" s="3254"/>
      <c r="C106" s="879" t="s">
        <v>711</v>
      </c>
      <c r="D106" s="815" t="s">
        <v>712</v>
      </c>
      <c r="E106" s="892">
        <v>0.2</v>
      </c>
      <c r="F106" s="879">
        <v>30</v>
      </c>
    </row>
    <row r="107" spans="1:6" s="875" customFormat="1" ht="36">
      <c r="A107" s="879">
        <v>47</v>
      </c>
      <c r="B107" s="3254" t="s">
        <v>713</v>
      </c>
      <c r="C107" s="879" t="s">
        <v>714</v>
      </c>
      <c r="D107" s="815" t="s">
        <v>715</v>
      </c>
      <c r="E107" s="892">
        <v>0.3</v>
      </c>
      <c r="F107" s="879">
        <v>50</v>
      </c>
    </row>
    <row r="108" spans="1:6" s="875" customFormat="1" ht="36">
      <c r="A108" s="879">
        <v>48</v>
      </c>
      <c r="B108" s="325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54" t="s">
        <v>724</v>
      </c>
      <c r="C111" s="879" t="s">
        <v>725</v>
      </c>
      <c r="D111" s="815" t="s">
        <v>726</v>
      </c>
      <c r="E111" s="892">
        <v>0.2</v>
      </c>
      <c r="F111" s="879">
        <v>30</v>
      </c>
    </row>
    <row r="112" spans="1:6" s="875" customFormat="1" ht="24">
      <c r="A112" s="879">
        <v>52</v>
      </c>
      <c r="B112" s="3254"/>
      <c r="C112" s="879" t="s">
        <v>727</v>
      </c>
      <c r="D112" s="815" t="s">
        <v>728</v>
      </c>
      <c r="E112" s="892">
        <v>0.2</v>
      </c>
      <c r="F112" s="879">
        <v>30</v>
      </c>
    </row>
    <row r="113" spans="1:6" s="875" customFormat="1" ht="24">
      <c r="A113" s="879">
        <v>53</v>
      </c>
      <c r="B113" s="325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54" t="s">
        <v>737</v>
      </c>
      <c r="C116" s="879" t="s">
        <v>738</v>
      </c>
      <c r="D116" s="815" t="s">
        <v>739</v>
      </c>
      <c r="E116" s="892">
        <v>0.2</v>
      </c>
      <c r="F116" s="879">
        <v>30</v>
      </c>
    </row>
    <row r="117" spans="1:6" ht="36">
      <c r="A117" s="879">
        <v>57</v>
      </c>
      <c r="B117" s="325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1.0271999999999999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1"/>
      <c r="B4" s="2952" t="s">
        <v>1631</v>
      </c>
      <c r="C4" s="2952"/>
      <c r="D4" s="2952"/>
      <c r="E4" s="1961"/>
    </row>
    <row r="5" spans="1:5" ht="16.5" thickTop="1">
      <c r="A5" s="1959"/>
      <c r="B5" s="2950" t="s">
        <v>1623</v>
      </c>
      <c r="C5" s="1962" t="s">
        <v>1624</v>
      </c>
      <c r="D5" s="1039">
        <f ca="1">结果表!H101</f>
        <v>44104</v>
      </c>
      <c r="E5" s="1959"/>
    </row>
    <row r="6" spans="1:5" ht="15.75">
      <c r="A6" s="1959"/>
      <c r="B6" s="2950"/>
      <c r="C6" s="1962" t="s">
        <v>1625</v>
      </c>
      <c r="D6" s="1039" t="str">
        <f ca="1">NUMBERSTRING(INT(D5*10000),2)&amp;"元整"</f>
        <v>肆亿肆仟壹佰零肆万元整</v>
      </c>
      <c r="E6" s="1959"/>
    </row>
    <row r="7" spans="1:5" ht="15.75">
      <c r="A7" s="1959"/>
      <c r="B7" s="2955"/>
      <c r="C7" s="1963" t="s">
        <v>1626</v>
      </c>
      <c r="D7" s="1040">
        <f ca="1">结果表!H102</f>
        <v>10093</v>
      </c>
      <c r="E7" s="1959"/>
    </row>
    <row r="8" spans="1:5" ht="15.75">
      <c r="A8" s="1959"/>
      <c r="B8" s="2956" t="str">
        <f>结果表!E103</f>
        <v>2.估价师知悉的法定优先受偿款</v>
      </c>
      <c r="C8" s="1964" t="s">
        <v>1627</v>
      </c>
      <c r="D8" s="1040">
        <f>结果表!H103</f>
        <v>0</v>
      </c>
      <c r="E8" s="1959"/>
    </row>
    <row r="9" spans="1:5" ht="15.75">
      <c r="A9" s="1959"/>
      <c r="B9" s="2958"/>
      <c r="C9" s="1962" t="s">
        <v>1625</v>
      </c>
      <c r="D9" s="1039" t="str">
        <f>NUMBERSTRING(INT(D8*10000),2)&amp;"元整"</f>
        <v>零元整</v>
      </c>
      <c r="E9" s="1959"/>
    </row>
    <row r="10" spans="1:5" ht="15">
      <c r="A10" s="1959"/>
      <c r="B10" s="1965" t="s">
        <v>1630</v>
      </c>
      <c r="C10" s="1966" t="s">
        <v>1628</v>
      </c>
      <c r="D10" s="1041">
        <f>结果表!H104</f>
        <v>0</v>
      </c>
      <c r="E10" s="1959"/>
    </row>
    <row r="11" spans="1:5" ht="15">
      <c r="A11" s="1959"/>
      <c r="B11" s="1965" t="s">
        <v>1632</v>
      </c>
      <c r="C11" s="1966" t="s">
        <v>1633</v>
      </c>
      <c r="D11" s="1041">
        <f>结果表!H105</f>
        <v>0</v>
      </c>
      <c r="E11" s="1959"/>
    </row>
    <row r="12" spans="1:5" ht="15">
      <c r="A12" s="1959"/>
      <c r="B12" s="1965" t="s">
        <v>1634</v>
      </c>
      <c r="C12" s="1966" t="s">
        <v>1633</v>
      </c>
      <c r="D12" s="1041">
        <f>结果表!H106</f>
        <v>0</v>
      </c>
      <c r="E12" s="1959"/>
    </row>
    <row r="13" spans="1:5" ht="15.75">
      <c r="A13" s="1959"/>
      <c r="B13" s="2949" t="str">
        <f>结果表!E107</f>
        <v>3.房地产抵押价值</v>
      </c>
      <c r="C13" s="1967" t="s">
        <v>1624</v>
      </c>
      <c r="D13" s="1042">
        <f ca="1">结果表!H107</f>
        <v>44104</v>
      </c>
      <c r="E13" s="1959"/>
    </row>
    <row r="14" spans="1:5" ht="15.75">
      <c r="A14" s="1959"/>
      <c r="B14" s="2950"/>
      <c r="C14" s="1962" t="s">
        <v>1625</v>
      </c>
      <c r="D14" s="1039" t="str">
        <f ca="1">NUMBERSTRING(INT(D13*10000),2)&amp;"元整"</f>
        <v>肆亿肆仟壹佰零肆万元整</v>
      </c>
      <c r="E14" s="1959"/>
    </row>
    <row r="15" spans="1:5" ht="15">
      <c r="A15" s="1959"/>
      <c r="B15" s="2955"/>
      <c r="C15" s="1963" t="s">
        <v>1635</v>
      </c>
      <c r="D15" s="1051">
        <f ca="1">结果表!H108</f>
        <v>10093</v>
      </c>
      <c r="E15" s="1959"/>
    </row>
    <row r="16" spans="1:5" ht="15">
      <c r="A16" s="1959"/>
      <c r="B16" s="2956" t="str">
        <f>结果表!E109</f>
        <v>——</v>
      </c>
      <c r="C16" s="1967" t="s">
        <v>1636</v>
      </c>
      <c r="D16" s="1968" t="str">
        <f>结果表!H109</f>
        <v>——</v>
      </c>
      <c r="E16" s="1959"/>
    </row>
    <row r="17" spans="1:5" ht="15.75">
      <c r="A17" s="1959"/>
      <c r="B17" s="2957"/>
      <c r="C17" s="1962" t="s">
        <v>1637</v>
      </c>
      <c r="D17" s="1039" t="e">
        <f>NUMBERSTRING(INT(D16*10000),2)&amp;"元整"</f>
        <v>#VALUE!</v>
      </c>
      <c r="E17" s="1959"/>
    </row>
    <row r="18" spans="1:5" ht="15">
      <c r="A18" s="1959"/>
      <c r="B18" s="2958"/>
      <c r="C18" s="1963" t="s">
        <v>1626</v>
      </c>
      <c r="D18" s="1051" t="str">
        <f>结果表!H110</f>
        <v>——</v>
      </c>
      <c r="E18" s="1959"/>
    </row>
    <row r="19" spans="1:5" ht="15.75">
      <c r="A19" s="1959"/>
      <c r="B19" s="2949" t="str">
        <f>结果表!E111</f>
        <v>——</v>
      </c>
      <c r="C19" s="1967" t="s">
        <v>1624</v>
      </c>
      <c r="D19" s="1040" t="str">
        <f>结果表!H111</f>
        <v>——</v>
      </c>
      <c r="E19" s="1959"/>
    </row>
    <row r="20" spans="1:5" ht="15.75">
      <c r="A20" s="1959"/>
      <c r="B20" s="2950"/>
      <c r="C20" s="1962" t="s">
        <v>1637</v>
      </c>
      <c r="D20" s="1039" t="e">
        <f>NUMBERSTRING(INT(D19*10000),2)&amp;"元整"</f>
        <v>#VALUE!</v>
      </c>
      <c r="E20" s="1959"/>
    </row>
    <row r="21" spans="1:5" ht="15.75" thickBot="1">
      <c r="A21" s="1959"/>
      <c r="B21" s="2951"/>
      <c r="C21" s="1969" t="s">
        <v>1635</v>
      </c>
      <c r="D21" s="1052"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3006</v>
      </c>
    </row>
    <row r="2" spans="1:5" ht="15.75">
      <c r="A2" s="2911" t="s">
        <v>2998</v>
      </c>
      <c r="B2" s="2912">
        <f ca="1">SUMIF(B6:B13,"&lt;&gt;#ref!",B6:B13)</f>
        <v>47236</v>
      </c>
      <c r="C2" s="2911" t="s">
        <v>2999</v>
      </c>
      <c r="D2" s="2911" t="s">
        <v>3000</v>
      </c>
      <c r="E2" s="2912" t="e">
        <f ca="1">SUM(E6:E13)</f>
        <v>#REF!</v>
      </c>
    </row>
    <row r="3" spans="1:5" ht="15.75">
      <c r="A3" s="2911" t="s">
        <v>3001</v>
      </c>
      <c r="B3" s="2912" t="e">
        <f ca="1">ROUND(B2*10000/E2,0)</f>
        <v>#REF!</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f ca="1">SUMIF(INDIRECT("'"&amp;A6&amp;"'"&amp;"!A:A"),"总价",INDIRECT("'"&amp;A6&amp;"'"&amp;"!B:B"))</f>
        <v>47236</v>
      </c>
      <c r="C6" s="2911" t="s">
        <v>2999</v>
      </c>
      <c r="D6" s="2913"/>
      <c r="E6" s="2576">
        <f ca="1">SUMIF(INDIRECT("'"&amp;A6&amp;"'"&amp;"!C:C"),"建筑面积",INDIRECT("'"&amp;A6&amp;"'"&amp;"!D:D"))</f>
        <v>87392.500000000015</v>
      </c>
    </row>
    <row r="7" spans="1:5" ht="15.75">
      <c r="A7" s="2916"/>
      <c r="B7" s="2912" t="e">
        <f ca="1">SUMIF(INDIRECT("'"&amp;A7&amp;"'"&amp;"!A:A"),"总价",INDIRECT("'"&amp;A7&amp;"'"&amp;"!B:B"))</f>
        <v>#REF!</v>
      </c>
      <c r="C7" s="2911" t="s">
        <v>2999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6" t="e">
        <f t="shared" ca="1" si="0"/>
        <v>#REF!</v>
      </c>
    </row>
    <row r="9" spans="1:5" ht="15.75">
      <c r="A9" s="2916"/>
      <c r="B9" s="2912" t="e">
        <f t="shared" ca="1" si="1"/>
        <v>#REF!</v>
      </c>
      <c r="C9" s="2911" t="s">
        <v>2999</v>
      </c>
      <c r="D9" s="2913"/>
      <c r="E9" s="2576" t="e">
        <f t="shared" ca="1" si="0"/>
        <v>#REF!</v>
      </c>
    </row>
    <row r="10" spans="1:5" ht="15.75">
      <c r="A10" s="2916"/>
      <c r="B10" s="2912" t="e">
        <f t="shared" ca="1" si="1"/>
        <v>#REF!</v>
      </c>
      <c r="C10" s="2911" t="s">
        <v>2999</v>
      </c>
      <c r="D10" s="2913"/>
      <c r="E10" s="2576" t="e">
        <f t="shared" ca="1" si="0"/>
        <v>#REF!</v>
      </c>
    </row>
    <row r="11" spans="1:5" ht="15.75">
      <c r="A11" s="2916"/>
      <c r="B11" s="2912" t="e">
        <f t="shared" ca="1" si="1"/>
        <v>#REF!</v>
      </c>
      <c r="C11" s="2911" t="s">
        <v>2999</v>
      </c>
      <c r="D11" s="2913"/>
      <c r="E11" s="2576" t="e">
        <f t="shared" ca="1" si="0"/>
        <v>#REF!</v>
      </c>
    </row>
    <row r="12" spans="1:5" ht="15.75">
      <c r="A12" s="2916"/>
      <c r="B12" s="2912" t="e">
        <f t="shared" ca="1" si="1"/>
        <v>#REF!</v>
      </c>
      <c r="C12" s="2911" t="s">
        <v>2999</v>
      </c>
      <c r="D12" s="2913"/>
      <c r="E12" s="2576" t="e">
        <f t="shared" ca="1" si="0"/>
        <v>#REF!</v>
      </c>
    </row>
    <row r="13" spans="1:5" ht="15.75">
      <c r="A13" s="2916"/>
      <c r="B13" s="2912" t="e">
        <f t="shared" ca="1" si="1"/>
        <v>#REF!</v>
      </c>
      <c r="C13" s="2911" t="s">
        <v>2999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60" t="s">
        <v>1150</v>
      </c>
      <c r="C1" s="3260"/>
      <c r="D1" s="3260"/>
      <c r="E1" s="3260"/>
      <c r="F1" s="3260"/>
      <c r="G1" s="3256" t="s">
        <v>1151</v>
      </c>
      <c r="H1" s="3256"/>
      <c r="I1" s="3256"/>
      <c r="J1" s="3256"/>
      <c r="K1" s="3256"/>
      <c r="L1" s="3256"/>
      <c r="N1" s="3256" t="s">
        <v>1152</v>
      </c>
      <c r="O1" s="3256"/>
      <c r="P1" s="3256"/>
      <c r="Q1" s="3256"/>
      <c r="R1" s="1445"/>
      <c r="S1" s="3256" t="s">
        <v>1153</v>
      </c>
      <c r="T1" s="3256"/>
      <c r="U1" s="3256"/>
      <c r="V1" s="3256"/>
      <c r="X1" s="3255" t="s">
        <v>1154</v>
      </c>
      <c r="Y1" s="3256"/>
      <c r="Z1" s="3256"/>
      <c r="AA1" s="3256"/>
      <c r="AB1" s="3256"/>
      <c r="AD1" s="3255" t="s">
        <v>1155</v>
      </c>
      <c r="AE1" s="3256"/>
      <c r="AF1" s="3256"/>
      <c r="AG1" s="3256"/>
      <c r="AH1" s="3256"/>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5"/>
      <c r="J3" s="2925"/>
      <c r="K3" s="2925"/>
      <c r="L3" s="2925"/>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3043</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5">
        <f>ROUND(AVERAGE(I5:I20),2)</f>
        <v>2.4900000000000002</v>
      </c>
      <c r="J4" s="2925">
        <f t="shared" ref="J4:L4" si="7">ROUND(AVERAGE(J5:J20),2)</f>
        <v>1.64</v>
      </c>
      <c r="K4" s="2925">
        <f t="shared" si="7"/>
        <v>2.78</v>
      </c>
      <c r="L4" s="2925">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3041</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2">
        <v>2017</v>
      </c>
      <c r="H5" s="1730">
        <v>4</v>
      </c>
      <c r="I5" s="2926">
        <f>ROUND(AVERAGE(I6:I20),2)</f>
        <v>2.4900000000000002</v>
      </c>
      <c r="J5" s="2926">
        <f>ROUND(AVERAGE(J6:J20),2)</f>
        <v>1.64</v>
      </c>
      <c r="K5" s="2926">
        <f>ROUND(AVERAGE(K6:K20),2)</f>
        <v>2.78</v>
      </c>
      <c r="L5" s="2926">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3042</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4"/>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3"/>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4"/>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261">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58"/>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58"/>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59"/>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57">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58"/>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58"/>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59"/>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57">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58"/>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58"/>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59"/>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3262">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63"/>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63"/>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64"/>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57">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58"/>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58"/>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59"/>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57">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58">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58">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59">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57">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58">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58">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59">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57">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58">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58">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59">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57">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58">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58">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59">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57">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58">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58">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59">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57">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58">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58">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59">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57">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58">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58">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59">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57">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58">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58">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59">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5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58">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58">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5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5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58">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58">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59">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3" t="s">
        <v>3008</v>
      </c>
      <c r="C1" s="3266" t="s">
        <v>3009</v>
      </c>
      <c r="D1" s="3267"/>
      <c r="E1" s="3267"/>
      <c r="F1" s="3267"/>
      <c r="G1" s="3267"/>
      <c r="H1" s="3267"/>
      <c r="I1" s="3267"/>
      <c r="J1" s="3267"/>
      <c r="K1" s="3267"/>
      <c r="L1" s="3267"/>
      <c r="M1" s="3267"/>
      <c r="N1" s="3267"/>
      <c r="O1" s="3267"/>
      <c r="P1" s="3267"/>
      <c r="Q1" s="3267"/>
      <c r="R1" s="3267"/>
      <c r="S1" s="3268"/>
      <c r="T1" s="1203" t="s">
        <v>3010</v>
      </c>
    </row>
    <row r="2" spans="1:45" s="707" customFormat="1">
      <c r="A2" s="1204"/>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4"/>
      <c r="B5" s="1769" t="s">
        <v>3012</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4"/>
      <c r="B7" s="1770" t="s">
        <v>3013</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4"/>
      <c r="B9" s="1770" t="s">
        <v>3014</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4"/>
      <c r="B11" s="1769" t="s">
        <v>3015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4"/>
      <c r="B13" s="1769" t="s">
        <v>3016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4"/>
      <c r="B15" s="1769" t="s">
        <v>3017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7"/>
      <c r="B19" s="168"/>
      <c r="C19" s="168"/>
      <c r="D19" s="2919" t="s">
        <v>3020</v>
      </c>
      <c r="E19" s="1792"/>
      <c r="F19" s="1792"/>
      <c r="G19" s="1792"/>
      <c r="H19" s="1279"/>
      <c r="I19" s="168"/>
      <c r="J19" s="168"/>
      <c r="K19" s="168"/>
      <c r="L19" s="168"/>
      <c r="M19" s="168"/>
      <c r="N19" s="168"/>
      <c r="O19" s="168"/>
      <c r="P19" s="168"/>
      <c r="Q19" s="168"/>
      <c r="R19" s="788"/>
      <c r="S19" s="137"/>
    </row>
    <row r="20" spans="1:45" ht="16.5" thickBot="1">
      <c r="A20" s="715" t="s">
        <v>3021</v>
      </c>
      <c r="B20" s="338" t="e">
        <f ca="1">IF(D20="——",S22,S22-F20)</f>
        <v>#REF!</v>
      </c>
      <c r="C20" s="168"/>
      <c r="D20" s="2920" t="s">
        <v>3022</v>
      </c>
      <c r="E20" s="1793"/>
      <c r="F20" s="1203" t="e">
        <f ca="1">SUMIF(INDIRECT("'"&amp;H20&amp;"'"&amp;"!A:A"),"承租人权益价值",INDIRECT("'"&amp;H20&amp;"'"&amp;"!c:c"))</f>
        <v>#REF!</v>
      </c>
      <c r="G20" s="1203" t="s">
        <v>3023</v>
      </c>
      <c r="H20" s="2921"/>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049" t="s">
        <v>33</v>
      </c>
      <c r="D22" s="3050"/>
      <c r="E22" s="3050"/>
      <c r="F22" s="3050"/>
      <c r="G22" s="3050"/>
      <c r="H22" s="3050"/>
      <c r="I22" s="3050"/>
      <c r="J22" s="3050"/>
      <c r="K22" s="3050"/>
      <c r="L22" s="3050"/>
      <c r="M22" s="3050"/>
      <c r="N22" s="3050"/>
      <c r="O22" s="3050"/>
      <c r="P22" s="3050"/>
      <c r="Q22" s="326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8"/>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8"/>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8"/>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8"/>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8"/>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8"/>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8"/>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8"/>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8"/>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8"/>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8"/>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8"/>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8"/>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8"/>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8"/>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8"/>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8"/>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8"/>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8"/>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8"/>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8"/>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8"/>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8"/>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8"/>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8"/>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8"/>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8"/>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8"/>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8"/>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8"/>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8"/>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8"/>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8"/>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8"/>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8"/>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8"/>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8"/>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8"/>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8"/>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8"/>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8"/>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8"/>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8"/>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8"/>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8"/>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8"/>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8"/>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8"/>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8"/>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8"/>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8"/>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8"/>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8"/>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8"/>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8"/>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8"/>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8"/>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8"/>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8"/>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8"/>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8"/>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8"/>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8"/>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8"/>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8"/>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8"/>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8"/>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8"/>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8"/>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8"/>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8"/>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8"/>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8"/>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8"/>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8"/>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8"/>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8"/>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8"/>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8"/>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8"/>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8"/>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8"/>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8"/>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8"/>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8"/>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8"/>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8"/>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8"/>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8"/>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8"/>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8"/>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8"/>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8"/>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8"/>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8"/>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8"/>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8"/>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8"/>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8"/>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8"/>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8"/>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8"/>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8"/>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8"/>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8"/>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8"/>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8"/>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8"/>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8"/>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8"/>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8"/>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8"/>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8"/>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8"/>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8"/>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8"/>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8"/>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8"/>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8"/>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8"/>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8"/>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8"/>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8"/>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8"/>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8"/>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8"/>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8"/>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8"/>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8"/>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8"/>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8"/>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8"/>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8"/>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8"/>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8"/>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8"/>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8"/>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8"/>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8"/>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8"/>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8"/>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8"/>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8"/>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8"/>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8"/>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8"/>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8"/>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8"/>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8"/>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8"/>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8"/>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8"/>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8"/>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8"/>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8"/>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8"/>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8"/>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8"/>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8"/>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8"/>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8"/>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8"/>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8"/>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8"/>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8"/>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8"/>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8"/>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8"/>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8"/>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8"/>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8"/>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8"/>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8"/>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8"/>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8"/>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8"/>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8"/>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8"/>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8"/>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8"/>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8"/>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8"/>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8"/>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8"/>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8"/>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8"/>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8"/>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8"/>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8"/>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8"/>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8"/>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8"/>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8"/>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8"/>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8"/>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8"/>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8"/>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8"/>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8"/>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8"/>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8"/>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8"/>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8"/>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8"/>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8"/>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8"/>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8"/>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8"/>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8"/>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8"/>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8"/>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8"/>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8"/>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8"/>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8"/>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8"/>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8"/>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8"/>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8"/>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8"/>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8"/>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8"/>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8"/>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8"/>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8"/>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8"/>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8"/>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8"/>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8"/>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8"/>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8"/>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8"/>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8"/>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8"/>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8"/>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8"/>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8"/>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8"/>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8"/>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8"/>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8"/>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8"/>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8"/>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8"/>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8"/>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8"/>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8"/>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8"/>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8"/>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8"/>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8"/>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8"/>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8"/>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8"/>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8"/>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8"/>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8"/>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8"/>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8"/>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8"/>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8"/>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8"/>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8"/>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8"/>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8"/>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8"/>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8"/>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8"/>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8"/>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8"/>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8"/>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8"/>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8"/>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8"/>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8"/>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8"/>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8"/>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8"/>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8"/>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8"/>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8"/>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8"/>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8"/>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8"/>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8"/>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8"/>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8"/>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8"/>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8"/>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8"/>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8"/>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8"/>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8"/>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8"/>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8"/>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8"/>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8"/>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8"/>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8"/>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8"/>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8"/>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8"/>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8"/>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8"/>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8"/>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8"/>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8"/>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8"/>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8"/>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8"/>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8"/>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8"/>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8"/>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8"/>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8"/>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8"/>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8"/>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8"/>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8"/>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8"/>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8"/>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8"/>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8"/>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8"/>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8"/>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8"/>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8"/>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8"/>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8"/>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8"/>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8"/>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8"/>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8"/>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8"/>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8"/>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8"/>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8"/>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8"/>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8"/>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8"/>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8"/>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8"/>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8"/>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8"/>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8"/>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8"/>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8"/>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8"/>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8"/>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8"/>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8"/>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8"/>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8"/>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8"/>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8"/>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8"/>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8"/>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8"/>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8"/>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8"/>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8"/>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8"/>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8"/>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8"/>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8"/>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8"/>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8"/>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8"/>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8"/>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8"/>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8"/>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8"/>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8"/>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8"/>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8"/>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8"/>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8"/>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8"/>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8"/>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8"/>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8"/>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8"/>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8"/>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8"/>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8"/>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8"/>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8"/>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8"/>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8"/>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8"/>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8"/>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8"/>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8"/>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8"/>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8"/>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8"/>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8"/>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8"/>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8"/>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8"/>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8"/>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8"/>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8"/>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8"/>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8"/>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8"/>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8"/>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8"/>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8"/>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8"/>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8"/>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8"/>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8"/>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8"/>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8"/>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8"/>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8"/>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8"/>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8"/>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8"/>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8"/>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8"/>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8"/>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8"/>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8"/>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8"/>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8"/>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8"/>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8"/>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8"/>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8"/>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8"/>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47945</v>
      </c>
      <c r="C2" s="2" t="s">
        <v>133</v>
      </c>
      <c r="D2" s="243"/>
      <c r="E2" s="243"/>
      <c r="F2" s="243"/>
      <c r="G2" s="243"/>
    </row>
    <row r="3" spans="1:7" s="244" customFormat="1" ht="18" customHeight="1" thickBot="1">
      <c r="A3" s="247" t="s">
        <v>85</v>
      </c>
      <c r="B3" s="248">
        <f ca="1">ROUND(B2*10000/'数据-汇总表'!E3,0)</f>
        <v>10972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874</v>
      </c>
      <c r="D10" s="1031">
        <f>'数据-汇总表'!E6</f>
        <v>43696.250000000007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874</v>
      </c>
      <c r="D19" s="1035">
        <f>'数据-汇总表'!E3</f>
        <v>43696.250000000007</v>
      </c>
      <c r="E19" s="255">
        <f>'数据-取费表'!B31</f>
        <v>200</v>
      </c>
      <c r="F19" s="275"/>
      <c r="G19" s="1" t="s">
        <v>1074</v>
      </c>
    </row>
    <row r="20" spans="1:7" s="258" customFormat="1" ht="13.5" customHeight="1">
      <c r="A20" s="947" t="s">
        <v>1057</v>
      </c>
      <c r="B20" s="254" t="s">
        <v>104</v>
      </c>
      <c r="C20" s="276">
        <f>ROUND((C5+C19)*F20,0)</f>
        <v>430</v>
      </c>
      <c r="D20" s="276"/>
      <c r="E20" s="276"/>
      <c r="F20" s="277">
        <f>'数据-取费表'!B37</f>
        <v>0.02</v>
      </c>
      <c r="G20" s="1288" t="s">
        <v>1068</v>
      </c>
    </row>
    <row r="21" spans="1:7" s="258" customFormat="1" ht="13.5" customHeight="1">
      <c r="A21" s="947" t="s">
        <v>1059</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2109</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85</v>
      </c>
      <c r="D24" s="282"/>
      <c r="E24" s="282"/>
      <c r="F24" s="283"/>
      <c r="G24" s="284" t="s">
        <v>109</v>
      </c>
    </row>
    <row r="25" spans="1:7" s="258" customFormat="1" ht="24">
      <c r="A25" s="950" t="s">
        <v>793</v>
      </c>
      <c r="B25" s="259" t="s">
        <v>1058</v>
      </c>
      <c r="C25" s="1354">
        <f ca="1">ROUND(IF('数据-取费表'!B22&lt;=1,C20*F22*'数据-取费表'!B23/2,C20*(POWER((1+F22),'数据-取费表'!B23/2)-1)),0)</f>
        <v>20</v>
      </c>
      <c r="D25" s="282"/>
      <c r="E25" s="285"/>
      <c r="F25" s="283"/>
      <c r="G25" s="286" t="s">
        <v>110</v>
      </c>
    </row>
    <row r="26" spans="1:7" s="258" customFormat="1">
      <c r="A26" s="950" t="s">
        <v>795</v>
      </c>
      <c r="B26" s="259" t="s">
        <v>1060</v>
      </c>
      <c r="C26" s="282">
        <f ca="1">ROUND(IF('数据-取费表'!B22&lt;=1,F21*F22*'数据-取费表'!B23/2,F21*(POWER((1+F22),'数据-取费表'!B23/2)-1)),4)</f>
        <v>1E-3</v>
      </c>
      <c r="D26" s="282"/>
      <c r="E26" s="285"/>
      <c r="F26" s="283"/>
      <c r="G26" s="287"/>
    </row>
    <row r="27" spans="1:7" s="258" customFormat="1" ht="24.75">
      <c r="A27" s="947" t="s">
        <v>787</v>
      </c>
      <c r="B27" s="288" t="s">
        <v>112</v>
      </c>
      <c r="C27" s="289">
        <f>C28</f>
        <v>5479</v>
      </c>
      <c r="D27" s="279">
        <f>C29</f>
        <v>5.0000000000000001E-3</v>
      </c>
      <c r="E27" s="280" t="s">
        <v>126</v>
      </c>
      <c r="F27" s="290">
        <f>'数据-取费表'!Q16</f>
        <v>0.25</v>
      </c>
      <c r="G27" s="291" t="s">
        <v>1069</v>
      </c>
    </row>
    <row r="28" spans="1:7" s="258" customFormat="1" ht="13.5" customHeight="1">
      <c r="A28" s="950" t="s">
        <v>794</v>
      </c>
      <c r="B28" s="292" t="s">
        <v>1062</v>
      </c>
      <c r="C28" s="293">
        <f>ROUND((C5+C19+C20)*F27*'数据-取费表'!B21/'数据-取费表'!B20,0)</f>
        <v>5479</v>
      </c>
      <c r="D28" s="279"/>
      <c r="E28" s="280"/>
      <c r="F28" s="290"/>
      <c r="G28" s="291"/>
    </row>
    <row r="29" spans="1:7" s="258" customFormat="1" ht="13.5" customHeight="1">
      <c r="A29" s="950" t="s">
        <v>792</v>
      </c>
      <c r="B29" s="292" t="s">
        <v>1063</v>
      </c>
      <c r="C29" s="282">
        <f>ROUND(C21*F27*'数据-取费表'!B21/'数据-取费表'!B20,4)</f>
        <v>5.0000000000000001E-3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12290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10924</v>
      </c>
      <c r="D34" s="261"/>
      <c r="E34" s="264"/>
      <c r="F34" s="301">
        <f>IF('数据-取费表'!B24=0,1,'数据-取费表'!N16)</f>
        <v>1</v>
      </c>
      <c r="G34" s="263" t="s">
        <v>116</v>
      </c>
    </row>
    <row r="35" spans="1:7" ht="13.5" customHeight="1">
      <c r="A35" s="950" t="s">
        <v>796</v>
      </c>
      <c r="B35" s="259" t="s">
        <v>60</v>
      </c>
      <c r="C35" s="264">
        <f>ROUND(C34*F35,0)</f>
        <v>328</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874</v>
      </c>
      <c r="D37" s="261">
        <f>'数据-汇总表'!E3</f>
        <v>43696.250000000007</v>
      </c>
      <c r="E37" s="293">
        <f>'数据-取费表'!B35</f>
        <v>200</v>
      </c>
      <c r="F37" s="303"/>
      <c r="G37" s="305" t="s">
        <v>119</v>
      </c>
    </row>
    <row r="38" spans="1:7" ht="13.5" customHeight="1">
      <c r="A38" s="950" t="s">
        <v>799</v>
      </c>
      <c r="B38" s="259" t="s">
        <v>63</v>
      </c>
      <c r="C38" s="264">
        <f>ROUND(C34*F38,0)</f>
        <v>164</v>
      </c>
      <c r="D38" s="264"/>
      <c r="E38" s="264"/>
      <c r="F38" s="303">
        <f>'数据-取费表'!B36</f>
        <v>1.4999999999999999E-2</v>
      </c>
      <c r="G38" s="263" t="s">
        <v>117</v>
      </c>
    </row>
    <row r="39" spans="1:7" s="258" customFormat="1" ht="13.5" customHeight="1">
      <c r="A39" s="947" t="s">
        <v>783</v>
      </c>
      <c r="B39" s="254" t="s">
        <v>104</v>
      </c>
      <c r="C39" s="276">
        <f>ROUND(C33*F20,0)</f>
        <v>246</v>
      </c>
      <c r="D39" s="276"/>
      <c r="E39" s="276"/>
      <c r="F39" s="277"/>
      <c r="G39" s="1288" t="s">
        <v>1071</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596</v>
      </c>
      <c r="D41" s="279">
        <f ca="1">C44</f>
        <v>1E-3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584</v>
      </c>
      <c r="D42" s="282"/>
      <c r="E42" s="282"/>
      <c r="F42" s="283"/>
      <c r="G42" s="3134" t="s">
        <v>121</v>
      </c>
    </row>
    <row r="43" spans="1:7" ht="13.5" customHeight="1">
      <c r="A43" s="950" t="s">
        <v>792</v>
      </c>
      <c r="B43" s="259" t="s">
        <v>1064</v>
      </c>
      <c r="C43" s="282">
        <f ca="1">ROUND(IF('数据-取费表'!B22&lt;=1,C39*F22*'数据-取费表'!B21/2,C39*(POWER((1+F22),'数据-取费表'!B21/2)-1)),0)</f>
        <v>12</v>
      </c>
      <c r="D43" s="282"/>
      <c r="E43" s="282"/>
      <c r="F43" s="283"/>
      <c r="G43" s="3135"/>
    </row>
    <row r="44" spans="1:7" ht="13.5" customHeight="1">
      <c r="A44" s="950" t="s">
        <v>793</v>
      </c>
      <c r="B44" s="259" t="s">
        <v>1066</v>
      </c>
      <c r="C44" s="282">
        <f ca="1">ROUND(IF('数据-取费表'!B22&lt;=1,C40*F22*'数据-取费表'!B21/2,C40*(POWER((1+F22),'数据-取费表'!B21/2)-1)),4)</f>
        <v>1E-3</v>
      </c>
      <c r="D44" s="282"/>
      <c r="E44" s="282"/>
      <c r="F44" s="283"/>
      <c r="G44" s="3136"/>
    </row>
    <row r="45" spans="1:7" s="258" customFormat="1" ht="13.5" customHeight="1">
      <c r="A45" s="947" t="s">
        <v>786</v>
      </c>
      <c r="B45" s="288" t="s">
        <v>112</v>
      </c>
      <c r="C45" s="289">
        <f>C46</f>
        <v>3134</v>
      </c>
      <c r="D45" s="279">
        <f>C47</f>
        <v>5.0000000000000001E-3</v>
      </c>
      <c r="E45" s="280" t="s">
        <v>129</v>
      </c>
      <c r="F45" s="290"/>
      <c r="G45" s="291" t="s">
        <v>1072</v>
      </c>
    </row>
    <row r="46" spans="1:7" s="258" customFormat="1" ht="13.5" customHeight="1">
      <c r="A46" s="950" t="s">
        <v>794</v>
      </c>
      <c r="B46" s="292" t="s">
        <v>1065</v>
      </c>
      <c r="C46" s="293">
        <f>ROUND((C33+C39)*F27,0)</f>
        <v>3134</v>
      </c>
      <c r="D46" s="307"/>
      <c r="E46" s="280"/>
      <c r="F46" s="290"/>
      <c r="G46" s="291"/>
    </row>
    <row r="47" spans="1:7" s="258" customFormat="1" ht="13.5" customHeight="1">
      <c r="A47" s="950" t="s">
        <v>792</v>
      </c>
      <c r="B47" s="292" t="s">
        <v>1067</v>
      </c>
      <c r="C47" s="282">
        <f>ROUND(C40*F27,4)</f>
        <v>5.0000000000000001E-3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17668</v>
      </c>
      <c r="D49" s="276"/>
      <c r="E49" s="276"/>
      <c r="F49" s="308"/>
      <c r="G49" s="278" t="s">
        <v>1073</v>
      </c>
    </row>
    <row r="50" spans="1:7" s="302" customFormat="1" ht="24">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15901</v>
      </c>
      <c r="D51" s="276"/>
      <c r="E51" s="276"/>
      <c r="F51" s="308"/>
      <c r="G51" s="278" t="s">
        <v>64</v>
      </c>
    </row>
    <row r="52" spans="1:7" s="252" customFormat="1" ht="16.5" thickBot="1">
      <c r="A52" s="309" t="s">
        <v>65</v>
      </c>
      <c r="B52" s="310"/>
      <c r="C52" s="311">
        <f ca="1">C31+C51</f>
        <v>47945</v>
      </c>
      <c r="D52" s="310"/>
      <c r="E52" s="310"/>
      <c r="F52" s="310"/>
      <c r="G52" s="312"/>
    </row>
    <row r="55" spans="1:7" ht="15">
      <c r="B55" s="314" t="s">
        <v>66</v>
      </c>
      <c r="C55" s="315"/>
    </row>
    <row r="56" spans="1:7">
      <c r="B56" s="317" t="s">
        <v>67</v>
      </c>
      <c r="C56" s="318">
        <f ca="1">ROUND(C51/C52,3)</f>
        <v>0.33200000000000002</v>
      </c>
    </row>
    <row r="57" spans="1:7">
      <c r="B57" s="317" t="s">
        <v>68</v>
      </c>
      <c r="C57" s="319">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69" t="s">
        <v>156</v>
      </c>
      <c r="B1" s="3269"/>
      <c r="C1" s="3269"/>
      <c r="D1" s="3269"/>
      <c r="E1" s="3269"/>
      <c r="F1" s="326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70" t="s">
        <v>169</v>
      </c>
      <c r="B2" s="3270"/>
      <c r="C2" s="3270"/>
      <c r="D2" s="3270"/>
      <c r="E2" s="3270"/>
      <c r="F2" s="327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7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7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69" t="s">
        <v>871</v>
      </c>
      <c r="B1" s="3269"/>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7" t="s">
        <v>878</v>
      </c>
      <c r="B5" s="838" t="s">
        <v>879</v>
      </c>
      <c r="C5" s="1061">
        <v>8.8999999999999996E-2</v>
      </c>
      <c r="D5" s="1061">
        <v>7.3999999999999996E-2</v>
      </c>
      <c r="E5" s="1061">
        <v>7.4999999999999997E-2</v>
      </c>
      <c r="F5" s="1062">
        <v>0.1</v>
      </c>
    </row>
    <row r="6" spans="1:6" ht="14.25" thickBot="1">
      <c r="A6" s="837" t="s">
        <v>212</v>
      </c>
      <c r="B6" s="831" t="s">
        <v>880</v>
      </c>
      <c r="C6" s="1063">
        <v>0.1</v>
      </c>
      <c r="D6" s="1063">
        <v>9.0999999999999998E-2</v>
      </c>
      <c r="E6" s="1063">
        <v>9.0999999999999998E-2</v>
      </c>
      <c r="F6" s="1064">
        <v>0.1</v>
      </c>
    </row>
    <row r="7" spans="1:6" ht="14.25" thickBot="1">
      <c r="A7" s="837" t="s">
        <v>212</v>
      </c>
      <c r="B7" s="841" t="s">
        <v>201</v>
      </c>
      <c r="C7" s="1063">
        <v>8.5999999999999993E-2</v>
      </c>
      <c r="D7" s="1063">
        <v>9.6000000000000002E-2</v>
      </c>
      <c r="E7" s="1063">
        <v>7.5999999999999998E-2</v>
      </c>
      <c r="F7" s="1064">
        <v>0.1</v>
      </c>
    </row>
    <row r="8" spans="1:6" ht="14.25" thickBot="1">
      <c r="A8" s="837" t="s">
        <v>212</v>
      </c>
      <c r="B8" s="831" t="s">
        <v>213</v>
      </c>
      <c r="C8" s="1063">
        <v>9.9000000000000005E-2</v>
      </c>
      <c r="D8" s="1063">
        <v>9.8000000000000004E-2</v>
      </c>
      <c r="E8" s="1063">
        <v>9.8000000000000004E-2</v>
      </c>
      <c r="F8" s="1064">
        <v>0.1</v>
      </c>
    </row>
    <row r="9" spans="1:6" ht="14.25" thickBot="1">
      <c r="A9" s="847" t="s">
        <v>212</v>
      </c>
      <c r="B9" s="842" t="s">
        <v>225</v>
      </c>
      <c r="C9" s="1065">
        <v>0.05</v>
      </c>
      <c r="D9" s="1073"/>
      <c r="E9" s="1073"/>
      <c r="F9" s="1074"/>
    </row>
    <row r="10" spans="1:6" ht="14.25" thickBot="1">
      <c r="A10" s="837" t="s">
        <v>269</v>
      </c>
      <c r="B10" s="838" t="s">
        <v>881</v>
      </c>
      <c r="C10" s="1061">
        <v>8.8999999999999996E-2</v>
      </c>
      <c r="D10" s="1061">
        <v>7.2999999999999995E-2</v>
      </c>
      <c r="E10" s="1061">
        <v>8.2000000000000003E-2</v>
      </c>
      <c r="F10" s="1062">
        <v>0.1</v>
      </c>
    </row>
    <row r="11" spans="1:6" ht="14.25" thickBot="1">
      <c r="A11" s="837" t="s">
        <v>269</v>
      </c>
      <c r="B11" s="841" t="s">
        <v>188</v>
      </c>
      <c r="C11" s="1063">
        <v>8.8999999999999996E-2</v>
      </c>
      <c r="D11" s="1063">
        <v>7.2999999999999995E-2</v>
      </c>
      <c r="E11" s="1063">
        <v>8.2000000000000003E-2</v>
      </c>
      <c r="F11" s="1064">
        <v>0.1</v>
      </c>
    </row>
    <row r="12" spans="1:6" ht="14.25" thickBot="1">
      <c r="A12" s="837" t="s">
        <v>269</v>
      </c>
      <c r="B12" s="841" t="s">
        <v>138</v>
      </c>
      <c r="C12" s="1063">
        <v>6.0999999999999999E-2</v>
      </c>
      <c r="D12" s="1063">
        <v>7.0999999999999994E-2</v>
      </c>
      <c r="E12" s="1063">
        <v>9.6000000000000002E-2</v>
      </c>
      <c r="F12" s="1064">
        <v>0.1</v>
      </c>
    </row>
    <row r="13" spans="1:6" ht="14.25" thickBot="1">
      <c r="A13" s="837" t="s">
        <v>269</v>
      </c>
      <c r="B13" s="841" t="s">
        <v>214</v>
      </c>
      <c r="C13" s="1063">
        <v>6.9000000000000006E-2</v>
      </c>
      <c r="D13" s="1063">
        <v>6.5000000000000002E-2</v>
      </c>
      <c r="E13" s="1063">
        <v>6.6000000000000003E-2</v>
      </c>
      <c r="F13" s="1064">
        <v>0.1</v>
      </c>
    </row>
    <row r="14" spans="1:6" ht="14.25" thickBot="1">
      <c r="A14" s="837" t="s">
        <v>269</v>
      </c>
      <c r="B14" s="841" t="s">
        <v>226</v>
      </c>
      <c r="C14" s="1063">
        <v>0.1</v>
      </c>
      <c r="D14" s="1063">
        <v>6.5000000000000002E-2</v>
      </c>
      <c r="E14" s="1063">
        <v>7.0000000000000007E-2</v>
      </c>
      <c r="F14" s="1064">
        <v>0.1</v>
      </c>
    </row>
    <row r="15" spans="1:6" ht="14.25" thickBot="1">
      <c r="A15" s="837" t="s">
        <v>269</v>
      </c>
      <c r="B15" s="841" t="s">
        <v>237</v>
      </c>
      <c r="C15" s="1063">
        <v>9.8000000000000004E-2</v>
      </c>
      <c r="D15" s="1063">
        <v>8.8999999999999996E-2</v>
      </c>
      <c r="E15" s="1063">
        <v>8.8999999999999996E-2</v>
      </c>
      <c r="F15" s="1064">
        <v>0.1</v>
      </c>
    </row>
    <row r="16" spans="1:6" ht="14.25" thickBot="1">
      <c r="A16" s="837" t="s">
        <v>269</v>
      </c>
      <c r="B16" s="841" t="s">
        <v>248</v>
      </c>
      <c r="C16" s="1063">
        <v>7.0000000000000007E-2</v>
      </c>
      <c r="D16" s="1063">
        <v>9.2999999999999999E-2</v>
      </c>
      <c r="E16" s="1063">
        <v>9.6000000000000002E-2</v>
      </c>
      <c r="F16" s="1064">
        <v>0.1</v>
      </c>
    </row>
    <row r="17" spans="1:6" ht="14.25" thickBot="1">
      <c r="A17" s="837" t="s">
        <v>269</v>
      </c>
      <c r="B17" s="841" t="s">
        <v>259</v>
      </c>
      <c r="C17" s="1063">
        <v>9.5000000000000001E-2</v>
      </c>
      <c r="D17" s="1063">
        <v>0.1</v>
      </c>
      <c r="E17" s="1063">
        <v>0.1</v>
      </c>
      <c r="F17" s="1075"/>
    </row>
    <row r="18" spans="1:6" ht="14.25" thickBot="1">
      <c r="A18" s="837" t="s">
        <v>269</v>
      </c>
      <c r="B18" s="841" t="s">
        <v>271</v>
      </c>
      <c r="C18" s="1063">
        <v>7.3999999999999996E-2</v>
      </c>
      <c r="D18" s="1063">
        <v>9.9000000000000005E-2</v>
      </c>
      <c r="E18" s="1063">
        <v>0.1</v>
      </c>
      <c r="F18" s="1075"/>
    </row>
    <row r="19" spans="1:6" ht="14.25" thickBot="1">
      <c r="A19" s="837" t="s">
        <v>269</v>
      </c>
      <c r="B19" s="841" t="s">
        <v>281</v>
      </c>
      <c r="C19" s="1063">
        <v>9.9000000000000005E-2</v>
      </c>
      <c r="D19" s="1063">
        <v>7.5999999999999998E-2</v>
      </c>
      <c r="E19" s="1063">
        <v>8.6999999999999994E-2</v>
      </c>
      <c r="F19" s="1075"/>
    </row>
    <row r="20" spans="1:6" ht="14.25" thickBot="1">
      <c r="A20" s="837" t="s">
        <v>269</v>
      </c>
      <c r="B20" s="841" t="s">
        <v>291</v>
      </c>
      <c r="C20" s="1063">
        <v>9.8000000000000004E-2</v>
      </c>
      <c r="D20" s="1063">
        <v>8.5000000000000006E-2</v>
      </c>
      <c r="E20" s="1063">
        <v>8.2000000000000003E-2</v>
      </c>
      <c r="F20" s="1075"/>
    </row>
    <row r="21" spans="1:6" ht="14.25" thickBot="1">
      <c r="A21" s="837" t="s">
        <v>269</v>
      </c>
      <c r="B21" s="841" t="s">
        <v>301</v>
      </c>
      <c r="C21" s="1063">
        <v>6.6000000000000003E-2</v>
      </c>
      <c r="D21" s="1063">
        <v>6.4000000000000001E-2</v>
      </c>
      <c r="E21" s="1063">
        <v>6.5000000000000002E-2</v>
      </c>
      <c r="F21" s="1075"/>
    </row>
    <row r="22" spans="1:6" ht="14.25" thickBot="1">
      <c r="A22" s="837" t="s">
        <v>269</v>
      </c>
      <c r="B22" s="841" t="s">
        <v>882</v>
      </c>
      <c r="C22" s="1063">
        <v>0.08</v>
      </c>
      <c r="D22" s="1063">
        <v>9.8000000000000004E-2</v>
      </c>
      <c r="E22" s="1063">
        <v>9.8000000000000004E-2</v>
      </c>
      <c r="F22" s="1075"/>
    </row>
    <row r="23" spans="1:6" ht="14.25" thickBot="1">
      <c r="A23" s="837" t="s">
        <v>269</v>
      </c>
      <c r="B23" s="841" t="s">
        <v>322</v>
      </c>
      <c r="C23" s="1063">
        <v>9.9000000000000005E-2</v>
      </c>
      <c r="D23" s="1063">
        <v>9.8000000000000004E-2</v>
      </c>
      <c r="E23" s="1063">
        <v>9.0999999999999998E-2</v>
      </c>
      <c r="F23" s="1075"/>
    </row>
    <row r="24" spans="1:6" ht="14.25" thickBot="1">
      <c r="A24" s="837" t="s">
        <v>269</v>
      </c>
      <c r="B24" s="841" t="s">
        <v>333</v>
      </c>
      <c r="C24" s="1063">
        <v>8.8999999999999996E-2</v>
      </c>
      <c r="D24" s="1063">
        <v>9.7000000000000003E-2</v>
      </c>
      <c r="E24" s="1063">
        <v>7.0000000000000007E-2</v>
      </c>
      <c r="F24" s="1075"/>
    </row>
    <row r="25" spans="1:6" ht="14.25" thickBot="1">
      <c r="A25" s="837" t="s">
        <v>269</v>
      </c>
      <c r="B25" s="841" t="s">
        <v>343</v>
      </c>
      <c r="C25" s="1063">
        <v>8.8999999999999996E-2</v>
      </c>
      <c r="D25" s="1063">
        <v>0.1</v>
      </c>
      <c r="E25" s="1063">
        <v>8.1000000000000003E-2</v>
      </c>
      <c r="F25" s="1075"/>
    </row>
    <row r="26" spans="1:6" ht="14.25" thickBot="1">
      <c r="A26" s="837" t="s">
        <v>269</v>
      </c>
      <c r="B26" s="841" t="s">
        <v>353</v>
      </c>
      <c r="C26" s="1076"/>
      <c r="D26" s="1063">
        <v>9.6000000000000002E-2</v>
      </c>
      <c r="E26" s="1063">
        <v>9.2999999999999999E-2</v>
      </c>
      <c r="F26" s="1075"/>
    </row>
    <row r="27" spans="1:6" ht="14.25" thickBot="1">
      <c r="A27" s="837" t="s">
        <v>269</v>
      </c>
      <c r="B27" s="841" t="s">
        <v>363</v>
      </c>
      <c r="C27" s="1076"/>
      <c r="D27" s="1063">
        <v>7.5999999999999998E-2</v>
      </c>
      <c r="E27" s="1063">
        <v>9.1999999999999998E-2</v>
      </c>
      <c r="F27" s="1075"/>
    </row>
    <row r="28" spans="1:6" ht="14.25" thickBot="1">
      <c r="A28" s="847" t="s">
        <v>269</v>
      </c>
      <c r="B28" s="842" t="s">
        <v>373</v>
      </c>
      <c r="C28" s="1073"/>
      <c r="D28" s="1065">
        <v>7.5999999999999998E-2</v>
      </c>
      <c r="E28" s="1065">
        <v>9.1999999999999998E-2</v>
      </c>
      <c r="F28" s="1074"/>
    </row>
    <row r="29" spans="1:6" ht="14.25" thickBot="1">
      <c r="A29" s="837" t="s">
        <v>442</v>
      </c>
      <c r="B29" s="838" t="s">
        <v>883</v>
      </c>
      <c r="C29" s="1061">
        <v>6.4000000000000001E-2</v>
      </c>
      <c r="D29" s="1061">
        <v>6.5000000000000002E-2</v>
      </c>
      <c r="E29" s="1061">
        <v>6.9000000000000006E-2</v>
      </c>
      <c r="F29" s="1062">
        <v>0.1</v>
      </c>
    </row>
    <row r="30" spans="1:6" ht="14.25" thickBot="1">
      <c r="A30" s="837" t="s">
        <v>442</v>
      </c>
      <c r="B30" s="841" t="s">
        <v>189</v>
      </c>
      <c r="C30" s="1063">
        <v>6.4000000000000001E-2</v>
      </c>
      <c r="D30" s="1063">
        <v>9.9000000000000005E-2</v>
      </c>
      <c r="E30" s="1063">
        <v>0.1</v>
      </c>
      <c r="F30" s="1064">
        <v>0.1</v>
      </c>
    </row>
    <row r="31" spans="1:6" ht="14.25" thickBot="1">
      <c r="A31" s="837" t="s">
        <v>442</v>
      </c>
      <c r="B31" s="841" t="s">
        <v>202</v>
      </c>
      <c r="C31" s="1063">
        <v>0.1</v>
      </c>
      <c r="D31" s="1063">
        <v>9.5000000000000001E-2</v>
      </c>
      <c r="E31" s="1063">
        <v>8.8999999999999996E-2</v>
      </c>
      <c r="F31" s="1064">
        <v>0.1</v>
      </c>
    </row>
    <row r="32" spans="1:6" ht="14.25" thickBot="1">
      <c r="A32" s="837" t="s">
        <v>442</v>
      </c>
      <c r="B32" s="841" t="s">
        <v>215</v>
      </c>
      <c r="C32" s="1063">
        <v>0.05</v>
      </c>
      <c r="D32" s="1063">
        <v>0.05</v>
      </c>
      <c r="E32" s="1063">
        <v>8.7999999999999995E-2</v>
      </c>
      <c r="F32" s="1064">
        <v>0.1</v>
      </c>
    </row>
    <row r="33" spans="1:6" ht="14.25" thickBot="1">
      <c r="A33" s="837" t="s">
        <v>442</v>
      </c>
      <c r="B33" s="841" t="s">
        <v>227</v>
      </c>
      <c r="C33" s="1063">
        <v>7.4999999999999997E-2</v>
      </c>
      <c r="D33" s="1063">
        <v>9.4E-2</v>
      </c>
      <c r="E33" s="1063">
        <v>9.7000000000000003E-2</v>
      </c>
      <c r="F33" s="1064">
        <v>0.1</v>
      </c>
    </row>
    <row r="34" spans="1:6" ht="14.25" thickBot="1">
      <c r="A34" s="837" t="s">
        <v>442</v>
      </c>
      <c r="B34" s="841" t="s">
        <v>238</v>
      </c>
      <c r="C34" s="1063">
        <v>9.8000000000000004E-2</v>
      </c>
      <c r="D34" s="1063">
        <v>8.5999999999999993E-2</v>
      </c>
      <c r="E34" s="1063">
        <v>9.7000000000000003E-2</v>
      </c>
      <c r="F34" s="1064">
        <v>0.1</v>
      </c>
    </row>
    <row r="35" spans="1:6" ht="14.25" thickBot="1">
      <c r="A35" s="837" t="s">
        <v>442</v>
      </c>
      <c r="B35" s="841" t="s">
        <v>249</v>
      </c>
      <c r="C35" s="1063">
        <v>5.8999999999999997E-2</v>
      </c>
      <c r="D35" s="1063">
        <v>6.5000000000000002E-2</v>
      </c>
      <c r="E35" s="1063">
        <v>7.0000000000000007E-2</v>
      </c>
      <c r="F35" s="1064">
        <v>0.1</v>
      </c>
    </row>
    <row r="36" spans="1:6" ht="14.25" thickBot="1">
      <c r="A36" s="837" t="s">
        <v>442</v>
      </c>
      <c r="B36" s="841" t="s">
        <v>260</v>
      </c>
      <c r="C36" s="1063">
        <v>6.3E-2</v>
      </c>
      <c r="D36" s="1063">
        <v>0.1</v>
      </c>
      <c r="E36" s="1063">
        <v>0.1</v>
      </c>
      <c r="F36" s="1064">
        <v>0.1</v>
      </c>
    </row>
    <row r="37" spans="1:6" ht="14.25" thickBot="1">
      <c r="A37" s="837" t="s">
        <v>442</v>
      </c>
      <c r="B37" s="841" t="s">
        <v>272</v>
      </c>
      <c r="C37" s="1063">
        <v>7.3999999999999996E-2</v>
      </c>
      <c r="D37" s="1063">
        <v>0.1</v>
      </c>
      <c r="E37" s="1063">
        <v>0.1</v>
      </c>
      <c r="F37" s="1064">
        <v>0.1</v>
      </c>
    </row>
    <row r="38" spans="1:6" ht="14.25" thickBot="1">
      <c r="A38" s="837" t="s">
        <v>442</v>
      </c>
      <c r="B38" s="841" t="s">
        <v>282</v>
      </c>
      <c r="C38" s="1063">
        <v>0.1</v>
      </c>
      <c r="D38" s="1063">
        <v>9.6000000000000002E-2</v>
      </c>
      <c r="E38" s="1063">
        <v>9.6000000000000002E-2</v>
      </c>
      <c r="F38" s="1075"/>
    </row>
    <row r="39" spans="1:6" ht="14.25" thickBot="1">
      <c r="A39" s="837" t="s">
        <v>442</v>
      </c>
      <c r="B39" s="841" t="s">
        <v>292</v>
      </c>
      <c r="C39" s="1063">
        <v>0.1</v>
      </c>
      <c r="D39" s="1063">
        <v>9.6000000000000002E-2</v>
      </c>
      <c r="E39" s="1063">
        <v>9.6000000000000002E-2</v>
      </c>
      <c r="F39" s="1075"/>
    </row>
    <row r="40" spans="1:6" ht="14.25" thickBot="1">
      <c r="A40" s="837" t="s">
        <v>442</v>
      </c>
      <c r="B40" s="841" t="s">
        <v>302</v>
      </c>
      <c r="C40" s="1063">
        <v>9.6000000000000002E-2</v>
      </c>
      <c r="D40" s="1063">
        <v>0.1</v>
      </c>
      <c r="E40" s="1063">
        <v>9.9000000000000005E-2</v>
      </c>
      <c r="F40" s="1075"/>
    </row>
    <row r="41" spans="1:6" ht="14.25" thickBot="1">
      <c r="A41" s="837" t="s">
        <v>442</v>
      </c>
      <c r="B41" s="841" t="s">
        <v>312</v>
      </c>
      <c r="C41" s="1063">
        <v>9.6000000000000002E-2</v>
      </c>
      <c r="D41" s="1063">
        <v>9.8000000000000004E-2</v>
      </c>
      <c r="E41" s="1063">
        <v>9.8000000000000004E-2</v>
      </c>
      <c r="F41" s="1075"/>
    </row>
    <row r="42" spans="1:6" ht="14.25" thickBot="1">
      <c r="A42" s="837" t="s">
        <v>442</v>
      </c>
      <c r="B42" s="841" t="s">
        <v>323</v>
      </c>
      <c r="C42" s="1063">
        <v>0.1</v>
      </c>
      <c r="D42" s="1063">
        <v>8.7999999999999995E-2</v>
      </c>
      <c r="E42" s="1063">
        <v>0.1</v>
      </c>
      <c r="F42" s="1075"/>
    </row>
    <row r="43" spans="1:6" ht="14.25" thickBot="1">
      <c r="A43" s="837" t="s">
        <v>442</v>
      </c>
      <c r="B43" s="841" t="s">
        <v>334</v>
      </c>
      <c r="C43" s="1063">
        <v>9.8000000000000004E-2</v>
      </c>
      <c r="D43" s="1063">
        <v>9.7000000000000003E-2</v>
      </c>
      <c r="E43" s="1063">
        <v>9.6000000000000002E-2</v>
      </c>
      <c r="F43" s="1075"/>
    </row>
    <row r="44" spans="1:6" ht="14.25" thickBot="1">
      <c r="A44" s="837" t="s">
        <v>442</v>
      </c>
      <c r="B44" s="841" t="s">
        <v>344</v>
      </c>
      <c r="C44" s="1063">
        <v>8.5999999999999993E-2</v>
      </c>
      <c r="D44" s="1063">
        <v>7.9000000000000001E-2</v>
      </c>
      <c r="E44" s="1063">
        <v>7.0999999999999994E-2</v>
      </c>
      <c r="F44" s="1075"/>
    </row>
    <row r="45" spans="1:6" ht="14.25" thickBot="1">
      <c r="A45" s="837" t="s">
        <v>442</v>
      </c>
      <c r="B45" s="841" t="s">
        <v>354</v>
      </c>
      <c r="C45" s="1063">
        <v>9.8000000000000004E-2</v>
      </c>
      <c r="D45" s="1063">
        <v>9.6000000000000002E-2</v>
      </c>
      <c r="E45" s="1063">
        <v>9.6000000000000002E-2</v>
      </c>
      <c r="F45" s="1075"/>
    </row>
    <row r="46" spans="1:6" ht="14.25" thickBot="1">
      <c r="A46" s="837" t="s">
        <v>442</v>
      </c>
      <c r="B46" s="841" t="s">
        <v>364</v>
      </c>
      <c r="C46" s="1063">
        <v>8.5999999999999993E-2</v>
      </c>
      <c r="D46" s="1063">
        <v>9.8000000000000004E-2</v>
      </c>
      <c r="E46" s="1063">
        <v>8.7999999999999995E-2</v>
      </c>
      <c r="F46" s="1075"/>
    </row>
    <row r="47" spans="1:6" ht="14.25" thickBot="1">
      <c r="A47" s="837" t="s">
        <v>442</v>
      </c>
      <c r="B47" s="841" t="s">
        <v>374</v>
      </c>
      <c r="C47" s="1063">
        <v>9.6000000000000002E-2</v>
      </c>
      <c r="D47" s="1076"/>
      <c r="E47" s="1063">
        <v>6.9000000000000006E-2</v>
      </c>
      <c r="F47" s="1075"/>
    </row>
    <row r="48" spans="1:6" ht="14.25" thickBot="1">
      <c r="A48" s="847" t="s">
        <v>442</v>
      </c>
      <c r="B48" s="842" t="s">
        <v>383</v>
      </c>
      <c r="C48" s="1065">
        <v>9.8000000000000004E-2</v>
      </c>
      <c r="D48" s="1073"/>
      <c r="E48" s="1065">
        <v>9.5000000000000001E-2</v>
      </c>
      <c r="F48" s="1074"/>
    </row>
    <row r="49" spans="1:6" ht="14.25" thickBot="1">
      <c r="A49" s="837" t="s">
        <v>137</v>
      </c>
      <c r="B49" s="838" t="s">
        <v>884</v>
      </c>
      <c r="C49" s="1061">
        <v>9.7000000000000003E-2</v>
      </c>
      <c r="D49" s="1061">
        <v>9.5000000000000001E-2</v>
      </c>
      <c r="E49" s="1061">
        <v>9.7000000000000003E-2</v>
      </c>
      <c r="F49" s="1062">
        <v>0.1</v>
      </c>
    </row>
    <row r="50" spans="1:6" ht="14.25" thickBot="1">
      <c r="A50" s="837" t="s">
        <v>137</v>
      </c>
      <c r="B50" s="831" t="s">
        <v>190</v>
      </c>
      <c r="C50" s="1063">
        <v>7.4999999999999997E-2</v>
      </c>
      <c r="D50" s="1063">
        <v>9.5000000000000001E-2</v>
      </c>
      <c r="E50" s="1063">
        <v>0.1</v>
      </c>
      <c r="F50" s="1064">
        <v>0.1</v>
      </c>
    </row>
    <row r="51" spans="1:6" ht="14.25" thickBot="1">
      <c r="A51" s="837" t="s">
        <v>137</v>
      </c>
      <c r="B51" s="831" t="s">
        <v>203</v>
      </c>
      <c r="C51" s="1063">
        <v>9.8000000000000004E-2</v>
      </c>
      <c r="D51" s="1063">
        <v>8.8999999999999996E-2</v>
      </c>
      <c r="E51" s="1063">
        <v>0.1</v>
      </c>
      <c r="F51" s="1064">
        <v>0.1</v>
      </c>
    </row>
    <row r="52" spans="1:6" ht="14.25" thickBot="1">
      <c r="A52" s="837" t="s">
        <v>137</v>
      </c>
      <c r="B52" s="831" t="s">
        <v>216</v>
      </c>
      <c r="C52" s="1063">
        <v>9.8000000000000004E-2</v>
      </c>
      <c r="D52" s="1063">
        <v>9.7000000000000003E-2</v>
      </c>
      <c r="E52" s="1063">
        <v>8.1000000000000003E-2</v>
      </c>
      <c r="F52" s="1064">
        <v>0.1</v>
      </c>
    </row>
    <row r="53" spans="1:6" ht="14.25" thickBot="1">
      <c r="A53" s="837" t="s">
        <v>137</v>
      </c>
      <c r="B53" s="831" t="s">
        <v>228</v>
      </c>
      <c r="C53" s="1063">
        <v>9.7000000000000003E-2</v>
      </c>
      <c r="D53" s="1063">
        <v>7.5999999999999998E-2</v>
      </c>
      <c r="E53" s="1063">
        <v>7.0999999999999994E-2</v>
      </c>
      <c r="F53" s="1064">
        <v>0.1</v>
      </c>
    </row>
    <row r="54" spans="1:6" ht="14.25" thickBot="1">
      <c r="A54" s="837" t="s">
        <v>137</v>
      </c>
      <c r="B54" s="831" t="s">
        <v>239</v>
      </c>
      <c r="C54" s="1063">
        <v>7.5999999999999998E-2</v>
      </c>
      <c r="D54" s="1063">
        <v>0.1</v>
      </c>
      <c r="E54" s="1063">
        <v>9.9000000000000005E-2</v>
      </c>
      <c r="F54" s="1064">
        <v>0.1</v>
      </c>
    </row>
    <row r="55" spans="1:6" ht="14.25" thickBot="1">
      <c r="A55" s="837" t="s">
        <v>137</v>
      </c>
      <c r="B55" s="831" t="s">
        <v>250</v>
      </c>
      <c r="C55" s="1063">
        <v>0.1</v>
      </c>
      <c r="D55" s="1063">
        <v>0.1</v>
      </c>
      <c r="E55" s="1063">
        <v>9.6000000000000002E-2</v>
      </c>
      <c r="F55" s="1064">
        <v>0.1</v>
      </c>
    </row>
    <row r="56" spans="1:6" ht="14.25" thickBot="1">
      <c r="A56" s="837" t="s">
        <v>137</v>
      </c>
      <c r="B56" s="831" t="s">
        <v>261</v>
      </c>
      <c r="C56" s="1063">
        <v>0.1</v>
      </c>
      <c r="D56" s="1063">
        <v>9.6000000000000002E-2</v>
      </c>
      <c r="E56" s="1063">
        <v>5.1999999999999998E-2</v>
      </c>
      <c r="F56" s="1064">
        <v>0.1</v>
      </c>
    </row>
    <row r="57" spans="1:6" ht="14.25" thickBot="1">
      <c r="A57" s="837" t="s">
        <v>137</v>
      </c>
      <c r="B57" s="831" t="s">
        <v>273</v>
      </c>
      <c r="C57" s="1063">
        <v>9.7000000000000003E-2</v>
      </c>
      <c r="D57" s="1063">
        <v>9.6000000000000002E-2</v>
      </c>
      <c r="E57" s="1063">
        <v>9.6000000000000002E-2</v>
      </c>
      <c r="F57" s="1064">
        <v>0.1</v>
      </c>
    </row>
    <row r="58" spans="1:6" ht="14.25" thickBot="1">
      <c r="A58" s="837" t="s">
        <v>137</v>
      </c>
      <c r="B58" s="831" t="s">
        <v>283</v>
      </c>
      <c r="C58" s="1063">
        <v>9.6000000000000002E-2</v>
      </c>
      <c r="D58" s="1063">
        <v>9.9000000000000005E-2</v>
      </c>
      <c r="E58" s="1063">
        <v>9.6000000000000002E-2</v>
      </c>
      <c r="F58" s="1064">
        <v>0.1</v>
      </c>
    </row>
    <row r="59" spans="1:6" ht="14.25" thickBot="1">
      <c r="A59" s="837" t="s">
        <v>137</v>
      </c>
      <c r="B59" s="831" t="s">
        <v>293</v>
      </c>
      <c r="C59" s="1063">
        <v>7.1999999999999995E-2</v>
      </c>
      <c r="D59" s="1063">
        <v>9.6000000000000002E-2</v>
      </c>
      <c r="E59" s="1063">
        <v>7.0999999999999994E-2</v>
      </c>
      <c r="F59" s="1064">
        <v>0.1</v>
      </c>
    </row>
    <row r="60" spans="1:6" ht="14.25" thickBot="1">
      <c r="A60" s="837" t="s">
        <v>137</v>
      </c>
      <c r="B60" s="831" t="s">
        <v>303</v>
      </c>
      <c r="C60" s="1063">
        <v>9.6000000000000002E-2</v>
      </c>
      <c r="D60" s="1063">
        <v>8.8999999999999996E-2</v>
      </c>
      <c r="E60" s="1063">
        <v>9.6000000000000002E-2</v>
      </c>
      <c r="F60" s="1064">
        <v>0.1</v>
      </c>
    </row>
    <row r="61" spans="1:6" ht="14.25" thickBot="1">
      <c r="A61" s="837" t="s">
        <v>137</v>
      </c>
      <c r="B61" s="831" t="s">
        <v>313</v>
      </c>
      <c r="C61" s="1063">
        <v>8.8999999999999996E-2</v>
      </c>
      <c r="D61" s="1063">
        <v>9.8000000000000004E-2</v>
      </c>
      <c r="E61" s="1063">
        <v>8.7999999999999995E-2</v>
      </c>
      <c r="F61" s="1075"/>
    </row>
    <row r="62" spans="1:6" ht="14.25" thickBot="1">
      <c r="A62" s="837" t="s">
        <v>137</v>
      </c>
      <c r="B62" s="831" t="s">
        <v>324</v>
      </c>
      <c r="C62" s="1063">
        <v>9.8000000000000004E-2</v>
      </c>
      <c r="D62" s="1063">
        <v>9.2999999999999999E-2</v>
      </c>
      <c r="E62" s="1063">
        <v>9.7000000000000003E-2</v>
      </c>
      <c r="F62" s="1075"/>
    </row>
    <row r="63" spans="1:6" ht="14.25" thickBot="1">
      <c r="A63" s="837" t="s">
        <v>137</v>
      </c>
      <c r="B63" s="831" t="s">
        <v>335</v>
      </c>
      <c r="C63" s="1063">
        <v>9.6000000000000002E-2</v>
      </c>
      <c r="D63" s="1063">
        <v>9.8000000000000004E-2</v>
      </c>
      <c r="E63" s="1063">
        <v>0.09</v>
      </c>
      <c r="F63" s="1075"/>
    </row>
    <row r="64" spans="1:6" ht="14.25" thickBot="1">
      <c r="A64" s="837" t="s">
        <v>137</v>
      </c>
      <c r="B64" s="831" t="s">
        <v>345</v>
      </c>
      <c r="C64" s="1063">
        <v>9.9000000000000005E-2</v>
      </c>
      <c r="D64" s="1063">
        <v>9.7000000000000003E-2</v>
      </c>
      <c r="E64" s="1063">
        <v>9.9000000000000005E-2</v>
      </c>
      <c r="F64" s="1075"/>
    </row>
    <row r="65" spans="1:6" ht="14.25" thickBot="1">
      <c r="A65" s="837" t="s">
        <v>137</v>
      </c>
      <c r="B65" s="831" t="s">
        <v>355</v>
      </c>
      <c r="C65" s="1063">
        <v>9.8000000000000004E-2</v>
      </c>
      <c r="D65" s="1063">
        <v>9.6000000000000002E-2</v>
      </c>
      <c r="E65" s="1063">
        <v>9.6000000000000002E-2</v>
      </c>
      <c r="F65" s="1075"/>
    </row>
    <row r="66" spans="1:6" ht="14.25" thickBot="1">
      <c r="A66" s="837" t="s">
        <v>137</v>
      </c>
      <c r="B66" s="831" t="s">
        <v>365</v>
      </c>
      <c r="C66" s="1063">
        <v>9.6000000000000002E-2</v>
      </c>
      <c r="D66" s="1063">
        <v>9.1999999999999998E-2</v>
      </c>
      <c r="E66" s="1063">
        <v>9.6000000000000002E-2</v>
      </c>
      <c r="F66" s="1075"/>
    </row>
    <row r="67" spans="1:6" ht="14.25" thickBot="1">
      <c r="A67" s="837" t="s">
        <v>137</v>
      </c>
      <c r="B67" s="831" t="s">
        <v>375</v>
      </c>
      <c r="C67" s="1063">
        <v>9.4E-2</v>
      </c>
      <c r="D67" s="1063">
        <v>0.1</v>
      </c>
      <c r="E67" s="1063">
        <v>8.7999999999999995E-2</v>
      </c>
      <c r="F67" s="1075"/>
    </row>
    <row r="68" spans="1:6" ht="14.25" thickBot="1">
      <c r="A68" s="837" t="s">
        <v>137</v>
      </c>
      <c r="B68" s="831" t="s">
        <v>384</v>
      </c>
      <c r="C68" s="1063">
        <v>0.1</v>
      </c>
      <c r="D68" s="1063">
        <v>8.7999999999999995E-2</v>
      </c>
      <c r="E68" s="1063">
        <v>9.7000000000000003E-2</v>
      </c>
      <c r="F68" s="1075"/>
    </row>
    <row r="69" spans="1:6" ht="14.25" thickBot="1">
      <c r="A69" s="837" t="s">
        <v>137</v>
      </c>
      <c r="B69" s="831" t="s">
        <v>393</v>
      </c>
      <c r="C69" s="1063">
        <v>6.4000000000000001E-2</v>
      </c>
      <c r="D69" s="1063">
        <v>0.1</v>
      </c>
      <c r="E69" s="1063">
        <v>0.1</v>
      </c>
      <c r="F69" s="1075"/>
    </row>
    <row r="70" spans="1:6" ht="14.25" thickBot="1">
      <c r="A70" s="837" t="s">
        <v>137</v>
      </c>
      <c r="B70" s="831" t="s">
        <v>401</v>
      </c>
      <c r="C70" s="1063">
        <v>9.0999999999999998E-2</v>
      </c>
      <c r="D70" s="1076"/>
      <c r="E70" s="1076"/>
      <c r="F70" s="1075"/>
    </row>
    <row r="71" spans="1:6" ht="14.25" thickBot="1">
      <c r="A71" s="837" t="s">
        <v>137</v>
      </c>
      <c r="B71" s="831" t="s">
        <v>408</v>
      </c>
      <c r="C71" s="1063">
        <v>0.1</v>
      </c>
      <c r="D71" s="1076"/>
      <c r="E71" s="1076"/>
      <c r="F71" s="1075"/>
    </row>
    <row r="72" spans="1:6" ht="14.25" thickBot="1">
      <c r="A72" s="837" t="s">
        <v>137</v>
      </c>
      <c r="B72" s="831" t="s">
        <v>885</v>
      </c>
      <c r="C72" s="1076"/>
      <c r="D72" s="1076"/>
      <c r="E72" s="1076"/>
      <c r="F72" s="1064">
        <v>0.05</v>
      </c>
    </row>
    <row r="73" spans="1:6" ht="14.25" thickBot="1">
      <c r="A73" s="837" t="s">
        <v>137</v>
      </c>
      <c r="B73" s="831" t="s">
        <v>886</v>
      </c>
      <c r="C73" s="1076"/>
      <c r="D73" s="1076"/>
      <c r="E73" s="1076"/>
      <c r="F73" s="1064">
        <v>0.05</v>
      </c>
    </row>
    <row r="74" spans="1:6" ht="14.25" thickBot="1">
      <c r="A74" s="837" t="s">
        <v>137</v>
      </c>
      <c r="B74" s="831" t="s">
        <v>887</v>
      </c>
      <c r="C74" s="1076"/>
      <c r="D74" s="1076"/>
      <c r="E74" s="1076"/>
      <c r="F74" s="1064">
        <v>0.05</v>
      </c>
    </row>
    <row r="75" spans="1:6" ht="14.25" thickBot="1">
      <c r="A75" s="847" t="s">
        <v>137</v>
      </c>
      <c r="B75" s="843" t="s">
        <v>888</v>
      </c>
      <c r="C75" s="1073"/>
      <c r="D75" s="1073"/>
      <c r="E75" s="1073"/>
      <c r="F75" s="1066">
        <v>0.05</v>
      </c>
    </row>
    <row r="76" spans="1:6" ht="14.25" thickBot="1">
      <c r="A76" s="837" t="s">
        <v>523</v>
      </c>
      <c r="B76" s="838" t="s">
        <v>889</v>
      </c>
      <c r="C76" s="1061">
        <v>0.1</v>
      </c>
      <c r="D76" s="1061">
        <v>0.1</v>
      </c>
      <c r="E76" s="1061">
        <v>0.1</v>
      </c>
      <c r="F76" s="1062">
        <v>0.1</v>
      </c>
    </row>
    <row r="77" spans="1:6" ht="14.25" thickBot="1">
      <c r="A77" s="837" t="s">
        <v>523</v>
      </c>
      <c r="B77" s="831" t="s">
        <v>191</v>
      </c>
      <c r="C77" s="1063">
        <v>8.7999999999999995E-2</v>
      </c>
      <c r="D77" s="1063">
        <v>8.6999999999999994E-2</v>
      </c>
      <c r="E77" s="1063">
        <v>7.9000000000000001E-2</v>
      </c>
      <c r="F77" s="1064">
        <v>0.1</v>
      </c>
    </row>
    <row r="78" spans="1:6" ht="14.25" thickBot="1">
      <c r="A78" s="837" t="s">
        <v>523</v>
      </c>
      <c r="B78" s="831" t="s">
        <v>204</v>
      </c>
      <c r="C78" s="1063">
        <v>8.6999999999999994E-2</v>
      </c>
      <c r="D78" s="1063">
        <v>8.4000000000000005E-2</v>
      </c>
      <c r="E78" s="1063">
        <v>9.6000000000000002E-2</v>
      </c>
      <c r="F78" s="1064">
        <v>0.1</v>
      </c>
    </row>
    <row r="79" spans="1:6" ht="14.25" thickBot="1">
      <c r="A79" s="837" t="s">
        <v>523</v>
      </c>
      <c r="B79" s="831" t="s">
        <v>217</v>
      </c>
      <c r="C79" s="1063">
        <v>9.8000000000000004E-2</v>
      </c>
      <c r="D79" s="1063">
        <v>9.8000000000000004E-2</v>
      </c>
      <c r="E79" s="1063">
        <v>9.0999999999999998E-2</v>
      </c>
      <c r="F79" s="1064">
        <v>0.1</v>
      </c>
    </row>
    <row r="80" spans="1:6" ht="14.25" thickBot="1">
      <c r="A80" s="837" t="s">
        <v>523</v>
      </c>
      <c r="B80" s="831" t="s">
        <v>229</v>
      </c>
      <c r="C80" s="1063">
        <v>9.6000000000000002E-2</v>
      </c>
      <c r="D80" s="1063">
        <v>9.6000000000000002E-2</v>
      </c>
      <c r="E80" s="1063">
        <v>0.1</v>
      </c>
      <c r="F80" s="1064">
        <v>0.1</v>
      </c>
    </row>
    <row r="81" spans="1:6" ht="14.25" thickBot="1">
      <c r="A81" s="837" t="s">
        <v>523</v>
      </c>
      <c r="B81" s="831" t="s">
        <v>240</v>
      </c>
      <c r="C81" s="1063">
        <v>9.9000000000000005E-2</v>
      </c>
      <c r="D81" s="1063">
        <v>9.9000000000000005E-2</v>
      </c>
      <c r="E81" s="1063">
        <v>9.8000000000000004E-2</v>
      </c>
      <c r="F81" s="1064">
        <v>0.1</v>
      </c>
    </row>
    <row r="82" spans="1:6" ht="14.25" thickBot="1">
      <c r="A82" s="837" t="s">
        <v>523</v>
      </c>
      <c r="B82" s="831" t="s">
        <v>251</v>
      </c>
      <c r="C82" s="1063">
        <v>9.9000000000000005E-2</v>
      </c>
      <c r="D82" s="1063">
        <v>9.9000000000000005E-2</v>
      </c>
      <c r="E82" s="1063">
        <v>9.7000000000000003E-2</v>
      </c>
      <c r="F82" s="1064">
        <v>0.1</v>
      </c>
    </row>
    <row r="83" spans="1:6" ht="14.25" thickBot="1">
      <c r="A83" s="837" t="s">
        <v>523</v>
      </c>
      <c r="B83" s="831" t="s">
        <v>262</v>
      </c>
      <c r="C83" s="1063">
        <v>9.8000000000000004E-2</v>
      </c>
      <c r="D83" s="1063">
        <v>9.8000000000000004E-2</v>
      </c>
      <c r="E83" s="1063">
        <v>9.8000000000000004E-2</v>
      </c>
      <c r="F83" s="1064">
        <v>0.1</v>
      </c>
    </row>
    <row r="84" spans="1:6" ht="14.25" thickBot="1">
      <c r="A84" s="837" t="s">
        <v>523</v>
      </c>
      <c r="B84" s="831" t="s">
        <v>274</v>
      </c>
      <c r="C84" s="1063">
        <v>9.9000000000000005E-2</v>
      </c>
      <c r="D84" s="1063">
        <v>9.9000000000000005E-2</v>
      </c>
      <c r="E84" s="1063">
        <v>9.9000000000000005E-2</v>
      </c>
      <c r="F84" s="1064">
        <v>0.1</v>
      </c>
    </row>
    <row r="85" spans="1:6" ht="14.25" thickBot="1">
      <c r="A85" s="837" t="s">
        <v>523</v>
      </c>
      <c r="B85" s="831" t="s">
        <v>284</v>
      </c>
      <c r="C85" s="1063">
        <v>9.9000000000000005E-2</v>
      </c>
      <c r="D85" s="1063">
        <v>9.9000000000000005E-2</v>
      </c>
      <c r="E85" s="1063">
        <v>9.9000000000000005E-2</v>
      </c>
      <c r="F85" s="1064">
        <v>0.1</v>
      </c>
    </row>
    <row r="86" spans="1:6" ht="14.25" thickBot="1">
      <c r="A86" s="837" t="s">
        <v>523</v>
      </c>
      <c r="B86" s="831" t="s">
        <v>294</v>
      </c>
      <c r="C86" s="1063">
        <v>0.1</v>
      </c>
      <c r="D86" s="1063">
        <v>0.1</v>
      </c>
      <c r="E86" s="1063">
        <v>7.6999999999999999E-2</v>
      </c>
      <c r="F86" s="1064">
        <v>0.1</v>
      </c>
    </row>
    <row r="87" spans="1:6" ht="14.25" thickBot="1">
      <c r="A87" s="837" t="s">
        <v>523</v>
      </c>
      <c r="B87" s="831" t="s">
        <v>304</v>
      </c>
      <c r="C87" s="1063">
        <v>0.1</v>
      </c>
      <c r="D87" s="1063">
        <v>0.1</v>
      </c>
      <c r="E87" s="1063">
        <v>9.8000000000000004E-2</v>
      </c>
      <c r="F87" s="1075"/>
    </row>
    <row r="88" spans="1:6" ht="14.25" thickBot="1">
      <c r="A88" s="837" t="s">
        <v>523</v>
      </c>
      <c r="B88" s="831" t="s">
        <v>314</v>
      </c>
      <c r="C88" s="1063">
        <v>9.1999999999999998E-2</v>
      </c>
      <c r="D88" s="1063">
        <v>8.5000000000000006E-2</v>
      </c>
      <c r="E88" s="1063">
        <v>9.6000000000000002E-2</v>
      </c>
      <c r="F88" s="1075"/>
    </row>
    <row r="89" spans="1:6" ht="14.25" thickBot="1">
      <c r="A89" s="837" t="s">
        <v>523</v>
      </c>
      <c r="B89" s="831" t="s">
        <v>325</v>
      </c>
      <c r="C89" s="1063">
        <v>0.1</v>
      </c>
      <c r="D89" s="1063">
        <v>0.1</v>
      </c>
      <c r="E89" s="1063">
        <v>9.7000000000000003E-2</v>
      </c>
      <c r="F89" s="1075"/>
    </row>
    <row r="90" spans="1:6" ht="14.25" thickBot="1">
      <c r="A90" s="837" t="s">
        <v>523</v>
      </c>
      <c r="B90" s="831" t="s">
        <v>336</v>
      </c>
      <c r="C90" s="1063">
        <v>9.8000000000000004E-2</v>
      </c>
      <c r="D90" s="1063">
        <v>9.8000000000000004E-2</v>
      </c>
      <c r="E90" s="1063">
        <v>8.7999999999999995E-2</v>
      </c>
      <c r="F90" s="1075"/>
    </row>
    <row r="91" spans="1:6" ht="14.25" thickBot="1">
      <c r="A91" s="837" t="s">
        <v>523</v>
      </c>
      <c r="B91" s="831" t="s">
        <v>346</v>
      </c>
      <c r="C91" s="1063">
        <v>9.9000000000000005E-2</v>
      </c>
      <c r="D91" s="1063">
        <v>9.9000000000000005E-2</v>
      </c>
      <c r="E91" s="1063">
        <v>9.0999999999999998E-2</v>
      </c>
      <c r="F91" s="1075"/>
    </row>
    <row r="92" spans="1:6" ht="14.25" thickBot="1">
      <c r="A92" s="837" t="s">
        <v>523</v>
      </c>
      <c r="B92" s="831" t="s">
        <v>356</v>
      </c>
      <c r="C92" s="1063">
        <v>9.6000000000000002E-2</v>
      </c>
      <c r="D92" s="1063">
        <v>9.6000000000000002E-2</v>
      </c>
      <c r="E92" s="1063">
        <v>7.2999999999999995E-2</v>
      </c>
      <c r="F92" s="1075"/>
    </row>
    <row r="93" spans="1:6" ht="14.25" thickBot="1">
      <c r="A93" s="837" t="s">
        <v>523</v>
      </c>
      <c r="B93" s="831" t="s">
        <v>366</v>
      </c>
      <c r="C93" s="1063">
        <v>9.6000000000000002E-2</v>
      </c>
      <c r="D93" s="1063">
        <v>9.6000000000000002E-2</v>
      </c>
      <c r="E93" s="1063">
        <v>9.9000000000000005E-2</v>
      </c>
      <c r="F93" s="1075"/>
    </row>
    <row r="94" spans="1:6" ht="14.25" thickBot="1">
      <c r="A94" s="837" t="s">
        <v>523</v>
      </c>
      <c r="B94" s="831" t="s">
        <v>376</v>
      </c>
      <c r="C94" s="1063">
        <v>7.5999999999999998E-2</v>
      </c>
      <c r="D94" s="1063">
        <v>7.3999999999999996E-2</v>
      </c>
      <c r="E94" s="1063">
        <v>9.7000000000000003E-2</v>
      </c>
      <c r="F94" s="1075"/>
    </row>
    <row r="95" spans="1:6" ht="14.25" thickBot="1">
      <c r="A95" s="837" t="s">
        <v>523</v>
      </c>
      <c r="B95" s="831" t="s">
        <v>385</v>
      </c>
      <c r="C95" s="1063">
        <v>9.9000000000000005E-2</v>
      </c>
      <c r="D95" s="1063">
        <v>9.4E-2</v>
      </c>
      <c r="E95" s="1063">
        <v>9.6000000000000002E-2</v>
      </c>
      <c r="F95" s="1075"/>
    </row>
    <row r="96" spans="1:6" ht="14.25" thickBot="1">
      <c r="A96" s="837" t="s">
        <v>523</v>
      </c>
      <c r="B96" s="831" t="s">
        <v>394</v>
      </c>
      <c r="C96" s="1063">
        <v>9.9000000000000005E-2</v>
      </c>
      <c r="D96" s="1063">
        <v>9.9000000000000005E-2</v>
      </c>
      <c r="E96" s="1063">
        <v>9.9000000000000005E-2</v>
      </c>
      <c r="F96" s="1075"/>
    </row>
    <row r="97" spans="1:6" ht="14.25" thickBot="1">
      <c r="A97" s="837" t="s">
        <v>523</v>
      </c>
      <c r="B97" s="831" t="s">
        <v>402</v>
      </c>
      <c r="C97" s="1063">
        <v>9.8000000000000004E-2</v>
      </c>
      <c r="D97" s="1063">
        <v>9.8000000000000004E-2</v>
      </c>
      <c r="E97" s="1063">
        <v>9.7000000000000003E-2</v>
      </c>
      <c r="F97" s="1075"/>
    </row>
    <row r="98" spans="1:6" ht="14.25" thickBot="1">
      <c r="A98" s="837" t="s">
        <v>523</v>
      </c>
      <c r="B98" s="831" t="s">
        <v>409</v>
      </c>
      <c r="C98" s="1063">
        <v>0.1</v>
      </c>
      <c r="D98" s="1063">
        <v>0.1</v>
      </c>
      <c r="E98" s="1063">
        <v>9.7000000000000003E-2</v>
      </c>
      <c r="F98" s="1075"/>
    </row>
    <row r="99" spans="1:6" ht="14.25" thickBot="1">
      <c r="A99" s="837" t="s">
        <v>523</v>
      </c>
      <c r="B99" s="831" t="s">
        <v>416</v>
      </c>
      <c r="C99" s="1063">
        <v>0.1</v>
      </c>
      <c r="D99" s="1063">
        <v>0.1</v>
      </c>
      <c r="E99" s="1076"/>
      <c r="F99" s="1075"/>
    </row>
    <row r="100" spans="1:6" ht="14.25" thickBot="1">
      <c r="A100" s="837" t="s">
        <v>523</v>
      </c>
      <c r="B100" s="831" t="s">
        <v>423</v>
      </c>
      <c r="C100" s="1063">
        <v>0.09</v>
      </c>
      <c r="D100" s="1063">
        <v>8.8999999999999996E-2</v>
      </c>
      <c r="E100" s="1076"/>
      <c r="F100" s="1075"/>
    </row>
    <row r="101" spans="1:6" ht="14.25" thickBot="1">
      <c r="A101" s="837" t="s">
        <v>523</v>
      </c>
      <c r="B101" s="831" t="s">
        <v>430</v>
      </c>
      <c r="C101" s="1063">
        <v>9.8000000000000004E-2</v>
      </c>
      <c r="D101" s="1063">
        <v>9.7000000000000003E-2</v>
      </c>
      <c r="E101" s="1076"/>
      <c r="F101" s="1075"/>
    </row>
    <row r="102" spans="1:6" ht="14.25" thickBot="1">
      <c r="A102" s="837" t="s">
        <v>523</v>
      </c>
      <c r="B102" s="831" t="s">
        <v>890</v>
      </c>
      <c r="C102" s="1076"/>
      <c r="D102" s="1076"/>
      <c r="E102" s="1076"/>
      <c r="F102" s="1064">
        <v>0.05</v>
      </c>
    </row>
    <row r="103" spans="1:6" ht="24.75" thickBot="1">
      <c r="A103" s="837" t="s">
        <v>523</v>
      </c>
      <c r="B103" s="831" t="s">
        <v>891</v>
      </c>
      <c r="C103" s="1076"/>
      <c r="D103" s="1076"/>
      <c r="E103" s="1076"/>
      <c r="F103" s="1064">
        <v>0.05</v>
      </c>
    </row>
    <row r="104" spans="1:6" ht="14.25" thickBot="1">
      <c r="A104" s="837" t="s">
        <v>523</v>
      </c>
      <c r="B104" s="831" t="s">
        <v>892</v>
      </c>
      <c r="C104" s="1076"/>
      <c r="D104" s="1076"/>
      <c r="E104" s="1076"/>
      <c r="F104" s="1064">
        <v>0.05</v>
      </c>
    </row>
    <row r="105" spans="1:6" ht="14.25" thickBot="1">
      <c r="A105" s="837" t="s">
        <v>523</v>
      </c>
      <c r="B105" s="831" t="s">
        <v>893</v>
      </c>
      <c r="C105" s="1076"/>
      <c r="D105" s="1076"/>
      <c r="E105" s="1076"/>
      <c r="F105" s="1064">
        <v>0.05</v>
      </c>
    </row>
    <row r="106" spans="1:6" ht="14.25" thickBot="1">
      <c r="A106" s="837" t="s">
        <v>523</v>
      </c>
      <c r="B106" s="831" t="s">
        <v>894</v>
      </c>
      <c r="C106" s="1076"/>
      <c r="D106" s="1076"/>
      <c r="E106" s="1076"/>
      <c r="F106" s="1064">
        <v>0.05</v>
      </c>
    </row>
    <row r="107" spans="1:6" ht="24.75" thickBot="1">
      <c r="A107" s="837" t="s">
        <v>523</v>
      </c>
      <c r="B107" s="831" t="s">
        <v>895</v>
      </c>
      <c r="C107" s="1076"/>
      <c r="D107" s="1076"/>
      <c r="E107" s="1076"/>
      <c r="F107" s="1064">
        <v>0.05</v>
      </c>
    </row>
    <row r="108" spans="1:6" ht="24.75" thickBot="1">
      <c r="A108" s="837" t="s">
        <v>523</v>
      </c>
      <c r="B108" s="831" t="s">
        <v>896</v>
      </c>
      <c r="C108" s="1076"/>
      <c r="D108" s="1076"/>
      <c r="E108" s="1076"/>
      <c r="F108" s="1064">
        <v>0.05</v>
      </c>
    </row>
    <row r="109" spans="1:6" ht="24.75" thickBot="1">
      <c r="A109" s="847" t="s">
        <v>523</v>
      </c>
      <c r="B109" s="843" t="s">
        <v>897</v>
      </c>
      <c r="C109" s="1073"/>
      <c r="D109" s="1073"/>
      <c r="E109" s="1073"/>
      <c r="F109" s="1066">
        <v>0.05</v>
      </c>
    </row>
    <row r="110" spans="1:6" ht="14.25" thickBot="1">
      <c r="A110" s="837" t="s">
        <v>56</v>
      </c>
      <c r="B110" s="838" t="s">
        <v>898</v>
      </c>
      <c r="C110" s="1061">
        <v>0.129</v>
      </c>
      <c r="D110" s="1061">
        <v>0.129</v>
      </c>
      <c r="E110" s="1061">
        <v>0.126</v>
      </c>
      <c r="F110" s="1062">
        <v>0.13</v>
      </c>
    </row>
    <row r="111" spans="1:6" ht="14.25" thickBot="1">
      <c r="A111" s="837" t="s">
        <v>56</v>
      </c>
      <c r="B111" s="831" t="s">
        <v>192</v>
      </c>
      <c r="C111" s="1063">
        <v>0.11</v>
      </c>
      <c r="D111" s="1063">
        <v>0.11</v>
      </c>
      <c r="E111" s="1063">
        <v>9.9000000000000005E-2</v>
      </c>
      <c r="F111" s="1064">
        <v>0.128</v>
      </c>
    </row>
    <row r="112" spans="1:6" ht="14.25" thickBot="1">
      <c r="A112" s="837" t="s">
        <v>56</v>
      </c>
      <c r="B112" s="831" t="s">
        <v>205</v>
      </c>
      <c r="C112" s="1063">
        <v>0.125</v>
      </c>
      <c r="D112" s="1063">
        <v>0.125</v>
      </c>
      <c r="E112" s="1063">
        <v>0.12</v>
      </c>
      <c r="F112" s="1064">
        <v>0.125</v>
      </c>
    </row>
    <row r="113" spans="1:6" ht="14.25" thickBot="1">
      <c r="A113" s="837" t="s">
        <v>56</v>
      </c>
      <c r="B113" s="831" t="s">
        <v>218</v>
      </c>
      <c r="C113" s="1063">
        <v>0.13</v>
      </c>
      <c r="D113" s="1063">
        <v>0.13</v>
      </c>
      <c r="E113" s="1063">
        <v>0.13</v>
      </c>
      <c r="F113" s="1064">
        <v>0.13</v>
      </c>
    </row>
    <row r="114" spans="1:6" ht="14.25" thickBot="1">
      <c r="A114" s="837" t="s">
        <v>56</v>
      </c>
      <c r="B114" s="831" t="s">
        <v>230</v>
      </c>
      <c r="C114" s="1063">
        <v>0.123</v>
      </c>
      <c r="D114" s="1063">
        <v>0.123</v>
      </c>
      <c r="E114" s="1063">
        <v>0.12</v>
      </c>
      <c r="F114" s="1064">
        <v>0.13</v>
      </c>
    </row>
    <row r="115" spans="1:6" ht="14.25" thickBot="1">
      <c r="A115" s="837" t="s">
        <v>56</v>
      </c>
      <c r="B115" s="831" t="s">
        <v>241</v>
      </c>
      <c r="C115" s="1063">
        <v>0.125</v>
      </c>
      <c r="D115" s="1063">
        <v>0.125</v>
      </c>
      <c r="E115" s="1063">
        <v>0.11700000000000001</v>
      </c>
      <c r="F115" s="1064">
        <v>0.13</v>
      </c>
    </row>
    <row r="116" spans="1:6" ht="14.25" thickBot="1">
      <c r="A116" s="837" t="s">
        <v>56</v>
      </c>
      <c r="B116" s="831" t="s">
        <v>252</v>
      </c>
      <c r="C116" s="1063">
        <v>0.11700000000000001</v>
      </c>
      <c r="D116" s="1063">
        <v>0.11700000000000001</v>
      </c>
      <c r="E116" s="1063">
        <v>8.7999999999999995E-2</v>
      </c>
      <c r="F116" s="1064">
        <v>0.13</v>
      </c>
    </row>
    <row r="117" spans="1:6" ht="14.25" thickBot="1">
      <c r="A117" s="837" t="s">
        <v>56</v>
      </c>
      <c r="B117" s="831" t="s">
        <v>263</v>
      </c>
      <c r="C117" s="1063">
        <v>0.13</v>
      </c>
      <c r="D117" s="1063">
        <v>0.13</v>
      </c>
      <c r="E117" s="1063">
        <v>0.129</v>
      </c>
      <c r="F117" s="1064">
        <v>0.13</v>
      </c>
    </row>
    <row r="118" spans="1:6" ht="14.25" thickBot="1">
      <c r="A118" s="837" t="s">
        <v>56</v>
      </c>
      <c r="B118" s="831" t="s">
        <v>275</v>
      </c>
      <c r="C118" s="1063">
        <v>0.123</v>
      </c>
      <c r="D118" s="1063">
        <v>0.123</v>
      </c>
      <c r="E118" s="1063">
        <v>0.11600000000000001</v>
      </c>
      <c r="F118" s="1064">
        <v>0.13</v>
      </c>
    </row>
    <row r="119" spans="1:6" ht="14.25" thickBot="1">
      <c r="A119" s="837" t="s">
        <v>56</v>
      </c>
      <c r="B119" s="831" t="s">
        <v>285</v>
      </c>
      <c r="C119" s="1063">
        <v>0.127</v>
      </c>
      <c r="D119" s="1063">
        <v>0.127</v>
      </c>
      <c r="E119" s="1063">
        <v>0.124</v>
      </c>
      <c r="F119" s="1064">
        <v>0.13</v>
      </c>
    </row>
    <row r="120" spans="1:6" ht="14.25" thickBot="1">
      <c r="A120" s="837" t="s">
        <v>56</v>
      </c>
      <c r="B120" s="831" t="s">
        <v>295</v>
      </c>
      <c r="C120" s="1063">
        <v>0.125</v>
      </c>
      <c r="D120" s="1063">
        <v>0.125</v>
      </c>
      <c r="E120" s="1063">
        <v>0.122</v>
      </c>
      <c r="F120" s="1064">
        <v>0.13</v>
      </c>
    </row>
    <row r="121" spans="1:6" ht="14.25" thickBot="1">
      <c r="A121" s="837" t="s">
        <v>56</v>
      </c>
      <c r="B121" s="831" t="s">
        <v>305</v>
      </c>
      <c r="C121" s="1063">
        <v>0.13</v>
      </c>
      <c r="D121" s="1063">
        <v>0.13</v>
      </c>
      <c r="E121" s="1063">
        <v>0.13</v>
      </c>
      <c r="F121" s="1064">
        <v>0.13</v>
      </c>
    </row>
    <row r="122" spans="1:6" ht="14.25" thickBot="1">
      <c r="A122" s="837" t="s">
        <v>56</v>
      </c>
      <c r="B122" s="831" t="s">
        <v>315</v>
      </c>
      <c r="C122" s="1063">
        <v>0.13</v>
      </c>
      <c r="D122" s="1063">
        <v>0.13</v>
      </c>
      <c r="E122" s="1063">
        <v>0.125</v>
      </c>
      <c r="F122" s="1064">
        <v>0.13</v>
      </c>
    </row>
    <row r="123" spans="1:6" ht="14.25" thickBot="1">
      <c r="A123" s="837" t="s">
        <v>56</v>
      </c>
      <c r="B123" s="831" t="s">
        <v>326</v>
      </c>
      <c r="C123" s="1063">
        <v>0.129</v>
      </c>
      <c r="D123" s="1063">
        <v>0.129</v>
      </c>
      <c r="E123" s="1063">
        <v>0.123</v>
      </c>
      <c r="F123" s="1064">
        <v>0.13</v>
      </c>
    </row>
    <row r="124" spans="1:6" ht="14.25" thickBot="1">
      <c r="A124" s="837" t="s">
        <v>56</v>
      </c>
      <c r="B124" s="831" t="s">
        <v>337</v>
      </c>
      <c r="C124" s="1063">
        <v>0.10199999999999999</v>
      </c>
      <c r="D124" s="1063">
        <v>0.10100000000000001</v>
      </c>
      <c r="E124" s="1063">
        <v>0.08</v>
      </c>
      <c r="F124" s="1075"/>
    </row>
    <row r="125" spans="1:6" ht="14.25" thickBot="1">
      <c r="A125" s="837" t="s">
        <v>56</v>
      </c>
      <c r="B125" s="831" t="s">
        <v>347</v>
      </c>
      <c r="C125" s="1063">
        <v>0.13</v>
      </c>
      <c r="D125" s="1063">
        <v>0.13</v>
      </c>
      <c r="E125" s="1063">
        <v>0.129</v>
      </c>
      <c r="F125" s="1075"/>
    </row>
    <row r="126" spans="1:6" ht="14.25" thickBot="1">
      <c r="A126" s="837" t="s">
        <v>56</v>
      </c>
      <c r="B126" s="831" t="s">
        <v>357</v>
      </c>
      <c r="C126" s="1063">
        <v>0.13</v>
      </c>
      <c r="D126" s="1063">
        <v>0.13</v>
      </c>
      <c r="E126" s="1063">
        <v>0.126</v>
      </c>
      <c r="F126" s="1075"/>
    </row>
    <row r="127" spans="1:6" ht="14.25" thickBot="1">
      <c r="A127" s="837" t="s">
        <v>56</v>
      </c>
      <c r="B127" s="831" t="s">
        <v>367</v>
      </c>
      <c r="C127" s="1063">
        <v>0.125</v>
      </c>
      <c r="D127" s="1063">
        <v>0.125</v>
      </c>
      <c r="E127" s="1063">
        <v>0.121</v>
      </c>
      <c r="F127" s="1075"/>
    </row>
    <row r="128" spans="1:6" ht="14.25" thickBot="1">
      <c r="A128" s="837" t="s">
        <v>56</v>
      </c>
      <c r="B128" s="831" t="s">
        <v>377</v>
      </c>
      <c r="C128" s="1063">
        <v>0.12</v>
      </c>
      <c r="D128" s="1063">
        <v>0.12</v>
      </c>
      <c r="E128" s="1063">
        <v>0.105</v>
      </c>
      <c r="F128" s="1075"/>
    </row>
    <row r="129" spans="1:6" ht="14.25" thickBot="1">
      <c r="A129" s="837" t="s">
        <v>56</v>
      </c>
      <c r="B129" s="831" t="s">
        <v>386</v>
      </c>
      <c r="C129" s="1063">
        <v>0.13</v>
      </c>
      <c r="D129" s="1063">
        <v>0.13</v>
      </c>
      <c r="E129" s="1063">
        <v>0.126</v>
      </c>
      <c r="F129" s="1075"/>
    </row>
    <row r="130" spans="1:6" ht="14.25" thickBot="1">
      <c r="A130" s="837" t="s">
        <v>56</v>
      </c>
      <c r="B130" s="831" t="s">
        <v>395</v>
      </c>
      <c r="C130" s="1063">
        <v>0.125</v>
      </c>
      <c r="D130" s="1063">
        <v>0.125</v>
      </c>
      <c r="E130" s="1063">
        <v>0.122</v>
      </c>
      <c r="F130" s="1075"/>
    </row>
    <row r="131" spans="1:6" ht="14.25" thickBot="1">
      <c r="A131" s="837" t="s">
        <v>56</v>
      </c>
      <c r="B131" s="831" t="s">
        <v>403</v>
      </c>
      <c r="C131" s="1063">
        <v>0.127</v>
      </c>
      <c r="D131" s="1063">
        <v>0.126</v>
      </c>
      <c r="E131" s="1063">
        <v>0.123</v>
      </c>
      <c r="F131" s="1075"/>
    </row>
    <row r="132" spans="1:6" ht="14.25" thickBot="1">
      <c r="A132" s="837" t="s">
        <v>56</v>
      </c>
      <c r="B132" s="831" t="s">
        <v>410</v>
      </c>
      <c r="C132" s="1063">
        <v>9.0999999999999998E-2</v>
      </c>
      <c r="D132" s="1063">
        <v>0.121</v>
      </c>
      <c r="E132" s="1063">
        <v>9.9000000000000005E-2</v>
      </c>
      <c r="F132" s="1075"/>
    </row>
    <row r="133" spans="1:6" ht="14.25" thickBot="1">
      <c r="A133" s="837" t="s">
        <v>56</v>
      </c>
      <c r="B133" s="831" t="s">
        <v>417</v>
      </c>
      <c r="C133" s="1063">
        <v>0.13</v>
      </c>
      <c r="D133" s="1063">
        <v>0.13</v>
      </c>
      <c r="E133" s="1063">
        <v>0.129</v>
      </c>
      <c r="F133" s="1075"/>
    </row>
    <row r="134" spans="1:6" ht="14.25" thickBot="1">
      <c r="A134" s="837" t="s">
        <v>56</v>
      </c>
      <c r="B134" s="831" t="s">
        <v>899</v>
      </c>
      <c r="C134" s="1063">
        <v>6.8000000000000005E-2</v>
      </c>
      <c r="D134" s="1063">
        <v>6.5000000000000002E-2</v>
      </c>
      <c r="E134" s="1063">
        <v>6.5000000000000002E-2</v>
      </c>
      <c r="F134" s="1064">
        <v>0.13</v>
      </c>
    </row>
    <row r="135" spans="1:6" ht="14.25" thickBot="1">
      <c r="A135" s="837" t="s">
        <v>56</v>
      </c>
      <c r="B135" s="831" t="s">
        <v>431</v>
      </c>
      <c r="C135" s="1063">
        <v>0.123</v>
      </c>
      <c r="D135" s="1063">
        <v>0.123</v>
      </c>
      <c r="E135" s="1063">
        <v>0.11</v>
      </c>
      <c r="F135" s="1075"/>
    </row>
    <row r="136" spans="1:6" ht="14.25" thickBot="1">
      <c r="A136" s="837" t="s">
        <v>56</v>
      </c>
      <c r="B136" s="831" t="s">
        <v>438</v>
      </c>
      <c r="C136" s="1063">
        <v>0.13</v>
      </c>
      <c r="D136" s="1063">
        <v>0.13</v>
      </c>
      <c r="E136" s="1063">
        <v>0.125</v>
      </c>
      <c r="F136" s="1075"/>
    </row>
    <row r="137" spans="1:6" ht="14.25" thickBot="1">
      <c r="A137" s="837" t="s">
        <v>56</v>
      </c>
      <c r="B137" s="831" t="s">
        <v>445</v>
      </c>
      <c r="C137" s="1063">
        <v>0.121</v>
      </c>
      <c r="D137" s="1063">
        <v>0.122</v>
      </c>
      <c r="E137" s="1063">
        <v>0.115</v>
      </c>
      <c r="F137" s="1075"/>
    </row>
    <row r="138" spans="1:6" ht="14.25" thickBot="1">
      <c r="A138" s="837" t="s">
        <v>56</v>
      </c>
      <c r="B138" s="831" t="s">
        <v>900</v>
      </c>
      <c r="C138" s="1063">
        <v>0.105</v>
      </c>
      <c r="D138" s="1063">
        <v>0.125</v>
      </c>
      <c r="E138" s="1063">
        <v>0.112</v>
      </c>
      <c r="F138" s="1075"/>
    </row>
    <row r="139" spans="1:6" ht="14.25" thickBot="1">
      <c r="A139" s="837" t="s">
        <v>56</v>
      </c>
      <c r="B139" s="831" t="s">
        <v>901</v>
      </c>
      <c r="C139" s="1063">
        <v>0.127</v>
      </c>
      <c r="D139" s="1063">
        <v>0.127</v>
      </c>
      <c r="E139" s="1063">
        <v>0.122</v>
      </c>
      <c r="F139" s="1064">
        <v>0.13</v>
      </c>
    </row>
    <row r="140" spans="1:6" ht="14.25" thickBot="1">
      <c r="A140" s="837" t="s">
        <v>56</v>
      </c>
      <c r="B140" s="831" t="s">
        <v>902</v>
      </c>
      <c r="C140" s="1063">
        <v>0.125</v>
      </c>
      <c r="D140" s="1063">
        <v>0.125</v>
      </c>
      <c r="E140" s="1063">
        <v>0.11899999999999999</v>
      </c>
      <c r="F140" s="1064">
        <v>0.13</v>
      </c>
    </row>
    <row r="141" spans="1:6" ht="14.25" thickBot="1">
      <c r="A141" s="837" t="s">
        <v>56</v>
      </c>
      <c r="B141" s="831" t="s">
        <v>464</v>
      </c>
      <c r="C141" s="1063">
        <v>0.125</v>
      </c>
      <c r="D141" s="1063">
        <v>0.125</v>
      </c>
      <c r="E141" s="1063">
        <v>0.11700000000000001</v>
      </c>
      <c r="F141" s="1075"/>
    </row>
    <row r="142" spans="1:6" ht="14.25" thickBot="1">
      <c r="A142" s="837" t="s">
        <v>56</v>
      </c>
      <c r="B142" s="831" t="s">
        <v>469</v>
      </c>
      <c r="C142" s="1063">
        <v>0.125</v>
      </c>
      <c r="D142" s="1063">
        <v>0.125</v>
      </c>
      <c r="E142" s="1063">
        <v>0.115</v>
      </c>
      <c r="F142" s="1075"/>
    </row>
    <row r="143" spans="1:6" ht="14.25" thickBot="1">
      <c r="A143" s="837" t="s">
        <v>56</v>
      </c>
      <c r="B143" s="831" t="s">
        <v>474</v>
      </c>
      <c r="C143" s="1063">
        <v>0.121</v>
      </c>
      <c r="D143" s="1063">
        <v>0.121</v>
      </c>
      <c r="E143" s="1063">
        <v>0.108</v>
      </c>
      <c r="F143" s="1075"/>
    </row>
    <row r="144" spans="1:6" ht="14.25" thickBot="1">
      <c r="A144" s="837" t="s">
        <v>56</v>
      </c>
      <c r="B144" s="1067" t="s">
        <v>903</v>
      </c>
      <c r="C144" s="1068">
        <v>0.126</v>
      </c>
      <c r="D144" s="1068">
        <v>0.126</v>
      </c>
      <c r="E144" s="1068">
        <v>0.121</v>
      </c>
      <c r="F144" s="1075"/>
    </row>
    <row r="145" spans="1:6" ht="14.25" thickBot="1">
      <c r="A145" s="847" t="s">
        <v>56</v>
      </c>
      <c r="B145" s="1069" t="s">
        <v>904</v>
      </c>
      <c r="C145" s="1077"/>
      <c r="D145" s="1077"/>
      <c r="E145" s="1077"/>
      <c r="F145" s="1070">
        <v>0.05</v>
      </c>
    </row>
    <row r="146" spans="1:6" ht="24.75" thickBot="1">
      <c r="A146" s="1071" t="s">
        <v>56</v>
      </c>
      <c r="B146" s="841" t="s">
        <v>905</v>
      </c>
      <c r="C146" s="1076"/>
      <c r="D146" s="1076"/>
      <c r="E146" s="1076"/>
      <c r="F146" s="1072">
        <v>0.05</v>
      </c>
    </row>
    <row r="147" spans="1:6" ht="24.75" thickBot="1">
      <c r="A147" s="837" t="s">
        <v>56</v>
      </c>
      <c r="B147" s="831" t="s">
        <v>906</v>
      </c>
      <c r="C147" s="1076"/>
      <c r="D147" s="1076"/>
      <c r="E147" s="1076"/>
      <c r="F147" s="1064">
        <v>0.05</v>
      </c>
    </row>
    <row r="148" spans="1:6" ht="24.75" thickBot="1">
      <c r="A148" s="837" t="s">
        <v>56</v>
      </c>
      <c r="B148" s="831" t="s">
        <v>907</v>
      </c>
      <c r="C148" s="1076"/>
      <c r="D148" s="1076"/>
      <c r="E148" s="1076"/>
      <c r="F148" s="1064">
        <v>0.05</v>
      </c>
    </row>
    <row r="149" spans="1:6" ht="24.75" thickBot="1">
      <c r="A149" s="837" t="s">
        <v>56</v>
      </c>
      <c r="B149" s="831" t="s">
        <v>908</v>
      </c>
      <c r="C149" s="1076"/>
      <c r="D149" s="1076"/>
      <c r="E149" s="1076"/>
      <c r="F149" s="1064">
        <v>0.05</v>
      </c>
    </row>
    <row r="150" spans="1:6" ht="24.75" thickBot="1">
      <c r="A150" s="837" t="s">
        <v>56</v>
      </c>
      <c r="B150" s="831" t="s">
        <v>909</v>
      </c>
      <c r="C150" s="1076"/>
      <c r="D150" s="1076"/>
      <c r="E150" s="1076"/>
      <c r="F150" s="1064">
        <v>0.05</v>
      </c>
    </row>
    <row r="151" spans="1:6" ht="24.75" thickBot="1">
      <c r="A151" s="837" t="s">
        <v>56</v>
      </c>
      <c r="B151" s="831" t="s">
        <v>910</v>
      </c>
      <c r="C151" s="1076"/>
      <c r="D151" s="1076"/>
      <c r="E151" s="1076"/>
      <c r="F151" s="1064">
        <v>0.05</v>
      </c>
    </row>
    <row r="152" spans="1:6" ht="24.75" thickBot="1">
      <c r="A152" s="837" t="s">
        <v>56</v>
      </c>
      <c r="B152" s="831" t="s">
        <v>507</v>
      </c>
      <c r="C152" s="1076"/>
      <c r="D152" s="1076"/>
      <c r="E152" s="1076"/>
      <c r="F152" s="1064">
        <v>0.05</v>
      </c>
    </row>
    <row r="153" spans="1:6" ht="14.25" thickBot="1">
      <c r="A153" s="837" t="s">
        <v>56</v>
      </c>
      <c r="B153" s="831" t="s">
        <v>911</v>
      </c>
      <c r="C153" s="1076"/>
      <c r="D153" s="1076"/>
      <c r="E153" s="1076"/>
      <c r="F153" s="1064">
        <v>0.05</v>
      </c>
    </row>
    <row r="154" spans="1:6" ht="14.25" thickBot="1">
      <c r="A154" s="837" t="s">
        <v>56</v>
      </c>
      <c r="B154" s="831" t="s">
        <v>912</v>
      </c>
      <c r="C154" s="1076"/>
      <c r="D154" s="1076"/>
      <c r="E154" s="1076"/>
      <c r="F154" s="1064">
        <v>0.05</v>
      </c>
    </row>
    <row r="155" spans="1:6" ht="24.75" thickBot="1">
      <c r="A155" s="837" t="s">
        <v>56</v>
      </c>
      <c r="B155" s="831" t="s">
        <v>913</v>
      </c>
      <c r="C155" s="1076"/>
      <c r="D155" s="1076"/>
      <c r="E155" s="1076"/>
      <c r="F155" s="1064">
        <v>0.05</v>
      </c>
    </row>
    <row r="156" spans="1:6" ht="24.75" thickBot="1">
      <c r="A156" s="837" t="s">
        <v>56</v>
      </c>
      <c r="B156" s="831" t="s">
        <v>914</v>
      </c>
      <c r="C156" s="1076"/>
      <c r="D156" s="1076"/>
      <c r="E156" s="1076"/>
      <c r="F156" s="1064">
        <v>0.05</v>
      </c>
    </row>
    <row r="157" spans="1:6" ht="14.25" thickBot="1">
      <c r="A157" s="847" t="s">
        <v>56</v>
      </c>
      <c r="B157" s="843" t="s">
        <v>915</v>
      </c>
      <c r="C157" s="1073"/>
      <c r="D157" s="1073"/>
      <c r="E157" s="1073"/>
      <c r="F157" s="1066">
        <v>0.05</v>
      </c>
    </row>
    <row r="158" spans="1:6" ht="14.25" thickBot="1">
      <c r="A158" s="837" t="s">
        <v>526</v>
      </c>
      <c r="B158" s="838" t="s">
        <v>916</v>
      </c>
      <c r="C158" s="1061">
        <v>0.13</v>
      </c>
      <c r="D158" s="1061">
        <v>0.13</v>
      </c>
      <c r="E158" s="1061">
        <v>0.13</v>
      </c>
      <c r="F158" s="1062">
        <v>0.13</v>
      </c>
    </row>
    <row r="159" spans="1:6" ht="14.25" thickBot="1">
      <c r="A159" s="837" t="s">
        <v>526</v>
      </c>
      <c r="B159" s="831" t="s">
        <v>193</v>
      </c>
      <c r="C159" s="1063">
        <v>0.13</v>
      </c>
      <c r="D159" s="1063">
        <v>0.13</v>
      </c>
      <c r="E159" s="1063">
        <v>0.13</v>
      </c>
      <c r="F159" s="1064">
        <v>0.13</v>
      </c>
    </row>
    <row r="160" spans="1:6" ht="14.25" thickBot="1">
      <c r="A160" s="837" t="s">
        <v>526</v>
      </c>
      <c r="B160" s="831" t="s">
        <v>206</v>
      </c>
      <c r="C160" s="1063">
        <v>0.13</v>
      </c>
      <c r="D160" s="1063">
        <v>0.13</v>
      </c>
      <c r="E160" s="1063">
        <v>0.129</v>
      </c>
      <c r="F160" s="1064">
        <v>0.13</v>
      </c>
    </row>
    <row r="161" spans="1:6" ht="14.25" thickBot="1">
      <c r="A161" s="837" t="s">
        <v>526</v>
      </c>
      <c r="B161" s="831" t="s">
        <v>219</v>
      </c>
      <c r="C161" s="1063">
        <v>0.128</v>
      </c>
      <c r="D161" s="1063">
        <v>0.128</v>
      </c>
      <c r="E161" s="1063">
        <v>0.125</v>
      </c>
      <c r="F161" s="1064">
        <v>0.13</v>
      </c>
    </row>
    <row r="162" spans="1:6" ht="14.25" thickBot="1">
      <c r="A162" s="837" t="s">
        <v>526</v>
      </c>
      <c r="B162" s="831" t="s">
        <v>231</v>
      </c>
      <c r="C162" s="1063">
        <v>0.122</v>
      </c>
      <c r="D162" s="1063">
        <v>0.122</v>
      </c>
      <c r="E162" s="1063">
        <v>0.126</v>
      </c>
      <c r="F162" s="1064">
        <v>0.122</v>
      </c>
    </row>
    <row r="163" spans="1:6" ht="14.25" thickBot="1">
      <c r="A163" s="837" t="s">
        <v>526</v>
      </c>
      <c r="B163" s="831" t="s">
        <v>242</v>
      </c>
      <c r="C163" s="1063">
        <v>0.13</v>
      </c>
      <c r="D163" s="1063">
        <v>0.13</v>
      </c>
      <c r="E163" s="1063">
        <v>0.125</v>
      </c>
      <c r="F163" s="1064">
        <v>0.13</v>
      </c>
    </row>
    <row r="164" spans="1:6" ht="14.25" thickBot="1">
      <c r="A164" s="837" t="s">
        <v>526</v>
      </c>
      <c r="B164" s="831" t="s">
        <v>253</v>
      </c>
      <c r="C164" s="1063">
        <v>0.13</v>
      </c>
      <c r="D164" s="1063">
        <v>0.13</v>
      </c>
      <c r="E164" s="1063">
        <v>0.13</v>
      </c>
      <c r="F164" s="1064">
        <v>0.13</v>
      </c>
    </row>
    <row r="165" spans="1:6" ht="14.25" thickBot="1">
      <c r="A165" s="837" t="s">
        <v>526</v>
      </c>
      <c r="B165" s="831" t="s">
        <v>264</v>
      </c>
      <c r="C165" s="1063">
        <v>0.13</v>
      </c>
      <c r="D165" s="1063">
        <v>0.13</v>
      </c>
      <c r="E165" s="1063">
        <v>0.124</v>
      </c>
      <c r="F165" s="1064">
        <v>0.13</v>
      </c>
    </row>
    <row r="166" spans="1:6" ht="14.25" thickBot="1">
      <c r="A166" s="837" t="s">
        <v>526</v>
      </c>
      <c r="B166" s="831" t="s">
        <v>276</v>
      </c>
      <c r="C166" s="1063">
        <v>0.13</v>
      </c>
      <c r="D166" s="1063">
        <v>0.13</v>
      </c>
      <c r="E166" s="1063">
        <v>0.13</v>
      </c>
      <c r="F166" s="1064">
        <v>0.13</v>
      </c>
    </row>
    <row r="167" spans="1:6" ht="14.25" thickBot="1">
      <c r="A167" s="837" t="s">
        <v>526</v>
      </c>
      <c r="B167" s="831" t="s">
        <v>286</v>
      </c>
      <c r="C167" s="1063">
        <v>0.125</v>
      </c>
      <c r="D167" s="1063">
        <v>0.125</v>
      </c>
      <c r="E167" s="1063">
        <v>0.121</v>
      </c>
      <c r="F167" s="1075"/>
    </row>
    <row r="168" spans="1:6" ht="14.25" thickBot="1">
      <c r="A168" s="837" t="s">
        <v>526</v>
      </c>
      <c r="B168" s="831" t="s">
        <v>296</v>
      </c>
      <c r="C168" s="1063">
        <v>0.13</v>
      </c>
      <c r="D168" s="1063">
        <v>0.13</v>
      </c>
      <c r="E168" s="1063">
        <v>0.126</v>
      </c>
      <c r="F168" s="1075"/>
    </row>
    <row r="169" spans="1:6" ht="14.25" thickBot="1">
      <c r="A169" s="837" t="s">
        <v>526</v>
      </c>
      <c r="B169" s="831" t="s">
        <v>306</v>
      </c>
      <c r="C169" s="1063">
        <v>0.128</v>
      </c>
      <c r="D169" s="1063">
        <v>0.129</v>
      </c>
      <c r="E169" s="1063">
        <v>0.13</v>
      </c>
      <c r="F169" s="1075"/>
    </row>
    <row r="170" spans="1:6" ht="14.25" thickBot="1">
      <c r="A170" s="837" t="s">
        <v>526</v>
      </c>
      <c r="B170" s="831" t="s">
        <v>316</v>
      </c>
      <c r="C170" s="1063">
        <v>0.14099999999999999</v>
      </c>
      <c r="D170" s="1063">
        <v>0.13</v>
      </c>
      <c r="E170" s="1063">
        <v>0.125</v>
      </c>
      <c r="F170" s="1075"/>
    </row>
    <row r="171" spans="1:6" ht="14.25" thickBot="1">
      <c r="A171" s="837" t="s">
        <v>526</v>
      </c>
      <c r="B171" s="831" t="s">
        <v>917</v>
      </c>
      <c r="C171" s="1063">
        <v>0.127</v>
      </c>
      <c r="D171" s="1063">
        <v>0.126</v>
      </c>
      <c r="E171" s="1063">
        <v>0.126</v>
      </c>
      <c r="F171" s="1064">
        <v>0.11799999999999999</v>
      </c>
    </row>
    <row r="172" spans="1:6" ht="14.25" thickBot="1">
      <c r="A172" s="837" t="s">
        <v>526</v>
      </c>
      <c r="B172" s="831" t="s">
        <v>918</v>
      </c>
      <c r="C172" s="1063">
        <v>0.13</v>
      </c>
      <c r="D172" s="1063">
        <v>0.13</v>
      </c>
      <c r="E172" s="1063">
        <v>0.13</v>
      </c>
      <c r="F172" s="1075"/>
    </row>
    <row r="173" spans="1:6" ht="14.25" thickBot="1">
      <c r="A173" s="837" t="s">
        <v>526</v>
      </c>
      <c r="B173" s="831" t="s">
        <v>348</v>
      </c>
      <c r="C173" s="1063">
        <v>0.13</v>
      </c>
      <c r="D173" s="1063">
        <v>0.13</v>
      </c>
      <c r="E173" s="1063">
        <v>0.13</v>
      </c>
      <c r="F173" s="1075"/>
    </row>
    <row r="174" spans="1:6" ht="14.25" thickBot="1">
      <c r="A174" s="837" t="s">
        <v>526</v>
      </c>
      <c r="B174" s="831" t="s">
        <v>919</v>
      </c>
      <c r="C174" s="1063">
        <v>0.13</v>
      </c>
      <c r="D174" s="1063">
        <v>0.13</v>
      </c>
      <c r="E174" s="1063">
        <v>0.13</v>
      </c>
      <c r="F174" s="1064">
        <v>0.13</v>
      </c>
    </row>
    <row r="175" spans="1:6" ht="14.25" thickBot="1">
      <c r="A175" s="837" t="s">
        <v>526</v>
      </c>
      <c r="B175" s="831" t="s">
        <v>920</v>
      </c>
      <c r="C175" s="1063">
        <v>0.13</v>
      </c>
      <c r="D175" s="1063">
        <v>0.13</v>
      </c>
      <c r="E175" s="1063">
        <v>0.13</v>
      </c>
      <c r="F175" s="1064">
        <v>0.13</v>
      </c>
    </row>
    <row r="176" spans="1:6" ht="14.25" thickBot="1">
      <c r="A176" s="837" t="s">
        <v>526</v>
      </c>
      <c r="B176" s="831" t="s">
        <v>378</v>
      </c>
      <c r="C176" s="1063">
        <v>0.13</v>
      </c>
      <c r="D176" s="1063">
        <v>0.13</v>
      </c>
      <c r="E176" s="1063">
        <v>0.13</v>
      </c>
      <c r="F176" s="1064">
        <v>0.13</v>
      </c>
    </row>
    <row r="177" spans="1:6" ht="14.25" thickBot="1">
      <c r="A177" s="837" t="s">
        <v>526</v>
      </c>
      <c r="B177" s="831" t="s">
        <v>921</v>
      </c>
      <c r="C177" s="1063">
        <v>0.13</v>
      </c>
      <c r="D177" s="1063">
        <v>0.13</v>
      </c>
      <c r="E177" s="1063">
        <v>0.13</v>
      </c>
      <c r="F177" s="1064">
        <v>0.13</v>
      </c>
    </row>
    <row r="178" spans="1:6" ht="14.25" thickBot="1">
      <c r="A178" s="837" t="s">
        <v>526</v>
      </c>
      <c r="B178" s="831" t="s">
        <v>396</v>
      </c>
      <c r="C178" s="1063">
        <v>0.13</v>
      </c>
      <c r="D178" s="1063">
        <v>0.13</v>
      </c>
      <c r="E178" s="1063">
        <v>0.13</v>
      </c>
      <c r="F178" s="1064">
        <v>0.127</v>
      </c>
    </row>
    <row r="179" spans="1:6" ht="14.25" thickBot="1">
      <c r="A179" s="837" t="s">
        <v>526</v>
      </c>
      <c r="B179" s="831" t="s">
        <v>404</v>
      </c>
      <c r="C179" s="1063">
        <v>0.13</v>
      </c>
      <c r="D179" s="1063">
        <v>0.13</v>
      </c>
      <c r="E179" s="1063">
        <v>0.13</v>
      </c>
      <c r="F179" s="1075"/>
    </row>
    <row r="180" spans="1:6" ht="14.25" thickBot="1">
      <c r="A180" s="837" t="s">
        <v>526</v>
      </c>
      <c r="B180" s="831" t="s">
        <v>922</v>
      </c>
      <c r="C180" s="1063">
        <v>0.13</v>
      </c>
      <c r="D180" s="1063">
        <v>0.13</v>
      </c>
      <c r="E180" s="1063">
        <v>0.125</v>
      </c>
      <c r="F180" s="1064">
        <v>0.13</v>
      </c>
    </row>
    <row r="181" spans="1:6" ht="14.25" thickBot="1">
      <c r="A181" s="837" t="s">
        <v>526</v>
      </c>
      <c r="B181" s="831" t="s">
        <v>418</v>
      </c>
      <c r="C181" s="1063">
        <v>0.122</v>
      </c>
      <c r="D181" s="1063">
        <v>0.123</v>
      </c>
      <c r="E181" s="1063">
        <v>0.126</v>
      </c>
      <c r="F181" s="1064">
        <v>0.121</v>
      </c>
    </row>
    <row r="182" spans="1:6" ht="14.25" thickBot="1">
      <c r="A182" s="837" t="s">
        <v>526</v>
      </c>
      <c r="B182" s="831" t="s">
        <v>425</v>
      </c>
      <c r="C182" s="1063">
        <v>0.125</v>
      </c>
      <c r="D182" s="1063">
        <v>0.125</v>
      </c>
      <c r="E182" s="1063">
        <v>0.11700000000000001</v>
      </c>
      <c r="F182" s="1064">
        <v>0.13</v>
      </c>
    </row>
    <row r="183" spans="1:6" ht="14.25" thickBot="1">
      <c r="A183" s="837" t="s">
        <v>526</v>
      </c>
      <c r="B183" s="831" t="s">
        <v>432</v>
      </c>
      <c r="C183" s="1063">
        <v>0.127</v>
      </c>
      <c r="D183" s="1063">
        <v>0.127</v>
      </c>
      <c r="E183" s="1063">
        <v>0.128</v>
      </c>
      <c r="F183" s="1075"/>
    </row>
    <row r="184" spans="1:6" ht="14.25" thickBot="1">
      <c r="A184" s="837" t="s">
        <v>526</v>
      </c>
      <c r="B184" s="831" t="s">
        <v>439</v>
      </c>
      <c r="C184" s="1063">
        <v>0.125</v>
      </c>
      <c r="D184" s="1063">
        <v>0.125</v>
      </c>
      <c r="E184" s="1063">
        <v>0.127</v>
      </c>
      <c r="F184" s="1075"/>
    </row>
    <row r="185" spans="1:6" ht="14.25" thickBot="1">
      <c r="A185" s="837" t="s">
        <v>526</v>
      </c>
      <c r="B185" s="831" t="s">
        <v>923</v>
      </c>
      <c r="C185" s="1063">
        <v>0.127</v>
      </c>
      <c r="D185" s="1063">
        <v>0.127</v>
      </c>
      <c r="E185" s="1063">
        <v>0.128</v>
      </c>
      <c r="F185" s="1064">
        <v>0.13</v>
      </c>
    </row>
    <row r="186" spans="1:6" ht="24.75" thickBot="1">
      <c r="A186" s="837" t="s">
        <v>526</v>
      </c>
      <c r="B186" s="831" t="s">
        <v>924</v>
      </c>
      <c r="C186" s="1076"/>
      <c r="D186" s="1076"/>
      <c r="E186" s="1076"/>
      <c r="F186" s="1064">
        <v>0.05</v>
      </c>
    </row>
    <row r="187" spans="1:6" ht="14.25" thickBot="1">
      <c r="A187" s="837" t="s">
        <v>526</v>
      </c>
      <c r="B187" s="831" t="s">
        <v>925</v>
      </c>
      <c r="C187" s="1076"/>
      <c r="D187" s="1076"/>
      <c r="E187" s="1076"/>
      <c r="F187" s="1064">
        <v>0.05</v>
      </c>
    </row>
    <row r="188" spans="1:6" ht="14.25" thickBot="1">
      <c r="A188" s="837" t="s">
        <v>526</v>
      </c>
      <c r="B188" s="831" t="s">
        <v>926</v>
      </c>
      <c r="C188" s="1076"/>
      <c r="D188" s="1076"/>
      <c r="E188" s="1076"/>
      <c r="F188" s="1064">
        <v>0.05</v>
      </c>
    </row>
    <row r="189" spans="1:6" ht="24.75" thickBot="1">
      <c r="A189" s="837" t="s">
        <v>526</v>
      </c>
      <c r="B189" s="831" t="s">
        <v>927</v>
      </c>
      <c r="C189" s="1076"/>
      <c r="D189" s="1076"/>
      <c r="E189" s="1076"/>
      <c r="F189" s="1064">
        <v>0.05</v>
      </c>
    </row>
    <row r="190" spans="1:6" ht="24.75" thickBot="1">
      <c r="A190" s="837" t="s">
        <v>526</v>
      </c>
      <c r="B190" s="831" t="s">
        <v>928</v>
      </c>
      <c r="C190" s="1076"/>
      <c r="D190" s="1076"/>
      <c r="E190" s="1076"/>
      <c r="F190" s="1064">
        <v>0.05</v>
      </c>
    </row>
    <row r="191" spans="1:6" ht="24.75" thickBot="1">
      <c r="A191" s="837" t="s">
        <v>526</v>
      </c>
      <c r="B191" s="831" t="s">
        <v>929</v>
      </c>
      <c r="C191" s="1076"/>
      <c r="D191" s="1076"/>
      <c r="E191" s="1076"/>
      <c r="F191" s="1064">
        <v>0.05</v>
      </c>
    </row>
    <row r="192" spans="1:6" ht="24.75" thickBot="1">
      <c r="A192" s="837" t="s">
        <v>526</v>
      </c>
      <c r="B192" s="831" t="s">
        <v>930</v>
      </c>
      <c r="C192" s="1076"/>
      <c r="D192" s="1076"/>
      <c r="E192" s="1076"/>
      <c r="F192" s="1064">
        <v>0.05</v>
      </c>
    </row>
    <row r="193" spans="1:6" ht="24.75" thickBot="1">
      <c r="A193" s="837" t="s">
        <v>526</v>
      </c>
      <c r="B193" s="831" t="s">
        <v>931</v>
      </c>
      <c r="C193" s="1076"/>
      <c r="D193" s="1076"/>
      <c r="E193" s="1076"/>
      <c r="F193" s="1064">
        <v>0.05</v>
      </c>
    </row>
    <row r="194" spans="1:6" ht="24.75" thickBot="1">
      <c r="A194" s="837" t="s">
        <v>526</v>
      </c>
      <c r="B194" s="831" t="s">
        <v>932</v>
      </c>
      <c r="C194" s="1076"/>
      <c r="D194" s="1076"/>
      <c r="E194" s="1076"/>
      <c r="F194" s="1064">
        <v>0.05</v>
      </c>
    </row>
    <row r="195" spans="1:6" ht="14.25" thickBot="1">
      <c r="A195" s="837" t="s">
        <v>526</v>
      </c>
      <c r="B195" s="831" t="s">
        <v>933</v>
      </c>
      <c r="C195" s="1076"/>
      <c r="D195" s="1076"/>
      <c r="E195" s="1076"/>
      <c r="F195" s="1064">
        <v>0.05</v>
      </c>
    </row>
    <row r="196" spans="1:6" ht="24.75" thickBot="1">
      <c r="A196" s="837" t="s">
        <v>526</v>
      </c>
      <c r="B196" s="831" t="s">
        <v>934</v>
      </c>
      <c r="C196" s="1076"/>
      <c r="D196" s="1076"/>
      <c r="E196" s="1076"/>
      <c r="F196" s="1064">
        <v>0.05</v>
      </c>
    </row>
    <row r="197" spans="1:6" ht="24.75" thickBot="1">
      <c r="A197" s="837" t="s">
        <v>526</v>
      </c>
      <c r="B197" s="831" t="s">
        <v>935</v>
      </c>
      <c r="C197" s="1076"/>
      <c r="D197" s="1076"/>
      <c r="E197" s="1076"/>
      <c r="F197" s="1064">
        <v>0.05</v>
      </c>
    </row>
    <row r="198" spans="1:6" ht="24.75" thickBot="1">
      <c r="A198" s="837" t="s">
        <v>526</v>
      </c>
      <c r="B198" s="831" t="s">
        <v>936</v>
      </c>
      <c r="C198" s="1076"/>
      <c r="D198" s="1076"/>
      <c r="E198" s="1076"/>
      <c r="F198" s="1064">
        <v>0.05</v>
      </c>
    </row>
    <row r="199" spans="1:6" ht="24.75" thickBot="1">
      <c r="A199" s="837" t="s">
        <v>526</v>
      </c>
      <c r="B199" s="831" t="s">
        <v>937</v>
      </c>
      <c r="C199" s="1076"/>
      <c r="D199" s="1076"/>
      <c r="E199" s="1076"/>
      <c r="F199" s="1064">
        <v>0.05</v>
      </c>
    </row>
    <row r="200" spans="1:6" ht="24.75" thickBot="1">
      <c r="A200" s="837" t="s">
        <v>526</v>
      </c>
      <c r="B200" s="831" t="s">
        <v>938</v>
      </c>
      <c r="C200" s="1076"/>
      <c r="D200" s="1076"/>
      <c r="E200" s="1076"/>
      <c r="F200" s="1064">
        <v>0.05</v>
      </c>
    </row>
    <row r="201" spans="1:6" ht="24.75" thickBot="1">
      <c r="A201" s="837" t="s">
        <v>526</v>
      </c>
      <c r="B201" s="831" t="s">
        <v>939</v>
      </c>
      <c r="C201" s="1076"/>
      <c r="D201" s="1076"/>
      <c r="E201" s="1076"/>
      <c r="F201" s="1064">
        <v>0.05</v>
      </c>
    </row>
    <row r="202" spans="1:6" ht="24.75" thickBot="1">
      <c r="A202" s="837" t="s">
        <v>526</v>
      </c>
      <c r="B202" s="831" t="s">
        <v>940</v>
      </c>
      <c r="C202" s="1076"/>
      <c r="D202" s="1076"/>
      <c r="E202" s="1076"/>
      <c r="F202" s="1064">
        <v>0.05</v>
      </c>
    </row>
    <row r="203" spans="1:6" ht="24.75" thickBot="1">
      <c r="A203" s="837" t="s">
        <v>526</v>
      </c>
      <c r="B203" s="831" t="s">
        <v>941</v>
      </c>
      <c r="C203" s="1076"/>
      <c r="D203" s="1076"/>
      <c r="E203" s="1076"/>
      <c r="F203" s="1064">
        <v>0.05</v>
      </c>
    </row>
    <row r="204" spans="1:6" ht="14.25" thickBot="1">
      <c r="A204" s="837" t="s">
        <v>526</v>
      </c>
      <c r="B204" s="831" t="s">
        <v>942</v>
      </c>
      <c r="C204" s="1076"/>
      <c r="D204" s="1076"/>
      <c r="E204" s="1076"/>
      <c r="F204" s="1064">
        <v>0.05</v>
      </c>
    </row>
    <row r="205" spans="1:6" ht="14.25" thickBot="1">
      <c r="A205" s="847" t="s">
        <v>526</v>
      </c>
      <c r="B205" s="843" t="s">
        <v>943</v>
      </c>
      <c r="C205" s="1073"/>
      <c r="D205" s="1073"/>
      <c r="E205" s="1073"/>
      <c r="F205" s="1066">
        <v>0.05</v>
      </c>
    </row>
    <row r="206" spans="1:6" ht="14.25" thickBot="1">
      <c r="A206" s="837" t="s">
        <v>528</v>
      </c>
      <c r="B206" s="838" t="s">
        <v>944</v>
      </c>
      <c r="C206" s="1061">
        <v>0.15</v>
      </c>
      <c r="D206" s="1061">
        <v>0.15</v>
      </c>
      <c r="E206" s="1061">
        <v>0.15</v>
      </c>
      <c r="F206" s="1062">
        <v>0.15</v>
      </c>
    </row>
    <row r="207" spans="1:6" ht="14.25" thickBot="1">
      <c r="A207" s="837" t="s">
        <v>528</v>
      </c>
      <c r="B207" s="831" t="s">
        <v>194</v>
      </c>
      <c r="C207" s="1063">
        <v>0.15</v>
      </c>
      <c r="D207" s="1063">
        <v>0.15</v>
      </c>
      <c r="E207" s="1063">
        <v>0.15</v>
      </c>
      <c r="F207" s="1064">
        <v>0.14399999999999999</v>
      </c>
    </row>
    <row r="208" spans="1:6" ht="14.25" thickBot="1">
      <c r="A208" s="837" t="s">
        <v>528</v>
      </c>
      <c r="B208" s="831" t="s">
        <v>207</v>
      </c>
      <c r="C208" s="1063">
        <v>0.15</v>
      </c>
      <c r="D208" s="1063">
        <v>0.15</v>
      </c>
      <c r="E208" s="1063">
        <v>0.15</v>
      </c>
      <c r="F208" s="1064">
        <v>0.15</v>
      </c>
    </row>
    <row r="209" spans="1:6" ht="14.25" thickBot="1">
      <c r="A209" s="837" t="s">
        <v>528</v>
      </c>
      <c r="B209" s="831" t="s">
        <v>220</v>
      </c>
      <c r="C209" s="1063">
        <v>0.13700000000000001</v>
      </c>
      <c r="D209" s="1063">
        <v>0.13700000000000001</v>
      </c>
      <c r="E209" s="1063">
        <v>0.14000000000000001</v>
      </c>
      <c r="F209" s="1064">
        <v>0.11700000000000001</v>
      </c>
    </row>
    <row r="210" spans="1:6" ht="14.25" thickBot="1">
      <c r="A210" s="837" t="s">
        <v>528</v>
      </c>
      <c r="B210" s="831" t="s">
        <v>945</v>
      </c>
      <c r="C210" s="1063">
        <v>0.15</v>
      </c>
      <c r="D210" s="1063">
        <v>0.15</v>
      </c>
      <c r="E210" s="1063">
        <v>0.15</v>
      </c>
      <c r="F210" s="1064">
        <v>0.13800000000000001</v>
      </c>
    </row>
    <row r="211" spans="1:6" ht="14.25" thickBot="1">
      <c r="A211" s="837" t="s">
        <v>528</v>
      </c>
      <c r="B211" s="831" t="s">
        <v>946</v>
      </c>
      <c r="C211" s="1063">
        <v>0.13700000000000001</v>
      </c>
      <c r="D211" s="1063">
        <v>0.13500000000000001</v>
      </c>
      <c r="E211" s="1063">
        <v>0.13600000000000001</v>
      </c>
      <c r="F211" s="1064">
        <v>0.1</v>
      </c>
    </row>
    <row r="212" spans="1:6" ht="14.25" thickBot="1">
      <c r="A212" s="837" t="s">
        <v>528</v>
      </c>
      <c r="B212" s="831" t="s">
        <v>947</v>
      </c>
      <c r="C212" s="1063">
        <v>0.15</v>
      </c>
      <c r="D212" s="1063">
        <v>0.15</v>
      </c>
      <c r="E212" s="1063">
        <v>0.14799999999999999</v>
      </c>
      <c r="F212" s="1064">
        <v>0.13600000000000001</v>
      </c>
    </row>
    <row r="213" spans="1:6" ht="14.25" thickBot="1">
      <c r="A213" s="837" t="s">
        <v>528</v>
      </c>
      <c r="B213" s="831" t="s">
        <v>265</v>
      </c>
      <c r="C213" s="1063">
        <v>0.15</v>
      </c>
      <c r="D213" s="1063">
        <v>0.15</v>
      </c>
      <c r="E213" s="1063">
        <v>0.15</v>
      </c>
      <c r="F213" s="1064">
        <v>0.13800000000000001</v>
      </c>
    </row>
    <row r="214" spans="1:6" ht="14.25" thickBot="1">
      <c r="A214" s="837" t="s">
        <v>528</v>
      </c>
      <c r="B214" s="831" t="s">
        <v>277</v>
      </c>
      <c r="C214" s="1063">
        <v>9.0999999999999998E-2</v>
      </c>
      <c r="D214" s="1063">
        <v>0.09</v>
      </c>
      <c r="E214" s="1063">
        <v>9.1999999999999998E-2</v>
      </c>
      <c r="F214" s="1075"/>
    </row>
    <row r="215" spans="1:6" ht="14.25" thickBot="1">
      <c r="A215" s="837" t="s">
        <v>528</v>
      </c>
      <c r="B215" s="831" t="s">
        <v>948</v>
      </c>
      <c r="C215" s="1063">
        <v>0.15</v>
      </c>
      <c r="D215" s="1063">
        <v>0.15</v>
      </c>
      <c r="E215" s="1063">
        <v>0.15</v>
      </c>
      <c r="F215" s="1064">
        <v>0.15</v>
      </c>
    </row>
    <row r="216" spans="1:6" ht="14.25" thickBot="1">
      <c r="A216" s="837" t="s">
        <v>528</v>
      </c>
      <c r="B216" s="831" t="s">
        <v>297</v>
      </c>
      <c r="C216" s="1063">
        <v>0.14699999999999999</v>
      </c>
      <c r="D216" s="1063">
        <v>0.14699999999999999</v>
      </c>
      <c r="E216" s="1063">
        <v>0.15</v>
      </c>
      <c r="F216" s="1064">
        <v>0.14000000000000001</v>
      </c>
    </row>
    <row r="217" spans="1:6" ht="14.25" thickBot="1">
      <c r="A217" s="837" t="s">
        <v>528</v>
      </c>
      <c r="B217" s="831" t="s">
        <v>307</v>
      </c>
      <c r="C217" s="1063">
        <v>0.15</v>
      </c>
      <c r="D217" s="1063">
        <v>0.15</v>
      </c>
      <c r="E217" s="1063">
        <v>0.15</v>
      </c>
      <c r="F217" s="1064">
        <v>0.15</v>
      </c>
    </row>
    <row r="218" spans="1:6" ht="14.25" thickBot="1">
      <c r="A218" s="837" t="s">
        <v>528</v>
      </c>
      <c r="B218" s="831" t="s">
        <v>949</v>
      </c>
      <c r="C218" s="1063">
        <v>0.15</v>
      </c>
      <c r="D218" s="1063">
        <v>0.15</v>
      </c>
      <c r="E218" s="1063">
        <v>0.15</v>
      </c>
      <c r="F218" s="1064">
        <v>0.15</v>
      </c>
    </row>
    <row r="219" spans="1:6" ht="14.25" thickBot="1">
      <c r="A219" s="837" t="s">
        <v>528</v>
      </c>
      <c r="B219" s="831" t="s">
        <v>328</v>
      </c>
      <c r="C219" s="1063">
        <v>0.15</v>
      </c>
      <c r="D219" s="1063">
        <v>0.15</v>
      </c>
      <c r="E219" s="1063">
        <v>0.15</v>
      </c>
      <c r="F219" s="1064">
        <v>0.14799999999999999</v>
      </c>
    </row>
    <row r="220" spans="1:6" ht="14.25" thickBot="1">
      <c r="A220" s="837" t="s">
        <v>528</v>
      </c>
      <c r="B220" s="831" t="s">
        <v>950</v>
      </c>
      <c r="C220" s="1063">
        <v>0.15</v>
      </c>
      <c r="D220" s="1063">
        <v>0.15</v>
      </c>
      <c r="E220" s="1063">
        <v>0.15</v>
      </c>
      <c r="F220" s="1064">
        <v>0.15</v>
      </c>
    </row>
    <row r="221" spans="1:6" ht="14.25" thickBot="1">
      <c r="A221" s="837" t="s">
        <v>528</v>
      </c>
      <c r="B221" s="831" t="s">
        <v>349</v>
      </c>
      <c r="C221" s="1063"/>
      <c r="D221" s="1076"/>
      <c r="E221" s="1076"/>
      <c r="F221" s="1064">
        <v>0.14799999999999999</v>
      </c>
    </row>
    <row r="222" spans="1:6" ht="14.25" thickBot="1">
      <c r="A222" s="837" t="s">
        <v>528</v>
      </c>
      <c r="B222" s="831" t="s">
        <v>359</v>
      </c>
      <c r="C222" s="1063"/>
      <c r="D222" s="1076"/>
      <c r="E222" s="1076"/>
      <c r="F222" s="1064">
        <v>0.1</v>
      </c>
    </row>
    <row r="223" spans="1:6" ht="14.25" thickBot="1">
      <c r="A223" s="837" t="s">
        <v>528</v>
      </c>
      <c r="B223" s="831" t="s">
        <v>369</v>
      </c>
      <c r="C223" s="1063"/>
      <c r="D223" s="1076"/>
      <c r="E223" s="1076"/>
      <c r="F223" s="1064">
        <v>0.15</v>
      </c>
    </row>
    <row r="224" spans="1:6" ht="14.25" thickBot="1">
      <c r="A224" s="837" t="s">
        <v>528</v>
      </c>
      <c r="B224" s="831" t="s">
        <v>379</v>
      </c>
      <c r="C224" s="1063"/>
      <c r="D224" s="1076"/>
      <c r="E224" s="1076"/>
      <c r="F224" s="1064">
        <v>0.15</v>
      </c>
    </row>
    <row r="225" spans="1:6" ht="14.25" thickBot="1">
      <c r="A225" s="837" t="s">
        <v>528</v>
      </c>
      <c r="B225" s="831" t="s">
        <v>951</v>
      </c>
      <c r="C225" s="1063">
        <v>0.15</v>
      </c>
      <c r="D225" s="1063">
        <v>0.15</v>
      </c>
      <c r="E225" s="1063">
        <v>0.15</v>
      </c>
      <c r="F225" s="1064">
        <v>0.15</v>
      </c>
    </row>
    <row r="226" spans="1:6" ht="14.25" thickBot="1">
      <c r="A226" s="837" t="s">
        <v>528</v>
      </c>
      <c r="B226" s="831" t="s">
        <v>397</v>
      </c>
      <c r="C226" s="1063">
        <v>0.15</v>
      </c>
      <c r="D226" s="1063">
        <v>0.15</v>
      </c>
      <c r="E226" s="1063">
        <v>0.15</v>
      </c>
      <c r="F226" s="1064">
        <v>0.14799999999999999</v>
      </c>
    </row>
    <row r="227" spans="1:6" ht="14.25" thickBot="1">
      <c r="A227" s="837" t="s">
        <v>528</v>
      </c>
      <c r="B227" s="831" t="s">
        <v>952</v>
      </c>
      <c r="C227" s="1063">
        <v>0.15</v>
      </c>
      <c r="D227" s="1063">
        <v>0.15</v>
      </c>
      <c r="E227" s="1063">
        <v>0.15</v>
      </c>
      <c r="F227" s="1064">
        <v>0.15</v>
      </c>
    </row>
    <row r="228" spans="1:6" ht="14.25" thickBot="1">
      <c r="A228" s="837" t="s">
        <v>528</v>
      </c>
      <c r="B228" s="831" t="s">
        <v>412</v>
      </c>
      <c r="C228" s="1063">
        <v>0.15</v>
      </c>
      <c r="D228" s="1063">
        <v>0.15</v>
      </c>
      <c r="E228" s="1063">
        <v>0.15</v>
      </c>
      <c r="F228" s="1064">
        <v>0.15</v>
      </c>
    </row>
    <row r="229" spans="1:6" ht="14.25" thickBot="1">
      <c r="A229" s="837" t="s">
        <v>528</v>
      </c>
      <c r="B229" s="831" t="s">
        <v>419</v>
      </c>
      <c r="C229" s="1063">
        <v>0.15</v>
      </c>
      <c r="D229" s="1063">
        <v>0.15</v>
      </c>
      <c r="E229" s="1063">
        <v>0.15</v>
      </c>
      <c r="F229" s="1075"/>
    </row>
    <row r="230" spans="1:6" ht="14.25" thickBot="1">
      <c r="A230" s="837" t="s">
        <v>528</v>
      </c>
      <c r="B230" s="831" t="s">
        <v>426</v>
      </c>
      <c r="C230" s="1063">
        <v>0.14499999999999999</v>
      </c>
      <c r="D230" s="1063">
        <v>0.14499999999999999</v>
      </c>
      <c r="E230" s="1063">
        <v>0.14399999999999999</v>
      </c>
      <c r="F230" s="1075"/>
    </row>
    <row r="231" spans="1:6" ht="14.25" thickBot="1">
      <c r="A231" s="837" t="s">
        <v>528</v>
      </c>
      <c r="B231" s="831" t="s">
        <v>953</v>
      </c>
      <c r="C231" s="1063">
        <v>0.128</v>
      </c>
      <c r="D231" s="1063">
        <v>0.125</v>
      </c>
      <c r="E231" s="1063">
        <v>0.13200000000000001</v>
      </c>
      <c r="F231" s="1075"/>
    </row>
    <row r="232" spans="1:6" ht="14.25" thickBot="1">
      <c r="A232" s="837" t="s">
        <v>528</v>
      </c>
      <c r="B232" s="831" t="s">
        <v>954</v>
      </c>
      <c r="C232" s="1063">
        <v>0.14499999999999999</v>
      </c>
      <c r="D232" s="1063">
        <v>0.14399999999999999</v>
      </c>
      <c r="E232" s="1063">
        <v>0.14599999999999999</v>
      </c>
      <c r="F232" s="1064">
        <v>0.13800000000000001</v>
      </c>
    </row>
    <row r="233" spans="1:6" ht="14.25" thickBot="1">
      <c r="A233" s="837" t="s">
        <v>528</v>
      </c>
      <c r="B233" s="831" t="s">
        <v>955</v>
      </c>
      <c r="C233" s="1063">
        <v>0.14499999999999999</v>
      </c>
      <c r="D233" s="1063">
        <v>0.14299999999999999</v>
      </c>
      <c r="E233" s="1063">
        <v>0.14199999999999999</v>
      </c>
      <c r="F233" s="1075"/>
    </row>
    <row r="234" spans="1:6" ht="14.25" thickBot="1">
      <c r="A234" s="837" t="s">
        <v>528</v>
      </c>
      <c r="B234" s="831" t="s">
        <v>956</v>
      </c>
      <c r="C234" s="1063">
        <v>0.14000000000000001</v>
      </c>
      <c r="D234" s="1063">
        <v>0.14000000000000001</v>
      </c>
      <c r="E234" s="1063">
        <v>0.14399999999999999</v>
      </c>
      <c r="F234" s="1075"/>
    </row>
    <row r="235" spans="1:6" ht="14.25" thickBot="1">
      <c r="A235" s="837" t="s">
        <v>528</v>
      </c>
      <c r="B235" s="831" t="s">
        <v>957</v>
      </c>
      <c r="C235" s="1063">
        <v>0.14099999999999999</v>
      </c>
      <c r="D235" s="1063">
        <v>0.14199999999999999</v>
      </c>
      <c r="E235" s="1063">
        <v>0.14499999999999999</v>
      </c>
      <c r="F235" s="1064">
        <v>0.15</v>
      </c>
    </row>
    <row r="236" spans="1:6" ht="14.25" thickBot="1">
      <c r="A236" s="837" t="s">
        <v>528</v>
      </c>
      <c r="B236" s="831" t="s">
        <v>461</v>
      </c>
      <c r="C236" s="1076"/>
      <c r="D236" s="1076"/>
      <c r="E236" s="1076"/>
      <c r="F236" s="1064">
        <v>0.14299999999999999</v>
      </c>
    </row>
    <row r="237" spans="1:6" ht="24.75" thickBot="1">
      <c r="A237" s="837" t="s">
        <v>528</v>
      </c>
      <c r="B237" s="831" t="s">
        <v>958</v>
      </c>
      <c r="C237" s="1076"/>
      <c r="D237" s="1076"/>
      <c r="E237" s="1076"/>
      <c r="F237" s="1064">
        <v>0.05</v>
      </c>
    </row>
    <row r="238" spans="1:6" ht="24.75" thickBot="1">
      <c r="A238" s="837" t="s">
        <v>528</v>
      </c>
      <c r="B238" s="831" t="s">
        <v>959</v>
      </c>
      <c r="C238" s="1076"/>
      <c r="D238" s="1076"/>
      <c r="E238" s="1076"/>
      <c r="F238" s="1064">
        <v>0.05</v>
      </c>
    </row>
    <row r="239" spans="1:6" ht="24.75" thickBot="1">
      <c r="A239" s="837" t="s">
        <v>528</v>
      </c>
      <c r="B239" s="831" t="s">
        <v>960</v>
      </c>
      <c r="C239" s="1076"/>
      <c r="D239" s="1076"/>
      <c r="E239" s="1076"/>
      <c r="F239" s="1064">
        <v>0.05</v>
      </c>
    </row>
    <row r="240" spans="1:6" ht="24.75" thickBot="1">
      <c r="A240" s="837" t="s">
        <v>528</v>
      </c>
      <c r="B240" s="831" t="s">
        <v>961</v>
      </c>
      <c r="C240" s="1076"/>
      <c r="D240" s="1076"/>
      <c r="E240" s="1076"/>
      <c r="F240" s="1064">
        <v>0.05</v>
      </c>
    </row>
    <row r="241" spans="1:6" ht="24.75" thickBot="1">
      <c r="A241" s="837" t="s">
        <v>528</v>
      </c>
      <c r="B241" s="831" t="s">
        <v>962</v>
      </c>
      <c r="C241" s="1076"/>
      <c r="D241" s="1076"/>
      <c r="E241" s="1076"/>
      <c r="F241" s="1064">
        <v>0.05</v>
      </c>
    </row>
    <row r="242" spans="1:6" ht="24.75" thickBot="1">
      <c r="A242" s="837" t="s">
        <v>528</v>
      </c>
      <c r="B242" s="831" t="s">
        <v>963</v>
      </c>
      <c r="C242" s="1076"/>
      <c r="D242" s="1076"/>
      <c r="E242" s="1076"/>
      <c r="F242" s="1064">
        <v>0.05</v>
      </c>
    </row>
    <row r="243" spans="1:6" ht="24.75" thickBot="1">
      <c r="A243" s="837" t="s">
        <v>528</v>
      </c>
      <c r="B243" s="831" t="s">
        <v>964</v>
      </c>
      <c r="C243" s="1076"/>
      <c r="D243" s="1076"/>
      <c r="E243" s="1076"/>
      <c r="F243" s="1064">
        <v>0.05</v>
      </c>
    </row>
    <row r="244" spans="1:6" ht="24.75" thickBot="1">
      <c r="A244" s="847" t="s">
        <v>528</v>
      </c>
      <c r="B244" s="843" t="s">
        <v>965</v>
      </c>
      <c r="C244" s="1073"/>
      <c r="D244" s="1073"/>
      <c r="E244" s="1073"/>
      <c r="F244" s="1066">
        <v>0.05</v>
      </c>
    </row>
    <row r="245" spans="1:6" ht="14.25" thickBot="1">
      <c r="A245" s="837" t="s">
        <v>530</v>
      </c>
      <c r="B245" s="838" t="s">
        <v>966</v>
      </c>
      <c r="C245" s="1061">
        <v>0.15</v>
      </c>
      <c r="D245" s="1061">
        <v>0.15</v>
      </c>
      <c r="E245" s="1061">
        <v>0.15</v>
      </c>
      <c r="F245" s="1062">
        <v>0.14299999999999999</v>
      </c>
    </row>
    <row r="246" spans="1:6" ht="14.25" thickBot="1">
      <c r="A246" s="837" t="s">
        <v>530</v>
      </c>
      <c r="B246" s="831" t="s">
        <v>195</v>
      </c>
      <c r="C246" s="1063">
        <v>0.15</v>
      </c>
      <c r="D246" s="1063">
        <v>0.15</v>
      </c>
      <c r="E246" s="1063">
        <v>0.15</v>
      </c>
      <c r="F246" s="1064">
        <v>0.114</v>
      </c>
    </row>
    <row r="247" spans="1:6" ht="14.25" thickBot="1">
      <c r="A247" s="837" t="s">
        <v>530</v>
      </c>
      <c r="B247" s="831" t="s">
        <v>967</v>
      </c>
      <c r="C247" s="1063">
        <v>0.15</v>
      </c>
      <c r="D247" s="1063">
        <v>0.15</v>
      </c>
      <c r="E247" s="1063">
        <v>0.15</v>
      </c>
      <c r="F247" s="1064">
        <v>0.15</v>
      </c>
    </row>
    <row r="248" spans="1:6" ht="14.25" thickBot="1">
      <c r="A248" s="837" t="s">
        <v>530</v>
      </c>
      <c r="B248" s="831" t="s">
        <v>968</v>
      </c>
      <c r="C248" s="1063">
        <v>0.15</v>
      </c>
      <c r="D248" s="1063">
        <v>0.15</v>
      </c>
      <c r="E248" s="1063">
        <v>0.15</v>
      </c>
      <c r="F248" s="1064">
        <v>0.14000000000000001</v>
      </c>
    </row>
    <row r="249" spans="1:6" ht="14.25" thickBot="1">
      <c r="A249" s="837" t="s">
        <v>530</v>
      </c>
      <c r="B249" s="831" t="s">
        <v>969</v>
      </c>
      <c r="C249" s="1063">
        <v>0.15</v>
      </c>
      <c r="D249" s="1063">
        <v>0.14899999999999999</v>
      </c>
      <c r="E249" s="1063">
        <v>0.15</v>
      </c>
      <c r="F249" s="1064">
        <v>0.1</v>
      </c>
    </row>
    <row r="250" spans="1:6" ht="14.25" thickBot="1">
      <c r="A250" s="837" t="s">
        <v>530</v>
      </c>
      <c r="B250" s="831" t="s">
        <v>970</v>
      </c>
      <c r="C250" s="1063">
        <v>0.15</v>
      </c>
      <c r="D250" s="1063">
        <v>0.15</v>
      </c>
      <c r="E250" s="1063">
        <v>0.15</v>
      </c>
      <c r="F250" s="1064">
        <v>0.14399999999999999</v>
      </c>
    </row>
    <row r="251" spans="1:6" ht="14.25" thickBot="1">
      <c r="A251" s="837" t="s">
        <v>530</v>
      </c>
      <c r="B251" s="831" t="s">
        <v>255</v>
      </c>
      <c r="C251" s="1063">
        <v>0.15</v>
      </c>
      <c r="D251" s="1063">
        <v>0.15</v>
      </c>
      <c r="E251" s="1063">
        <v>0.15</v>
      </c>
      <c r="F251" s="1064">
        <v>0.14299999999999999</v>
      </c>
    </row>
    <row r="252" spans="1:6" ht="14.25" thickBot="1">
      <c r="A252" s="837" t="s">
        <v>530</v>
      </c>
      <c r="B252" s="831" t="s">
        <v>266</v>
      </c>
      <c r="C252" s="1063">
        <v>0.15</v>
      </c>
      <c r="D252" s="1063">
        <v>0.15</v>
      </c>
      <c r="E252" s="1063">
        <v>0.15</v>
      </c>
      <c r="F252" s="1064">
        <v>0.1</v>
      </c>
    </row>
    <row r="253" spans="1:6" ht="14.25" thickBot="1">
      <c r="A253" s="837" t="s">
        <v>530</v>
      </c>
      <c r="B253" s="831" t="s">
        <v>278</v>
      </c>
      <c r="C253" s="1063">
        <v>0.15</v>
      </c>
      <c r="D253" s="1063">
        <v>0.15</v>
      </c>
      <c r="E253" s="1063">
        <v>0.15</v>
      </c>
      <c r="F253" s="1064">
        <v>0.1</v>
      </c>
    </row>
    <row r="254" spans="1:6" ht="14.25" thickBot="1">
      <c r="A254" s="837" t="s">
        <v>530</v>
      </c>
      <c r="B254" s="831" t="s">
        <v>288</v>
      </c>
      <c r="C254" s="1076"/>
      <c r="D254" s="1076"/>
      <c r="E254" s="1076"/>
      <c r="F254" s="1064">
        <v>0.15</v>
      </c>
    </row>
    <row r="255" spans="1:6" ht="14.25" thickBot="1">
      <c r="A255" s="837" t="s">
        <v>530</v>
      </c>
      <c r="B255" s="831" t="s">
        <v>298</v>
      </c>
      <c r="C255" s="1076"/>
      <c r="D255" s="1076"/>
      <c r="E255" s="1076"/>
      <c r="F255" s="1064">
        <v>0.14299999999999999</v>
      </c>
    </row>
    <row r="256" spans="1:6" ht="14.25" thickBot="1">
      <c r="A256" s="837" t="s">
        <v>530</v>
      </c>
      <c r="B256" s="831" t="s">
        <v>971</v>
      </c>
      <c r="C256" s="1063">
        <v>0.14599999999999999</v>
      </c>
      <c r="D256" s="1063">
        <v>0.14699999999999999</v>
      </c>
      <c r="E256" s="1063">
        <v>0.15</v>
      </c>
      <c r="F256" s="1064">
        <v>0.13200000000000001</v>
      </c>
    </row>
    <row r="257" spans="1:6" ht="14.25" thickBot="1">
      <c r="A257" s="837" t="s">
        <v>530</v>
      </c>
      <c r="B257" s="831" t="s">
        <v>318</v>
      </c>
      <c r="C257" s="1063">
        <v>0.15</v>
      </c>
      <c r="D257" s="1063">
        <v>0.15</v>
      </c>
      <c r="E257" s="1063">
        <v>0.15</v>
      </c>
      <c r="F257" s="1064">
        <v>0.13900000000000001</v>
      </c>
    </row>
    <row r="258" spans="1:6" ht="14.25" thickBot="1">
      <c r="A258" s="837" t="s">
        <v>530</v>
      </c>
      <c r="B258" s="831" t="s">
        <v>329</v>
      </c>
      <c r="C258" s="1063">
        <v>0.15</v>
      </c>
      <c r="D258" s="1063">
        <v>0.15</v>
      </c>
      <c r="E258" s="1063">
        <v>0.15</v>
      </c>
      <c r="F258" s="1064">
        <v>0.13</v>
      </c>
    </row>
    <row r="259" spans="1:6" ht="14.25" thickBot="1">
      <c r="A259" s="837" t="s">
        <v>530</v>
      </c>
      <c r="B259" s="831" t="s">
        <v>972</v>
      </c>
      <c r="C259" s="1063">
        <v>0.14799999999999999</v>
      </c>
      <c r="D259" s="1063">
        <v>0.14899999999999999</v>
      </c>
      <c r="E259" s="1063">
        <v>0.15</v>
      </c>
      <c r="F259" s="1064">
        <v>0.13700000000000001</v>
      </c>
    </row>
    <row r="260" spans="1:6" ht="14.25" thickBot="1">
      <c r="A260" s="837" t="s">
        <v>530</v>
      </c>
      <c r="B260" s="831" t="s">
        <v>350</v>
      </c>
      <c r="C260" s="1063">
        <v>0.15</v>
      </c>
      <c r="D260" s="1063">
        <v>0.15</v>
      </c>
      <c r="E260" s="1063">
        <v>0.15</v>
      </c>
      <c r="F260" s="1064">
        <v>0.14199999999999999</v>
      </c>
    </row>
    <row r="261" spans="1:6" ht="14.25" thickBot="1">
      <c r="A261" s="837" t="s">
        <v>530</v>
      </c>
      <c r="B261" s="831" t="s">
        <v>360</v>
      </c>
      <c r="C261" s="1063">
        <v>0.15</v>
      </c>
      <c r="D261" s="1063">
        <v>0.15</v>
      </c>
      <c r="E261" s="1063">
        <v>0.14899999999999999</v>
      </c>
      <c r="F261" s="1064">
        <v>0.14799999999999999</v>
      </c>
    </row>
    <row r="262" spans="1:6" ht="14.25" thickBot="1">
      <c r="A262" s="837" t="s">
        <v>530</v>
      </c>
      <c r="B262" s="831" t="s">
        <v>370</v>
      </c>
      <c r="C262" s="1063">
        <v>0.15</v>
      </c>
      <c r="D262" s="1063">
        <v>0.15</v>
      </c>
      <c r="E262" s="1063">
        <v>0.15</v>
      </c>
      <c r="F262" s="1075"/>
    </row>
    <row r="263" spans="1:6" ht="14.25" thickBot="1">
      <c r="A263" s="837" t="s">
        <v>530</v>
      </c>
      <c r="B263" s="831" t="s">
        <v>973</v>
      </c>
      <c r="C263" s="1063">
        <v>0.14899999999999999</v>
      </c>
      <c r="D263" s="1063">
        <v>0.14899999999999999</v>
      </c>
      <c r="E263" s="1063">
        <v>0.15</v>
      </c>
      <c r="F263" s="1064">
        <v>0.13</v>
      </c>
    </row>
    <row r="264" spans="1:6" ht="14.25" thickBot="1">
      <c r="A264" s="837" t="s">
        <v>530</v>
      </c>
      <c r="B264" s="831" t="s">
        <v>389</v>
      </c>
      <c r="C264" s="1063">
        <v>0.14799999999999999</v>
      </c>
      <c r="D264" s="1063">
        <v>0.14699999999999999</v>
      </c>
      <c r="E264" s="1063">
        <v>0.15</v>
      </c>
      <c r="F264" s="1064">
        <v>7.8E-2</v>
      </c>
    </row>
    <row r="265" spans="1:6" ht="14.25" thickBot="1">
      <c r="A265" s="837" t="s">
        <v>530</v>
      </c>
      <c r="B265" s="831" t="s">
        <v>398</v>
      </c>
      <c r="C265" s="1063">
        <v>0.15</v>
      </c>
      <c r="D265" s="1063">
        <v>0.15</v>
      </c>
      <c r="E265" s="1063">
        <v>0.15</v>
      </c>
      <c r="F265" s="1064">
        <v>7.3999999999999996E-2</v>
      </c>
    </row>
    <row r="266" spans="1:6" ht="14.25" thickBot="1">
      <c r="A266" s="837" t="s">
        <v>530</v>
      </c>
      <c r="B266" s="831" t="s">
        <v>406</v>
      </c>
      <c r="C266" s="1063">
        <v>0.14699999999999999</v>
      </c>
      <c r="D266" s="1063">
        <v>0.14699999999999999</v>
      </c>
      <c r="E266" s="1063">
        <v>0.15</v>
      </c>
      <c r="F266" s="1064">
        <v>0.14299999999999999</v>
      </c>
    </row>
    <row r="267" spans="1:6" ht="14.25" thickBot="1">
      <c r="A267" s="837" t="s">
        <v>530</v>
      </c>
      <c r="B267" s="831" t="s">
        <v>413</v>
      </c>
      <c r="C267" s="1063">
        <v>0.14199999999999999</v>
      </c>
      <c r="D267" s="1063">
        <v>0.14299999999999999</v>
      </c>
      <c r="E267" s="1063">
        <v>0.15</v>
      </c>
      <c r="F267" s="1075"/>
    </row>
    <row r="268" spans="1:6" ht="14.25" thickBot="1">
      <c r="A268" s="837" t="s">
        <v>530</v>
      </c>
      <c r="B268" s="831" t="s">
        <v>974</v>
      </c>
      <c r="C268" s="1063">
        <v>0.15</v>
      </c>
      <c r="D268" s="1063">
        <v>0.15</v>
      </c>
      <c r="E268" s="1063">
        <v>0.15</v>
      </c>
      <c r="F268" s="1064">
        <v>0.13</v>
      </c>
    </row>
    <row r="269" spans="1:6" ht="14.25" thickBot="1">
      <c r="A269" s="837" t="s">
        <v>530</v>
      </c>
      <c r="B269" s="831" t="s">
        <v>427</v>
      </c>
      <c r="C269" s="1063">
        <v>0.15</v>
      </c>
      <c r="D269" s="1063">
        <v>0.15</v>
      </c>
      <c r="E269" s="1063">
        <v>0.15</v>
      </c>
      <c r="F269" s="1064">
        <v>0.14299999999999999</v>
      </c>
    </row>
    <row r="270" spans="1:6" ht="14.25" thickBot="1">
      <c r="A270" s="837" t="s">
        <v>530</v>
      </c>
      <c r="B270" s="831" t="s">
        <v>434</v>
      </c>
      <c r="C270" s="1063">
        <v>0.14499999999999999</v>
      </c>
      <c r="D270" s="1063">
        <v>0.14499999999999999</v>
      </c>
      <c r="E270" s="1063">
        <v>0.15</v>
      </c>
      <c r="F270" s="1064">
        <v>0.14699999999999999</v>
      </c>
    </row>
    <row r="271" spans="1:6" ht="14.25" thickBot="1">
      <c r="A271" s="837" t="s">
        <v>530</v>
      </c>
      <c r="B271" s="831" t="s">
        <v>441</v>
      </c>
      <c r="C271" s="1063">
        <v>0.15</v>
      </c>
      <c r="D271" s="1063">
        <v>0.15</v>
      </c>
      <c r="E271" s="1063">
        <v>0.15</v>
      </c>
      <c r="F271" s="1064">
        <v>0.13800000000000001</v>
      </c>
    </row>
    <row r="272" spans="1:6" ht="14.25" thickBot="1">
      <c r="A272" s="837" t="s">
        <v>530</v>
      </c>
      <c r="B272" s="831" t="s">
        <v>448</v>
      </c>
      <c r="C272" s="1076"/>
      <c r="D272" s="1076"/>
      <c r="E272" s="1076"/>
      <c r="F272" s="1064">
        <v>0.14000000000000001</v>
      </c>
    </row>
    <row r="273" spans="1:6" ht="14.25" thickBot="1">
      <c r="A273" s="837" t="s">
        <v>530</v>
      </c>
      <c r="B273" s="831" t="s">
        <v>975</v>
      </c>
      <c r="C273" s="1063">
        <v>0.14199999999999999</v>
      </c>
      <c r="D273" s="1063">
        <v>0.14299999999999999</v>
      </c>
      <c r="E273" s="1063">
        <v>0.15</v>
      </c>
      <c r="F273" s="1064">
        <v>0.1</v>
      </c>
    </row>
    <row r="274" spans="1:6" ht="14.25" thickBot="1">
      <c r="A274" s="837" t="s">
        <v>530</v>
      </c>
      <c r="B274" s="831" t="s">
        <v>976</v>
      </c>
      <c r="C274" s="1063">
        <v>0.14799999999999999</v>
      </c>
      <c r="D274" s="1063">
        <v>0.14799999999999999</v>
      </c>
      <c r="E274" s="1063">
        <v>0.15</v>
      </c>
      <c r="F274" s="1064">
        <v>6.7000000000000004E-2</v>
      </c>
    </row>
    <row r="275" spans="1:6" ht="14.25" thickBot="1">
      <c r="A275" s="837" t="s">
        <v>530</v>
      </c>
      <c r="B275" s="831" t="s">
        <v>977</v>
      </c>
      <c r="C275" s="1063">
        <v>0.15</v>
      </c>
      <c r="D275" s="1063">
        <v>0.15</v>
      </c>
      <c r="E275" s="1063">
        <v>0.15</v>
      </c>
      <c r="F275" s="1064">
        <v>0.15</v>
      </c>
    </row>
    <row r="276" spans="1:6" ht="14.25" thickBot="1">
      <c r="A276" s="837" t="s">
        <v>530</v>
      </c>
      <c r="B276" s="831" t="s">
        <v>978</v>
      </c>
      <c r="C276" s="1063">
        <v>0.14499999999999999</v>
      </c>
      <c r="D276" s="1063">
        <v>0.14299999999999999</v>
      </c>
      <c r="E276" s="1063">
        <v>0.15</v>
      </c>
      <c r="F276" s="1064">
        <v>5.8999999999999997E-2</v>
      </c>
    </row>
    <row r="277" spans="1:6" ht="14.25" thickBot="1">
      <c r="A277" s="837" t="s">
        <v>530</v>
      </c>
      <c r="B277" s="831" t="s">
        <v>979</v>
      </c>
      <c r="C277" s="1063">
        <v>0.15</v>
      </c>
      <c r="D277" s="1063">
        <v>0.15</v>
      </c>
      <c r="E277" s="1063">
        <v>0.15</v>
      </c>
      <c r="F277" s="1064">
        <v>0.121</v>
      </c>
    </row>
    <row r="278" spans="1:6" ht="14.25" thickBot="1">
      <c r="A278" s="837" t="s">
        <v>530</v>
      </c>
      <c r="B278" s="831" t="s">
        <v>980</v>
      </c>
      <c r="C278" s="1063">
        <v>0.15</v>
      </c>
      <c r="D278" s="1063">
        <v>0.15</v>
      </c>
      <c r="E278" s="1063">
        <v>0.15</v>
      </c>
      <c r="F278" s="1064">
        <v>0.13800000000000001</v>
      </c>
    </row>
    <row r="279" spans="1:6" ht="24.75" thickBot="1">
      <c r="A279" s="837" t="s">
        <v>530</v>
      </c>
      <c r="B279" s="831" t="s">
        <v>981</v>
      </c>
      <c r="C279" s="1076"/>
      <c r="D279" s="1076"/>
      <c r="E279" s="1076"/>
      <c r="F279" s="1064">
        <v>0.05</v>
      </c>
    </row>
    <row r="280" spans="1:6" ht="24.75" thickBot="1">
      <c r="A280" s="837" t="s">
        <v>530</v>
      </c>
      <c r="B280" s="831" t="s">
        <v>982</v>
      </c>
      <c r="C280" s="1076"/>
      <c r="D280" s="1076"/>
      <c r="E280" s="1076"/>
      <c r="F280" s="1064">
        <v>0.05</v>
      </c>
    </row>
    <row r="281" spans="1:6" ht="24.75" thickBot="1">
      <c r="A281" s="837" t="s">
        <v>530</v>
      </c>
      <c r="B281" s="831" t="s">
        <v>983</v>
      </c>
      <c r="C281" s="1076"/>
      <c r="D281" s="1076"/>
      <c r="E281" s="1076"/>
      <c r="F281" s="1064">
        <v>0.05</v>
      </c>
    </row>
    <row r="282" spans="1:6" ht="24.75" thickBot="1">
      <c r="A282" s="837" t="s">
        <v>530</v>
      </c>
      <c r="B282" s="831" t="s">
        <v>984</v>
      </c>
      <c r="C282" s="1076"/>
      <c r="D282" s="1076"/>
      <c r="E282" s="1076"/>
      <c r="F282" s="1064">
        <v>0.05</v>
      </c>
    </row>
    <row r="283" spans="1:6" ht="24.75" thickBot="1">
      <c r="A283" s="837" t="s">
        <v>530</v>
      </c>
      <c r="B283" s="831" t="s">
        <v>985</v>
      </c>
      <c r="C283" s="1076"/>
      <c r="D283" s="1076"/>
      <c r="E283" s="1076"/>
      <c r="F283" s="1064">
        <v>0.05</v>
      </c>
    </row>
    <row r="284" spans="1:6" ht="24.75" thickBot="1">
      <c r="A284" s="837" t="s">
        <v>530</v>
      </c>
      <c r="B284" s="831" t="s">
        <v>986</v>
      </c>
      <c r="C284" s="1076"/>
      <c r="D284" s="1076"/>
      <c r="E284" s="1076"/>
      <c r="F284" s="1064">
        <v>0.05</v>
      </c>
    </row>
    <row r="285" spans="1:6" ht="24.75" thickBot="1">
      <c r="A285" s="837" t="s">
        <v>530</v>
      </c>
      <c r="B285" s="831" t="s">
        <v>987</v>
      </c>
      <c r="C285" s="1076"/>
      <c r="D285" s="1076"/>
      <c r="E285" s="1076"/>
      <c r="F285" s="1064">
        <v>0.05</v>
      </c>
    </row>
    <row r="286" spans="1:6" ht="24.75" thickBot="1">
      <c r="A286" s="837" t="s">
        <v>530</v>
      </c>
      <c r="B286" s="831" t="s">
        <v>988</v>
      </c>
      <c r="C286" s="1076"/>
      <c r="D286" s="1076"/>
      <c r="E286" s="1076"/>
      <c r="F286" s="1064">
        <v>0.05</v>
      </c>
    </row>
    <row r="287" spans="1:6" ht="24.75" thickBot="1">
      <c r="A287" s="837" t="s">
        <v>530</v>
      </c>
      <c r="B287" s="831" t="s">
        <v>989</v>
      </c>
      <c r="C287" s="1076"/>
      <c r="D287" s="1076"/>
      <c r="E287" s="1076"/>
      <c r="F287" s="1064">
        <v>0.05</v>
      </c>
    </row>
    <row r="288" spans="1:6" ht="24.75" thickBot="1">
      <c r="A288" s="837" t="s">
        <v>530</v>
      </c>
      <c r="B288" s="831" t="s">
        <v>990</v>
      </c>
      <c r="C288" s="1076"/>
      <c r="D288" s="1076"/>
      <c r="E288" s="1076"/>
      <c r="F288" s="1064">
        <v>0.05</v>
      </c>
    </row>
    <row r="289" spans="1:6" ht="24.75" thickBot="1">
      <c r="A289" s="847" t="s">
        <v>530</v>
      </c>
      <c r="B289" s="843" t="s">
        <v>991</v>
      </c>
      <c r="C289" s="1073"/>
      <c r="D289" s="1073"/>
      <c r="E289" s="1073"/>
      <c r="F289" s="1066">
        <v>0.05</v>
      </c>
    </row>
    <row r="290" spans="1:6" ht="14.25" thickBot="1">
      <c r="A290" s="837" t="s">
        <v>534</v>
      </c>
      <c r="B290" s="838" t="s">
        <v>992</v>
      </c>
      <c r="C290" s="1061">
        <v>0.15</v>
      </c>
      <c r="D290" s="1061">
        <v>0.15</v>
      </c>
      <c r="E290" s="1061">
        <v>0.15</v>
      </c>
      <c r="F290" s="1078"/>
    </row>
    <row r="291" spans="1:6" ht="14.25" thickBot="1">
      <c r="A291" s="837" t="s">
        <v>534</v>
      </c>
      <c r="B291" s="831" t="s">
        <v>196</v>
      </c>
      <c r="C291" s="1063">
        <v>0.15</v>
      </c>
      <c r="D291" s="1063">
        <v>0.15</v>
      </c>
      <c r="E291" s="1063">
        <v>0.15</v>
      </c>
      <c r="F291" s="1075"/>
    </row>
    <row r="292" spans="1:6" ht="14.25" thickBot="1">
      <c r="A292" s="837" t="s">
        <v>534</v>
      </c>
      <c r="B292" s="831" t="s">
        <v>993</v>
      </c>
      <c r="C292" s="1063">
        <v>0.15</v>
      </c>
      <c r="D292" s="1063">
        <v>0.15</v>
      </c>
      <c r="E292" s="1063">
        <v>0.15</v>
      </c>
      <c r="F292" s="1064">
        <v>0.14699999999999999</v>
      </c>
    </row>
    <row r="293" spans="1:6" ht="14.25" thickBot="1">
      <c r="A293" s="837" t="s">
        <v>534</v>
      </c>
      <c r="B293" s="831" t="s">
        <v>994</v>
      </c>
      <c r="C293" s="1076"/>
      <c r="D293" s="1076"/>
      <c r="E293" s="1076"/>
      <c r="F293" s="1064">
        <v>0.1</v>
      </c>
    </row>
    <row r="294" spans="1:6" ht="14.25" thickBot="1">
      <c r="A294" s="837" t="s">
        <v>534</v>
      </c>
      <c r="B294" s="831" t="s">
        <v>995</v>
      </c>
      <c r="C294" s="1063">
        <v>0.15</v>
      </c>
      <c r="D294" s="1063">
        <v>0.15</v>
      </c>
      <c r="E294" s="1063">
        <v>0.15</v>
      </c>
      <c r="F294" s="1064">
        <v>0.15</v>
      </c>
    </row>
    <row r="295" spans="1:6" ht="14.25" thickBot="1">
      <c r="A295" s="837" t="s">
        <v>534</v>
      </c>
      <c r="B295" s="831" t="s">
        <v>234</v>
      </c>
      <c r="C295" s="1063">
        <v>0.15</v>
      </c>
      <c r="D295" s="1063">
        <v>0.15</v>
      </c>
      <c r="E295" s="1063">
        <v>0.15</v>
      </c>
      <c r="F295" s="1064">
        <v>0.15</v>
      </c>
    </row>
    <row r="296" spans="1:6" ht="14.25" thickBot="1">
      <c r="A296" s="837" t="s">
        <v>534</v>
      </c>
      <c r="B296" s="831" t="s">
        <v>996</v>
      </c>
      <c r="C296" s="1063">
        <v>0.15</v>
      </c>
      <c r="D296" s="1063">
        <v>0.15</v>
      </c>
      <c r="E296" s="1063">
        <v>0.15</v>
      </c>
      <c r="F296" s="1064">
        <v>0.15</v>
      </c>
    </row>
    <row r="297" spans="1:6" ht="14.25" thickBot="1">
      <c r="A297" s="837" t="s">
        <v>534</v>
      </c>
      <c r="B297" s="831" t="s">
        <v>997</v>
      </c>
      <c r="C297" s="1063">
        <v>0.14799999999999999</v>
      </c>
      <c r="D297" s="1063">
        <v>0.14899999999999999</v>
      </c>
      <c r="E297" s="1063">
        <v>0.15</v>
      </c>
      <c r="F297" s="1064">
        <v>0.13700000000000001</v>
      </c>
    </row>
    <row r="298" spans="1:6" ht="14.25" thickBot="1">
      <c r="A298" s="837" t="s">
        <v>534</v>
      </c>
      <c r="B298" s="831" t="s">
        <v>267</v>
      </c>
      <c r="C298" s="1063">
        <v>0.13400000000000001</v>
      </c>
      <c r="D298" s="1063">
        <v>0.13400000000000001</v>
      </c>
      <c r="E298" s="1063">
        <v>0.14499999999999999</v>
      </c>
      <c r="F298" s="1064">
        <v>0.14799999999999999</v>
      </c>
    </row>
    <row r="299" spans="1:6" ht="14.25" thickBot="1">
      <c r="A299" s="837" t="s">
        <v>534</v>
      </c>
      <c r="B299" s="831" t="s">
        <v>279</v>
      </c>
      <c r="C299" s="1063">
        <v>0.15</v>
      </c>
      <c r="D299" s="1063">
        <v>0.15</v>
      </c>
      <c r="E299" s="1063">
        <v>0.15</v>
      </c>
      <c r="F299" s="1075"/>
    </row>
    <row r="300" spans="1:6" ht="14.25" thickBot="1">
      <c r="A300" s="837" t="s">
        <v>534</v>
      </c>
      <c r="B300" s="831" t="s">
        <v>998</v>
      </c>
      <c r="C300" s="1063">
        <v>0.15</v>
      </c>
      <c r="D300" s="1063">
        <v>0.15</v>
      </c>
      <c r="E300" s="1063">
        <v>0.15</v>
      </c>
      <c r="F300" s="1064">
        <v>0.15</v>
      </c>
    </row>
    <row r="301" spans="1:6" ht="14.25" thickBot="1">
      <c r="A301" s="837" t="s">
        <v>534</v>
      </c>
      <c r="B301" s="831" t="s">
        <v>299</v>
      </c>
      <c r="C301" s="1063">
        <v>0.15</v>
      </c>
      <c r="D301" s="1063">
        <v>0.15</v>
      </c>
      <c r="E301" s="1063">
        <v>0.15</v>
      </c>
      <c r="F301" s="1075"/>
    </row>
    <row r="302" spans="1:6" ht="14.25" thickBot="1">
      <c r="A302" s="837" t="s">
        <v>534</v>
      </c>
      <c r="B302" s="831" t="s">
        <v>999</v>
      </c>
      <c r="C302" s="1063">
        <v>0.15</v>
      </c>
      <c r="D302" s="1063">
        <v>0.15</v>
      </c>
      <c r="E302" s="1063">
        <v>0.15</v>
      </c>
      <c r="F302" s="1064">
        <v>0.15</v>
      </c>
    </row>
    <row r="303" spans="1:6" ht="14.25" thickBot="1">
      <c r="A303" s="837" t="s">
        <v>534</v>
      </c>
      <c r="B303" s="831" t="s">
        <v>319</v>
      </c>
      <c r="C303" s="1063">
        <v>0.15</v>
      </c>
      <c r="D303" s="1063">
        <v>0.15</v>
      </c>
      <c r="E303" s="1063">
        <v>0.15</v>
      </c>
      <c r="F303" s="1064">
        <v>0.15</v>
      </c>
    </row>
    <row r="304" spans="1:6" ht="14.25" thickBot="1">
      <c r="A304" s="837" t="s">
        <v>534</v>
      </c>
      <c r="B304" s="831" t="s">
        <v>330</v>
      </c>
      <c r="C304" s="1063">
        <v>0.15</v>
      </c>
      <c r="D304" s="1063">
        <v>0.15</v>
      </c>
      <c r="E304" s="1063">
        <v>0.15</v>
      </c>
      <c r="F304" s="1075"/>
    </row>
    <row r="305" spans="1:6" ht="14.25" thickBot="1">
      <c r="A305" s="837" t="s">
        <v>534</v>
      </c>
      <c r="B305" s="831" t="s">
        <v>1000</v>
      </c>
      <c r="C305" s="1063">
        <v>0.15</v>
      </c>
      <c r="D305" s="1063">
        <v>0.15</v>
      </c>
      <c r="E305" s="1063">
        <v>0.15</v>
      </c>
      <c r="F305" s="1064">
        <v>0.14000000000000001</v>
      </c>
    </row>
    <row r="306" spans="1:6" ht="14.25" thickBot="1">
      <c r="A306" s="837" t="s">
        <v>534</v>
      </c>
      <c r="B306" s="831" t="s">
        <v>351</v>
      </c>
      <c r="C306" s="1063">
        <v>0.15</v>
      </c>
      <c r="D306" s="1063">
        <v>0.15</v>
      </c>
      <c r="E306" s="1063">
        <v>0.15</v>
      </c>
      <c r="F306" s="1075"/>
    </row>
    <row r="307" spans="1:6" ht="14.25" thickBot="1">
      <c r="A307" s="837" t="s">
        <v>534</v>
      </c>
      <c r="B307" s="831" t="s">
        <v>1001</v>
      </c>
      <c r="C307" s="1063">
        <v>0.15</v>
      </c>
      <c r="D307" s="1063">
        <v>0.15</v>
      </c>
      <c r="E307" s="1063">
        <v>0.15</v>
      </c>
      <c r="F307" s="1064">
        <v>0.14299999999999999</v>
      </c>
    </row>
    <row r="308" spans="1:6" ht="14.25" thickBot="1">
      <c r="A308" s="837" t="s">
        <v>534</v>
      </c>
      <c r="B308" s="831" t="s">
        <v>371</v>
      </c>
      <c r="C308" s="1063">
        <v>0.15</v>
      </c>
      <c r="D308" s="1063">
        <v>0.15</v>
      </c>
      <c r="E308" s="1063">
        <v>0.15</v>
      </c>
      <c r="F308" s="1064">
        <v>0.15</v>
      </c>
    </row>
    <row r="309" spans="1:6" ht="14.25" thickBot="1">
      <c r="A309" s="837" t="s">
        <v>534</v>
      </c>
      <c r="B309" s="831" t="s">
        <v>381</v>
      </c>
      <c r="C309" s="1063">
        <v>0.15</v>
      </c>
      <c r="D309" s="1063">
        <v>0.15</v>
      </c>
      <c r="E309" s="1063">
        <v>0.15</v>
      </c>
      <c r="F309" s="1075"/>
    </row>
    <row r="310" spans="1:6" ht="14.25" thickBot="1">
      <c r="A310" s="837" t="s">
        <v>534</v>
      </c>
      <c r="B310" s="831" t="s">
        <v>1002</v>
      </c>
      <c r="C310" s="1063">
        <v>0.15</v>
      </c>
      <c r="D310" s="1063">
        <v>0.15</v>
      </c>
      <c r="E310" s="1063">
        <v>0.15</v>
      </c>
      <c r="F310" s="1064">
        <v>0.13700000000000001</v>
      </c>
    </row>
    <row r="311" spans="1:6" ht="14.25" thickBot="1">
      <c r="A311" s="837" t="s">
        <v>534</v>
      </c>
      <c r="B311" s="831" t="s">
        <v>1003</v>
      </c>
      <c r="C311" s="1063">
        <v>0.15</v>
      </c>
      <c r="D311" s="1063">
        <v>0.15</v>
      </c>
      <c r="E311" s="1063">
        <v>0.15</v>
      </c>
      <c r="F311" s="1064">
        <v>0.15</v>
      </c>
    </row>
    <row r="312" spans="1:6" ht="14.25" thickBot="1">
      <c r="A312" s="837" t="s">
        <v>534</v>
      </c>
      <c r="B312" s="831" t="s">
        <v>407</v>
      </c>
      <c r="C312" s="1063">
        <v>0.15</v>
      </c>
      <c r="D312" s="1063">
        <v>0.15</v>
      </c>
      <c r="E312" s="1063">
        <v>0.15</v>
      </c>
      <c r="F312" s="1064">
        <v>0.1</v>
      </c>
    </row>
    <row r="313" spans="1:6" ht="14.25" thickBot="1">
      <c r="A313" s="837" t="s">
        <v>534</v>
      </c>
      <c r="B313" s="831" t="s">
        <v>1004</v>
      </c>
      <c r="C313" s="1063">
        <v>0.15</v>
      </c>
      <c r="D313" s="1063">
        <v>0.15</v>
      </c>
      <c r="E313" s="1063">
        <v>0.15</v>
      </c>
      <c r="F313" s="1064">
        <v>0.15</v>
      </c>
    </row>
    <row r="314" spans="1:6" ht="24.75" thickBot="1">
      <c r="A314" s="837" t="s">
        <v>534</v>
      </c>
      <c r="B314" s="831" t="s">
        <v>1005</v>
      </c>
      <c r="C314" s="1076"/>
      <c r="D314" s="1076"/>
      <c r="E314" s="1076"/>
      <c r="F314" s="1064">
        <v>0.05</v>
      </c>
    </row>
    <row r="315" spans="1:6" ht="24.75" thickBot="1">
      <c r="A315" s="837" t="s">
        <v>534</v>
      </c>
      <c r="B315" s="831" t="s">
        <v>1006</v>
      </c>
      <c r="C315" s="1076"/>
      <c r="D315" s="1076"/>
      <c r="E315" s="1076"/>
      <c r="F315" s="1064">
        <v>0.05</v>
      </c>
    </row>
    <row r="316" spans="1:6" ht="24.75" thickBot="1">
      <c r="A316" s="847" t="s">
        <v>534</v>
      </c>
      <c r="B316" s="843" t="s">
        <v>1007</v>
      </c>
      <c r="C316" s="1073"/>
      <c r="D316" s="1073"/>
      <c r="E316" s="1073"/>
      <c r="F316" s="1066">
        <v>0.05</v>
      </c>
    </row>
    <row r="317" spans="1:6" ht="14.25" thickBot="1">
      <c r="A317" s="837" t="s">
        <v>1008</v>
      </c>
      <c r="B317" s="838" t="s">
        <v>1009</v>
      </c>
      <c r="C317" s="1061">
        <v>0.15</v>
      </c>
      <c r="D317" s="1061">
        <v>0.15</v>
      </c>
      <c r="E317" s="1061">
        <v>0.15</v>
      </c>
      <c r="F317" s="1062">
        <v>0.15</v>
      </c>
    </row>
    <row r="318" spans="1:6" ht="14.25" thickBot="1">
      <c r="A318" s="837" t="s">
        <v>1008</v>
      </c>
      <c r="B318" s="831" t="s">
        <v>1010</v>
      </c>
      <c r="C318" s="1063">
        <v>0.107</v>
      </c>
      <c r="D318" s="1063">
        <v>0.11</v>
      </c>
      <c r="E318" s="1063">
        <v>0.112</v>
      </c>
      <c r="F318" s="1075"/>
    </row>
    <row r="319" spans="1:6" ht="14.25" thickBot="1">
      <c r="A319" s="837" t="s">
        <v>1008</v>
      </c>
      <c r="B319" s="831" t="s">
        <v>1011</v>
      </c>
      <c r="C319" s="1063">
        <v>0.15</v>
      </c>
      <c r="D319" s="1063">
        <v>0.15</v>
      </c>
      <c r="E319" s="1063">
        <v>0.15</v>
      </c>
      <c r="F319" s="1064">
        <v>0.15</v>
      </c>
    </row>
    <row r="320" spans="1:6" ht="14.25" thickBot="1">
      <c r="A320" s="837" t="s">
        <v>1008</v>
      </c>
      <c r="B320" s="831" t="s">
        <v>223</v>
      </c>
      <c r="C320" s="1063">
        <v>0.15</v>
      </c>
      <c r="D320" s="1063">
        <v>0.15</v>
      </c>
      <c r="E320" s="1063">
        <v>0.15</v>
      </c>
      <c r="F320" s="1075"/>
    </row>
    <row r="321" spans="1:6" ht="14.25" thickBot="1">
      <c r="A321" s="837" t="s">
        <v>1008</v>
      </c>
      <c r="B321" s="831" t="s">
        <v>1012</v>
      </c>
      <c r="C321" s="1063">
        <v>0.15</v>
      </c>
      <c r="D321" s="1063">
        <v>0.15</v>
      </c>
      <c r="E321" s="1063">
        <v>0.15</v>
      </c>
      <c r="F321" s="1075"/>
    </row>
    <row r="322" spans="1:6" ht="14.25" thickBot="1">
      <c r="A322" s="837" t="s">
        <v>1008</v>
      </c>
      <c r="B322" s="831" t="s">
        <v>1013</v>
      </c>
      <c r="C322" s="1063">
        <v>0.15</v>
      </c>
      <c r="D322" s="1063">
        <v>0.15</v>
      </c>
      <c r="E322" s="1063">
        <v>0.15</v>
      </c>
      <c r="F322" s="1064">
        <v>0.15</v>
      </c>
    </row>
    <row r="323" spans="1:6" ht="14.25" thickBot="1">
      <c r="A323" s="837" t="s">
        <v>1008</v>
      </c>
      <c r="B323" s="831" t="s">
        <v>1014</v>
      </c>
      <c r="C323" s="1063">
        <v>0.15</v>
      </c>
      <c r="D323" s="1063">
        <v>0.15</v>
      </c>
      <c r="E323" s="1063">
        <v>0.15</v>
      </c>
      <c r="F323" s="1075"/>
    </row>
    <row r="324" spans="1:6" ht="14.25" thickBot="1">
      <c r="A324" s="837" t="s">
        <v>1008</v>
      </c>
      <c r="B324" s="831" t="s">
        <v>1015</v>
      </c>
      <c r="C324" s="1063">
        <v>0.15</v>
      </c>
      <c r="D324" s="1063">
        <v>0.15</v>
      </c>
      <c r="E324" s="1063">
        <v>0.15</v>
      </c>
      <c r="F324" s="1075"/>
    </row>
    <row r="325" spans="1:6" ht="14.25" thickBot="1">
      <c r="A325" s="837" t="s">
        <v>1008</v>
      </c>
      <c r="B325" s="831" t="s">
        <v>1016</v>
      </c>
      <c r="C325" s="1063">
        <v>0.15</v>
      </c>
      <c r="D325" s="1063">
        <v>0.15</v>
      </c>
      <c r="E325" s="1063">
        <v>0.15</v>
      </c>
      <c r="F325" s="1064">
        <v>0.14699999999999999</v>
      </c>
    </row>
    <row r="326" spans="1:6" ht="14.25" thickBot="1">
      <c r="A326" s="837" t="s">
        <v>1008</v>
      </c>
      <c r="B326" s="831" t="s">
        <v>290</v>
      </c>
      <c r="C326" s="1063">
        <v>0.15</v>
      </c>
      <c r="D326" s="1063">
        <v>0.15</v>
      </c>
      <c r="E326" s="1063">
        <v>0.15</v>
      </c>
      <c r="F326" s="1075"/>
    </row>
    <row r="327" spans="1:6" ht="14.25" thickBot="1">
      <c r="A327" s="837" t="s">
        <v>1008</v>
      </c>
      <c r="B327" s="831" t="s">
        <v>1017</v>
      </c>
      <c r="C327" s="1063">
        <v>0.15</v>
      </c>
      <c r="D327" s="1063">
        <v>0.15</v>
      </c>
      <c r="E327" s="1063">
        <v>0.15</v>
      </c>
      <c r="F327" s="1064">
        <v>0.15</v>
      </c>
    </row>
    <row r="328" spans="1:6" ht="14.25" thickBot="1">
      <c r="A328" s="837" t="s">
        <v>1008</v>
      </c>
      <c r="B328" s="831" t="s">
        <v>310</v>
      </c>
      <c r="C328" s="1063">
        <v>0.15</v>
      </c>
      <c r="D328" s="1063">
        <v>0.15</v>
      </c>
      <c r="E328" s="1063">
        <v>0.15</v>
      </c>
      <c r="F328" s="1064">
        <v>0.14099999999999999</v>
      </c>
    </row>
    <row r="329" spans="1:6" ht="14.25" thickBot="1">
      <c r="A329" s="837" t="s">
        <v>1008</v>
      </c>
      <c r="B329" s="831" t="s">
        <v>320</v>
      </c>
      <c r="C329" s="1063">
        <v>0.15</v>
      </c>
      <c r="D329" s="1063">
        <v>0.15</v>
      </c>
      <c r="E329" s="1063">
        <v>0.15</v>
      </c>
      <c r="F329" s="1064">
        <v>0.15</v>
      </c>
    </row>
    <row r="330" spans="1:6" ht="14.25" thickBot="1">
      <c r="A330" s="837" t="s">
        <v>1008</v>
      </c>
      <c r="B330" s="831" t="s">
        <v>331</v>
      </c>
      <c r="C330" s="1063">
        <v>0.15</v>
      </c>
      <c r="D330" s="1063">
        <v>0.15</v>
      </c>
      <c r="E330" s="1063">
        <v>0.15</v>
      </c>
      <c r="F330" s="1075"/>
    </row>
    <row r="331" spans="1:6" ht="14.25" thickBot="1">
      <c r="A331" s="837" t="s">
        <v>1008</v>
      </c>
      <c r="B331" s="831" t="s">
        <v>1018</v>
      </c>
      <c r="C331" s="1063">
        <v>0.15</v>
      </c>
      <c r="D331" s="1063">
        <v>0.15</v>
      </c>
      <c r="E331" s="1063">
        <v>0.15</v>
      </c>
      <c r="F331" s="1064">
        <v>0.15</v>
      </c>
    </row>
    <row r="332" spans="1:6" ht="14.25" thickBot="1">
      <c r="A332" s="837" t="s">
        <v>1008</v>
      </c>
      <c r="B332" s="831" t="s">
        <v>352</v>
      </c>
      <c r="C332" s="1063">
        <v>0.15</v>
      </c>
      <c r="D332" s="1063">
        <v>0.15</v>
      </c>
      <c r="E332" s="1063">
        <v>0.15</v>
      </c>
      <c r="F332" s="1064">
        <v>0.15</v>
      </c>
    </row>
    <row r="333" spans="1:6" ht="14.25" thickBot="1">
      <c r="A333" s="837" t="s">
        <v>1008</v>
      </c>
      <c r="B333" s="831" t="s">
        <v>1019</v>
      </c>
      <c r="C333" s="1063">
        <v>0.15</v>
      </c>
      <c r="D333" s="1063">
        <v>0.15</v>
      </c>
      <c r="E333" s="1063">
        <v>0.15</v>
      </c>
      <c r="F333" s="1064">
        <v>0.14099999999999999</v>
      </c>
    </row>
    <row r="334" spans="1:6" ht="14.25" thickBot="1">
      <c r="A334" s="837" t="s">
        <v>1008</v>
      </c>
      <c r="B334" s="831" t="s">
        <v>372</v>
      </c>
      <c r="C334" s="1063">
        <v>0.15</v>
      </c>
      <c r="D334" s="1063">
        <v>0.15</v>
      </c>
      <c r="E334" s="1063">
        <v>0.15</v>
      </c>
      <c r="F334" s="1064">
        <v>0.15</v>
      </c>
    </row>
    <row r="335" spans="1:6" ht="14.25" thickBot="1">
      <c r="A335" s="837" t="s">
        <v>1008</v>
      </c>
      <c r="B335" s="831" t="s">
        <v>382</v>
      </c>
      <c r="C335" s="1063">
        <v>0.15</v>
      </c>
      <c r="D335" s="1063">
        <v>0.15</v>
      </c>
      <c r="E335" s="1063">
        <v>0.15</v>
      </c>
      <c r="F335" s="1075"/>
    </row>
    <row r="336" spans="1:6" ht="14.25" thickBot="1">
      <c r="A336" s="837" t="s">
        <v>1008</v>
      </c>
      <c r="B336" s="831" t="s">
        <v>1020</v>
      </c>
      <c r="C336" s="1063">
        <v>0.15</v>
      </c>
      <c r="D336" s="1063">
        <v>0.15</v>
      </c>
      <c r="E336" s="1063">
        <v>0.15</v>
      </c>
      <c r="F336" s="1064">
        <v>0.11799999999999999</v>
      </c>
    </row>
    <row r="337" spans="1:6" ht="14.25" thickBot="1">
      <c r="A337" s="847" t="s">
        <v>1008</v>
      </c>
      <c r="B337" s="843" t="s">
        <v>400</v>
      </c>
      <c r="C337" s="1073"/>
      <c r="D337" s="1073"/>
      <c r="E337" s="1073"/>
      <c r="F337" s="1066">
        <v>0.14299999999999999</v>
      </c>
    </row>
    <row r="338" spans="1:6" ht="14.25" thickBot="1">
      <c r="A338" s="837" t="s">
        <v>1021</v>
      </c>
      <c r="B338" s="838" t="s">
        <v>1022</v>
      </c>
      <c r="C338" s="1061">
        <v>0.15</v>
      </c>
      <c r="D338" s="1061">
        <v>0.15</v>
      </c>
      <c r="E338" s="1061">
        <v>0.15</v>
      </c>
      <c r="F338" s="1078"/>
    </row>
    <row r="339" spans="1:6" ht="14.25" thickBot="1">
      <c r="A339" s="837" t="s">
        <v>1021</v>
      </c>
      <c r="B339" s="831" t="s">
        <v>1023</v>
      </c>
      <c r="C339" s="1063">
        <v>0.15</v>
      </c>
      <c r="D339" s="1063">
        <v>0.15</v>
      </c>
      <c r="E339" s="1063">
        <v>0.15</v>
      </c>
      <c r="F339" s="1075"/>
    </row>
    <row r="340" spans="1:6" ht="14.25" thickBot="1">
      <c r="A340" s="837" t="s">
        <v>1021</v>
      </c>
      <c r="B340" s="831" t="s">
        <v>1024</v>
      </c>
      <c r="C340" s="1063">
        <v>0.15</v>
      </c>
      <c r="D340" s="1063">
        <v>0.15</v>
      </c>
      <c r="E340" s="1063">
        <v>0.15</v>
      </c>
      <c r="F340" s="1075"/>
    </row>
    <row r="341" spans="1:6" ht="14.25" thickBot="1">
      <c r="A341" s="837" t="s">
        <v>1021</v>
      </c>
      <c r="B341" s="831" t="s">
        <v>1025</v>
      </c>
      <c r="C341" s="1063">
        <v>0.15</v>
      </c>
      <c r="D341" s="1063">
        <v>0.15</v>
      </c>
      <c r="E341" s="1063">
        <v>0.15</v>
      </c>
      <c r="F341" s="1064">
        <v>0.15</v>
      </c>
    </row>
    <row r="342" spans="1:6" ht="14.25" thickBot="1">
      <c r="A342" s="837" t="s">
        <v>1021</v>
      </c>
      <c r="B342" s="831" t="s">
        <v>1026</v>
      </c>
      <c r="C342" s="1063">
        <v>0.15</v>
      </c>
      <c r="D342" s="1063">
        <v>0.15</v>
      </c>
      <c r="E342" s="1063">
        <v>0.15</v>
      </c>
      <c r="F342" s="1064">
        <v>0.15</v>
      </c>
    </row>
    <row r="343" spans="1:6" ht="14.25" thickBot="1">
      <c r="A343" s="837" t="s">
        <v>1021</v>
      </c>
      <c r="B343" s="831" t="s">
        <v>1027</v>
      </c>
      <c r="C343" s="1063">
        <v>0.15</v>
      </c>
      <c r="D343" s="1063">
        <v>0.15</v>
      </c>
      <c r="E343" s="1063">
        <v>0.15</v>
      </c>
      <c r="F343" s="1064">
        <v>0.15</v>
      </c>
    </row>
    <row r="344" spans="1:6" ht="14.25" thickBot="1">
      <c r="A344" s="847" t="s">
        <v>1021</v>
      </c>
      <c r="B344" s="843"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43039</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1642</v>
      </c>
      <c r="B2" s="2960" t="s">
        <v>1643</v>
      </c>
      <c r="C2" s="2960" t="s">
        <v>1644</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61"/>
      <c r="B3" s="2961"/>
      <c r="C3" s="2961"/>
      <c r="D3" s="1043" t="s">
        <v>1639</v>
      </c>
      <c r="E3" s="1043" t="s">
        <v>1645</v>
      </c>
      <c r="F3" s="1043" t="s">
        <v>1639</v>
      </c>
      <c r="G3" s="1043" t="s">
        <v>1640</v>
      </c>
      <c r="H3" s="1043" t="s">
        <v>1639</v>
      </c>
      <c r="I3" s="1043" t="s">
        <v>1640</v>
      </c>
    </row>
    <row r="4" spans="1:9" ht="15">
      <c r="A4" s="1973" t="str">
        <f>项目基本情况!S2</f>
        <v>北京市房地产</v>
      </c>
      <c r="B4" s="1043">
        <f>项目基本情况!C17</f>
        <v>43696.250000000007</v>
      </c>
      <c r="C4" s="1043">
        <f>项目基本情况!C18</f>
        <v>0</v>
      </c>
      <c r="D4" s="1043">
        <f ca="1">结果表!D118</f>
        <v>34313</v>
      </c>
      <c r="E4" s="1043">
        <f ca="1">结果表!E118</f>
        <v>7852</v>
      </c>
      <c r="F4" s="1043">
        <f ca="1">结果表!F118</f>
        <v>9791</v>
      </c>
      <c r="G4" s="1043">
        <f ca="1">结果表!G118</f>
        <v>2241</v>
      </c>
      <c r="H4" s="1043">
        <f ca="1">结果表!H118</f>
        <v>44104</v>
      </c>
      <c r="I4" s="1043">
        <f ca="1">结果表!I118</f>
        <v>10093</v>
      </c>
    </row>
    <row r="5" spans="1:9" ht="30" customHeight="1">
      <c r="A5" s="2961" t="s">
        <v>1641</v>
      </c>
      <c r="B5" s="2961"/>
      <c r="C5" s="2961"/>
      <c r="D5" s="2962" t="str">
        <f ca="1">结果表!D119</f>
        <v>叁亿肆仟叁佰壹拾叁万元整</v>
      </c>
      <c r="E5" s="2962"/>
      <c r="F5" s="2962" t="str">
        <f ca="1">结果表!F119</f>
        <v>玖仟柒佰玖拾壹万元整</v>
      </c>
      <c r="G5" s="2962"/>
      <c r="H5" s="2962" t="str">
        <f ca="1">结果表!H119</f>
        <v>肆亿肆仟壹佰零肆万元整</v>
      </c>
      <c r="I5" s="2962"/>
    </row>
    <row r="6" spans="1:9" ht="15.75">
      <c r="A6" s="2963" t="str">
        <f>结果表!A120</f>
        <v>估价师知悉的法定优先受偿款</v>
      </c>
      <c r="B6" s="2963"/>
      <c r="C6" s="2963"/>
      <c r="D6" s="2963">
        <f>结果表!D120</f>
        <v>0</v>
      </c>
      <c r="E6" s="2963"/>
      <c r="F6" s="2963"/>
      <c r="G6" s="2963"/>
      <c r="H6" s="2963"/>
      <c r="I6" s="2963"/>
    </row>
    <row r="7" spans="1:9" ht="15">
      <c r="A7" s="2961" t="s">
        <v>1641</v>
      </c>
      <c r="B7" s="2961"/>
      <c r="C7" s="2961"/>
      <c r="D7" s="2964" t="str">
        <f>结果表!D121</f>
        <v>零元整</v>
      </c>
      <c r="E7" s="2965"/>
      <c r="F7" s="2965"/>
      <c r="G7" s="2965"/>
      <c r="H7" s="2965"/>
      <c r="I7" s="2966"/>
    </row>
    <row r="8" spans="1:9" ht="15.75">
      <c r="A8" s="2963" t="str">
        <f>结果表!A122</f>
        <v>房地产抵押价值</v>
      </c>
      <c r="B8" s="2963"/>
      <c r="C8" s="2963"/>
      <c r="D8" s="2963">
        <f ca="1">结果表!D122</f>
        <v>44104</v>
      </c>
      <c r="E8" s="2963"/>
      <c r="F8" s="2963"/>
      <c r="G8" s="2963"/>
      <c r="H8" s="2963"/>
      <c r="I8" s="2963"/>
    </row>
    <row r="9" spans="1:9" ht="15">
      <c r="A9" s="2961" t="s">
        <v>1641</v>
      </c>
      <c r="B9" s="2961"/>
      <c r="C9" s="2961"/>
      <c r="D9" s="2962" t="str">
        <f ca="1">结果表!D123</f>
        <v>肆亿肆仟壹佰零肆万元整</v>
      </c>
      <c r="E9" s="2962"/>
      <c r="F9" s="2962"/>
      <c r="G9" s="2962"/>
      <c r="H9" s="2962"/>
      <c r="I9" s="2962"/>
    </row>
    <row r="10" spans="1:9" ht="15.75">
      <c r="A10" s="2963" t="str">
        <f>结果表!A124</f>
        <v/>
      </c>
      <c r="B10" s="2963"/>
      <c r="C10" s="2963"/>
      <c r="D10" s="2963" t="str">
        <f>结果表!D124</f>
        <v>——</v>
      </c>
      <c r="E10" s="2963"/>
      <c r="F10" s="2963"/>
      <c r="G10" s="2963"/>
      <c r="H10" s="2963"/>
      <c r="I10" s="2963"/>
    </row>
    <row r="11" spans="1:9" ht="15">
      <c r="A11" s="2961" t="s">
        <v>1641</v>
      </c>
      <c r="B11" s="2961"/>
      <c r="C11" s="2961"/>
      <c r="D11" s="2962" t="e">
        <f>结果表!D125</f>
        <v>#VALUE!</v>
      </c>
      <c r="E11" s="2962"/>
      <c r="F11" s="2962"/>
      <c r="G11" s="2962"/>
      <c r="H11" s="2962"/>
      <c r="I11" s="2962"/>
    </row>
    <row r="12" spans="1:9" ht="15.75">
      <c r="A12" s="2963" t="str">
        <f>结果表!A126</f>
        <v/>
      </c>
      <c r="B12" s="2963"/>
      <c r="C12" s="2963"/>
      <c r="D12" s="2963" t="str">
        <f>结果表!D126</f>
        <v>——</v>
      </c>
      <c r="E12" s="2963"/>
      <c r="F12" s="2963"/>
      <c r="G12" s="2963"/>
      <c r="H12" s="2963"/>
      <c r="I12" s="2963"/>
    </row>
    <row r="13" spans="1:9" ht="15.75" thickBot="1">
      <c r="A13" s="2967" t="s">
        <v>1641</v>
      </c>
      <c r="B13" s="2967"/>
      <c r="C13" s="2967"/>
      <c r="D13" s="2968" t="e">
        <f>结果表!D127</f>
        <v>#VALUE!</v>
      </c>
      <c r="E13" s="2968"/>
      <c r="F13" s="2968"/>
      <c r="G13" s="2968"/>
      <c r="H13" s="2968"/>
      <c r="I13" s="2968"/>
    </row>
    <row r="14" spans="1:9" ht="15" thickTop="1">
      <c r="A14" s="2969" t="s">
        <v>1646</v>
      </c>
      <c r="B14" s="2969"/>
      <c r="C14" s="2969"/>
      <c r="D14" s="2969"/>
      <c r="E14" s="2969"/>
      <c r="F14" s="2969"/>
      <c r="G14" s="2969"/>
      <c r="H14" s="2969"/>
      <c r="I14" s="2969"/>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70" t="s">
        <v>1663</v>
      </c>
      <c r="B1" s="2970"/>
      <c r="C1" s="2970"/>
      <c r="D1" s="2970"/>
    </row>
    <row r="2" spans="1:4" ht="18">
      <c r="A2" s="2971" t="s">
        <v>1647</v>
      </c>
      <c r="B2" s="2971"/>
      <c r="C2" s="2971"/>
      <c r="D2" s="2971"/>
    </row>
    <row r="3" spans="1:4" ht="18.75">
      <c r="A3" s="1977" t="s">
        <v>1648</v>
      </c>
      <c r="B3" s="1977" t="s">
        <v>1649</v>
      </c>
      <c r="C3" s="1977" t="s">
        <v>1650</v>
      </c>
      <c r="D3" s="1977" t="s">
        <v>1651</v>
      </c>
    </row>
    <row r="4" spans="1:4" ht="56.25" customHeight="1">
      <c r="A4" s="1978" t="str">
        <f>项目基本情况!B4</f>
        <v>欧红伟</v>
      </c>
      <c r="B4" s="1979">
        <f ca="1">项目基本情况!C4</f>
        <v>1120000080</v>
      </c>
      <c r="C4" s="1980"/>
      <c r="D4" s="1981" t="s">
        <v>1652</v>
      </c>
    </row>
    <row r="5" spans="1:4" ht="56.25" customHeight="1">
      <c r="A5" s="1978" t="str">
        <f>项目基本情况!D4</f>
        <v>李立</v>
      </c>
      <c r="B5" s="1979">
        <f ca="1">项目基本情况!E4</f>
        <v>1119970074</v>
      </c>
      <c r="C5" s="1982"/>
      <c r="D5" s="1981" t="s">
        <v>1652</v>
      </c>
    </row>
    <row r="6" spans="1:4" ht="18">
      <c r="A6" s="2971" t="s">
        <v>1653</v>
      </c>
      <c r="B6" s="2971"/>
      <c r="C6" s="2971"/>
      <c r="D6" s="2971"/>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2972" t="s">
        <v>1656</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4"/>
      <c r="C12" s="2974"/>
      <c r="D12" s="2974"/>
    </row>
    <row r="13" spans="1:4" ht="30" customHeight="1">
      <c r="A13" s="2973" t="str">
        <f>IF(项目基本情况!B8="抵押","3.抵押双方在办理抵押登记手续时，应使用本公司出具的正式《房地产评估报告》，特提醒报告使用者注意。","——")</f>
        <v>——</v>
      </c>
      <c r="B13" s="2974"/>
      <c r="C13" s="2974"/>
      <c r="D13" s="2974"/>
    </row>
    <row r="14" spans="1:4" ht="15.75" customHeight="1">
      <c r="A14" s="2973" t="str">
        <f>IF(项目基本情况!B8="抵押","4.本次评估估价师所知悉的法定优先受偿款情况说明如下：","——")</f>
        <v>——</v>
      </c>
      <c r="B14" s="2974"/>
      <c r="C14" s="2974"/>
      <c r="D14" s="2974"/>
    </row>
    <row r="15" spans="1:4" ht="42" customHeight="1">
      <c r="A15" s="2973" t="str">
        <f>IF(项目基本情况!B8="抵押","（1）"&amp;CONCATENATE(项目基本情况!L20,项目基本情况!L21,项目基本情况!L22),"——")</f>
        <v>——</v>
      </c>
      <c r="B15" s="2973"/>
      <c r="C15" s="2973"/>
      <c r="D15" s="2973"/>
    </row>
    <row r="16" spans="1:4" ht="30" customHeight="1">
      <c r="A16" s="2976" t="s">
        <v>1657</v>
      </c>
      <c r="B16" s="2976"/>
      <c r="C16" s="2976"/>
      <c r="D16" s="2976"/>
    </row>
    <row r="17" spans="1:4" ht="144" customHeight="1">
      <c r="A17" s="2976" t="s">
        <v>1658</v>
      </c>
      <c r="B17" s="2976"/>
      <c r="C17" s="2976"/>
      <c r="D17" s="2976"/>
    </row>
    <row r="18" spans="1:4" ht="15.75" customHeight="1">
      <c r="A18" s="2973" t="str">
        <f>IF(项目基本情况!B8="抵押",结果表!K120,"——")</f>
        <v>——</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1659</v>
      </c>
      <c r="B22" s="2978"/>
      <c r="C22" s="2978"/>
      <c r="D22" s="2978"/>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2975">
        <v>42551</v>
      </c>
      <c r="D31" s="29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2984" t="s">
        <v>1670</v>
      </c>
      <c r="B15" s="2979" t="s">
        <v>136</v>
      </c>
      <c r="C15" s="2980"/>
    </row>
    <row r="16" spans="1:7" ht="13.5">
      <c r="A16" s="2985"/>
      <c r="B16" s="2979" t="s">
        <v>69</v>
      </c>
      <c r="C16" s="2980"/>
    </row>
    <row r="17" spans="1:3" ht="13.5">
      <c r="A17" s="2985"/>
      <c r="B17" s="2982" t="s">
        <v>1671</v>
      </c>
      <c r="C17" s="2000" t="s">
        <v>1670</v>
      </c>
    </row>
    <row r="18" spans="1:3" ht="13.5">
      <c r="A18" s="2985"/>
      <c r="B18" s="2982"/>
      <c r="C18" s="2000" t="s">
        <v>1672</v>
      </c>
    </row>
    <row r="19" spans="1:3" ht="13.5">
      <c r="A19" s="2985"/>
      <c r="B19" s="2982"/>
      <c r="C19" s="2000" t="s">
        <v>1673</v>
      </c>
    </row>
    <row r="20" spans="1:3" ht="13.5">
      <c r="A20" s="2986"/>
      <c r="B20" s="2981" t="s">
        <v>1674</v>
      </c>
      <c r="C20" s="2980"/>
    </row>
    <row r="21" spans="1:3" ht="13.5">
      <c r="A21" s="2001" t="s">
        <v>1675</v>
      </c>
      <c r="B21" s="2002"/>
      <c r="C21" s="2003"/>
    </row>
    <row r="22" spans="1:3" ht="13.5">
      <c r="A22" s="2983" t="s">
        <v>1676</v>
      </c>
      <c r="B22" s="2981" t="s">
        <v>1677</v>
      </c>
      <c r="C22" s="2980"/>
    </row>
    <row r="23" spans="1:3" ht="13.5">
      <c r="A23" s="2983"/>
      <c r="B23" s="2981" t="s">
        <v>1678</v>
      </c>
      <c r="C23" s="2980"/>
    </row>
    <row r="24" spans="1:3" ht="13.5">
      <c r="A24" s="2983"/>
      <c r="B24" s="2981" t="s">
        <v>1679</v>
      </c>
      <c r="C24" s="2980"/>
    </row>
    <row r="25" spans="1:3" ht="13.5">
      <c r="A25" s="2983"/>
      <c r="B25" s="2982" t="s">
        <v>1680</v>
      </c>
      <c r="C25" s="2000" t="s">
        <v>1681</v>
      </c>
    </row>
    <row r="26" spans="1:3" ht="13.5">
      <c r="A26" s="2983"/>
      <c r="B26" s="2982"/>
      <c r="C26" s="2000" t="s">
        <v>1682</v>
      </c>
    </row>
    <row r="27" spans="1:3" ht="13.5">
      <c r="A27" s="2983"/>
      <c r="B27" s="2982"/>
      <c r="C27" s="2000" t="s">
        <v>1683</v>
      </c>
    </row>
    <row r="28" spans="1:3" ht="13.5">
      <c r="A28" s="2983"/>
      <c r="B28" s="2982"/>
      <c r="C28" s="2000" t="s">
        <v>1684</v>
      </c>
    </row>
    <row r="29" spans="1:3" ht="13.5">
      <c r="A29" s="2983"/>
      <c r="B29" s="2982"/>
      <c r="C29" s="2000" t="s">
        <v>1685</v>
      </c>
    </row>
    <row r="30" spans="1:3" ht="13.5">
      <c r="A30" s="2983"/>
      <c r="B30" s="2982"/>
      <c r="C30" s="2000" t="s">
        <v>1686</v>
      </c>
    </row>
    <row r="31" spans="1:3" ht="13.5">
      <c r="A31" s="2983"/>
      <c r="B31" s="2982"/>
      <c r="C31" s="2000" t="s">
        <v>1687</v>
      </c>
    </row>
    <row r="32" spans="1:3" ht="13.5">
      <c r="A32" s="2983"/>
      <c r="B32" s="2982"/>
      <c r="C32" s="2000" t="s">
        <v>1688</v>
      </c>
    </row>
    <row r="33" spans="1:3" ht="13.5">
      <c r="A33" s="2983"/>
      <c r="B33" s="2982"/>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43046</v>
      </c>
      <c r="C2" s="1018" t="s">
        <v>826</v>
      </c>
      <c r="D2" s="1018"/>
    </row>
    <row r="3" spans="1:6" ht="24" customHeight="1">
      <c r="A3" s="1019" t="s">
        <v>827</v>
      </c>
      <c r="B3" s="1020" t="s">
        <v>828</v>
      </c>
      <c r="C3" s="2345" t="s">
        <v>829</v>
      </c>
      <c r="D3" s="2348" t="s">
        <v>830</v>
      </c>
      <c r="E3" s="1021" t="s">
        <v>831</v>
      </c>
      <c r="F3" s="1020" t="s">
        <v>829</v>
      </c>
    </row>
    <row r="4" spans="1:6" ht="24" customHeight="1">
      <c r="A4" s="1702" t="s">
        <v>832</v>
      </c>
      <c r="B4" s="1021">
        <f ca="1">IF(C4&lt;B2,"已过期",1119970066)</f>
        <v>1119970066</v>
      </c>
      <c r="C4" s="2346">
        <v>43849</v>
      </c>
      <c r="D4" s="2349" t="s">
        <v>832</v>
      </c>
      <c r="E4" s="1021">
        <f ca="1">IF(F4&lt;B2,"已过期",96010014)</f>
        <v>96010014</v>
      </c>
      <c r="F4" s="1029">
        <v>47118</v>
      </c>
    </row>
    <row r="5" spans="1:6" ht="24" customHeight="1">
      <c r="A5" s="1702" t="s">
        <v>833</v>
      </c>
      <c r="B5" s="1021">
        <f ca="1">IF(C5&lt;B2,"已过期",1119970074)</f>
        <v>1119970074</v>
      </c>
      <c r="C5" s="2346">
        <v>43849</v>
      </c>
      <c r="D5" s="2349" t="s">
        <v>833</v>
      </c>
      <c r="E5" s="1021">
        <f ca="1">IF(F5&lt;B2,"已过期",2002110027)</f>
        <v>2002110027</v>
      </c>
      <c r="F5" s="1029">
        <v>46752</v>
      </c>
    </row>
    <row r="6" spans="1:6" ht="24" customHeight="1">
      <c r="A6" s="1702" t="s">
        <v>834</v>
      </c>
      <c r="B6" s="1021">
        <f ca="1">IF(C6&lt;B2,"已过期",1119970111)</f>
        <v>1119970111</v>
      </c>
      <c r="C6" s="2346">
        <v>43849</v>
      </c>
      <c r="D6" s="2349" t="s">
        <v>834</v>
      </c>
      <c r="E6" s="1021">
        <f ca="1">IF(F6&lt;B2,"已过期",94010078)</f>
        <v>94010078</v>
      </c>
      <c r="F6" s="1029">
        <v>46387</v>
      </c>
    </row>
    <row r="7" spans="1:6" ht="24" customHeight="1">
      <c r="A7" s="1702" t="s">
        <v>835</v>
      </c>
      <c r="B7" s="1021">
        <f ca="1">IF(C7&lt;B2,"已过期",1120050019)</f>
        <v>1120050019</v>
      </c>
      <c r="C7" s="2346">
        <v>43359</v>
      </c>
      <c r="D7" s="2349" t="s">
        <v>835</v>
      </c>
      <c r="E7" s="1021">
        <f ca="1">IF(F7&lt;B2,"已过期",2002110030)</f>
        <v>2002110030</v>
      </c>
      <c r="F7" s="1029">
        <v>46387</v>
      </c>
    </row>
    <row r="8" spans="1:6" ht="24" customHeight="1">
      <c r="A8" s="1702" t="s">
        <v>836</v>
      </c>
      <c r="B8" s="1021">
        <f ca="1">IF(C8&lt;B2,"已过期",1120000080)</f>
        <v>1120000080</v>
      </c>
      <c r="C8" s="2346">
        <v>43849</v>
      </c>
      <c r="D8" s="2349" t="s">
        <v>836</v>
      </c>
      <c r="E8" s="1021">
        <f ca="1">IF(F8&lt;B2,"已过期",2000110082)</f>
        <v>2000110082</v>
      </c>
      <c r="F8" s="1029">
        <v>46387</v>
      </c>
    </row>
    <row r="9" spans="1:6" ht="24" customHeight="1">
      <c r="A9" s="1702" t="s">
        <v>837</v>
      </c>
      <c r="B9" s="1021">
        <f ca="1">IF(C9&lt;B2,"已过期",1419970001)</f>
        <v>1419970001</v>
      </c>
      <c r="C9" s="2346">
        <v>43867</v>
      </c>
      <c r="D9" s="2349" t="s">
        <v>837</v>
      </c>
      <c r="E9" s="1021">
        <f ca="1">IF(F9&lt;B2,"已过期",2002110125)</f>
        <v>2002110125</v>
      </c>
      <c r="F9" s="1029">
        <v>47118</v>
      </c>
    </row>
    <row r="10" spans="1:6" ht="24" customHeight="1">
      <c r="A10" s="1702" t="s">
        <v>838</v>
      </c>
      <c r="B10" s="1021">
        <f ca="1">IF(C10&lt;B2,"已过期",1120060040)</f>
        <v>1120060040</v>
      </c>
      <c r="C10" s="2346">
        <v>43483</v>
      </c>
      <c r="D10" s="2349" t="s">
        <v>838</v>
      </c>
      <c r="E10" s="1021">
        <f ca="1">IF(F10&lt;B2,"已过期",2004110096)</f>
        <v>2004110096</v>
      </c>
      <c r="F10" s="1029">
        <v>47118</v>
      </c>
    </row>
    <row r="11" spans="1:6" ht="24" customHeight="1">
      <c r="A11" s="1702" t="s">
        <v>839</v>
      </c>
      <c r="B11" s="1021">
        <f ca="1">IF(C11&lt;B2,"已过期",1120100036)</f>
        <v>1120100036</v>
      </c>
      <c r="C11" s="2346">
        <v>43622</v>
      </c>
      <c r="D11" s="2349" t="s">
        <v>839</v>
      </c>
      <c r="E11" s="1021">
        <f ca="1">IF(F11&lt;B2,"已过期",2010110070)</f>
        <v>2010110070</v>
      </c>
      <c r="F11" s="1029">
        <v>47907</v>
      </c>
    </row>
    <row r="12" spans="1:6" ht="24" customHeight="1">
      <c r="A12" s="1702"/>
      <c r="B12" s="1021"/>
      <c r="C12" s="2346"/>
      <c r="D12" s="2349"/>
      <c r="E12" s="1021"/>
      <c r="F12" s="1021"/>
    </row>
    <row r="13" spans="1:6" ht="24" customHeight="1">
      <c r="A13" s="1702" t="s">
        <v>840</v>
      </c>
      <c r="B13" s="1021">
        <f ca="1">IF(C13&lt;B2,"已过期",1120070131)</f>
        <v>1120070131</v>
      </c>
      <c r="C13" s="2346">
        <v>43814</v>
      </c>
      <c r="D13" s="2349" t="s">
        <v>840</v>
      </c>
      <c r="E13" s="1021">
        <v>2014110011</v>
      </c>
      <c r="F13" s="1029">
        <v>49302</v>
      </c>
    </row>
    <row r="14" spans="1:6" ht="24" customHeight="1">
      <c r="A14" s="1702" t="s">
        <v>841</v>
      </c>
      <c r="B14" s="1021">
        <f ca="1">IF(C14&lt;B2,"已过期",1120130020)</f>
        <v>1120130020</v>
      </c>
      <c r="C14" s="2346">
        <v>43622</v>
      </c>
      <c r="D14" s="2349"/>
      <c r="E14" s="1021"/>
      <c r="F14" s="1021"/>
    </row>
    <row r="15" spans="1:6" ht="24" customHeight="1">
      <c r="A15" s="1703" t="s">
        <v>1149</v>
      </c>
      <c r="B15" s="1021">
        <v>1120070085</v>
      </c>
      <c r="C15" s="2346">
        <v>43814</v>
      </c>
      <c r="D15" s="2350" t="s">
        <v>1149</v>
      </c>
      <c r="E15" s="1021">
        <v>2004110128</v>
      </c>
      <c r="F15" s="1022">
        <v>47118</v>
      </c>
    </row>
    <row r="16" spans="1:6" ht="24" customHeight="1">
      <c r="A16" s="1702" t="s">
        <v>842</v>
      </c>
      <c r="B16" s="1021">
        <f ca="1">IF(C16&lt;B2,"已过期",1120140022)</f>
        <v>1120140022</v>
      </c>
      <c r="C16" s="2346">
        <v>44029</v>
      </c>
      <c r="D16" s="2349" t="s">
        <v>842</v>
      </c>
      <c r="E16" s="1021">
        <f ca="1">IF(F16&lt;B2,"已过期",2008110059)</f>
        <v>2008110059</v>
      </c>
      <c r="F16" s="1029">
        <v>47177</v>
      </c>
    </row>
    <row r="17" spans="1:7" ht="24" customHeight="1">
      <c r="A17" s="1702"/>
      <c r="B17" s="1021"/>
      <c r="C17" s="2346"/>
      <c r="D17" s="2349"/>
      <c r="E17" s="1021"/>
      <c r="F17" s="1029"/>
    </row>
    <row r="18" spans="1:7" ht="24" customHeight="1">
      <c r="A18" s="1702"/>
      <c r="B18" s="1021"/>
      <c r="C18" s="2346"/>
      <c r="D18" s="2349"/>
      <c r="E18" s="1021"/>
      <c r="F18" s="1029"/>
    </row>
    <row r="19" spans="1:7" ht="24" customHeight="1">
      <c r="A19" s="1702"/>
      <c r="B19" s="1021"/>
      <c r="C19" s="2346"/>
      <c r="D19" s="2349"/>
      <c r="E19" s="1021"/>
      <c r="F19" s="1021"/>
    </row>
    <row r="20" spans="1:7" ht="24" customHeight="1">
      <c r="A20" s="1702"/>
      <c r="B20" s="1021"/>
      <c r="C20" s="2346"/>
      <c r="D20" s="2349"/>
      <c r="E20" s="1021"/>
      <c r="F20" s="1021"/>
    </row>
    <row r="21" spans="1:7" ht="24" customHeight="1">
      <c r="A21" s="1702"/>
      <c r="B21" s="1021"/>
      <c r="C21" s="2346"/>
      <c r="D21" s="2349" t="s">
        <v>843</v>
      </c>
      <c r="E21" s="1021">
        <f ca="1">IF(F21&lt;B2,"已过期",2011110090)</f>
        <v>2011110090</v>
      </c>
      <c r="F21" s="1029">
        <v>48302</v>
      </c>
    </row>
    <row r="22" spans="1:7" ht="24" customHeight="1">
      <c r="A22" s="1702" t="s">
        <v>844</v>
      </c>
      <c r="B22" s="1021">
        <f ca="1">IF(C22&lt;B2,"已过期",1120020033)</f>
        <v>1120020033</v>
      </c>
      <c r="C22" s="2346">
        <v>43304</v>
      </c>
      <c r="D22" s="2349" t="s">
        <v>844</v>
      </c>
      <c r="E22" s="1021">
        <f ca="1">IF(F22&lt;B2,"已过期",2000110137)</f>
        <v>2000110137</v>
      </c>
      <c r="F22" s="1029">
        <v>46387</v>
      </c>
    </row>
    <row r="23" spans="1:7" ht="24" customHeight="1">
      <c r="A23" s="1702" t="s">
        <v>845</v>
      </c>
      <c r="B23" s="1021">
        <f ca="1">IF(C23&lt;B2,"已过期",1120130048)</f>
        <v>1120130048</v>
      </c>
      <c r="C23" s="2346">
        <v>43686</v>
      </c>
      <c r="D23" s="2349"/>
      <c r="E23" s="1021"/>
      <c r="F23" s="1021"/>
    </row>
    <row r="24" spans="1:7" s="1023" customFormat="1" ht="24" customHeight="1">
      <c r="A24" s="1703" t="s">
        <v>1334</v>
      </c>
      <c r="B24" s="1703" t="s">
        <v>1334</v>
      </c>
      <c r="C24" s="2347" t="s">
        <v>1334</v>
      </c>
      <c r="D24" s="2350" t="s">
        <v>1334</v>
      </c>
      <c r="E24" s="1703" t="s">
        <v>1334</v>
      </c>
      <c r="F24" s="1703" t="s">
        <v>1334</v>
      </c>
    </row>
    <row r="25" spans="1:7" ht="24" customHeight="1">
      <c r="A25" s="2987" t="s">
        <v>846</v>
      </c>
      <c r="B25" s="2987"/>
      <c r="C25" s="2987"/>
      <c r="D25" s="2987"/>
      <c r="E25" s="2987"/>
      <c r="F25" s="2987"/>
      <c r="G25" s="2987"/>
    </row>
    <row r="26" spans="1:7" s="1024" customFormat="1" ht="24" customHeight="1">
      <c r="A26" s="2988" t="s">
        <v>847</v>
      </c>
      <c r="B26" s="2988"/>
      <c r="C26" s="2989"/>
      <c r="D26" s="2990" t="s">
        <v>848</v>
      </c>
      <c r="E26" s="2988"/>
      <c r="F26" s="2988"/>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2017-11-07T05:31:57Z</dcterms:modified>
</cp:coreProperties>
</file>