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5" activeTab="16"/>
  </bookViews>
  <sheets>
    <sheet name="致函链接" sheetId="63" state="hidden"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酒店收入计算" sheetId="57" state="hidden" r:id="rId29"/>
    <sheet name="成本逼近法" sheetId="11" state="hidden" r:id="rId30"/>
    <sheet name="不动产比较法-高层" sheetId="21" r:id="rId31"/>
    <sheet name="不动产比较法-洋房" sheetId="69" r:id="rId32"/>
    <sheet name="不动产比较法-别墅" sheetId="70"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Sheet1" sheetId="67" r:id="rId42"/>
    <sheet name="Sheet2" sheetId="68"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2" hidden="1">'不动产比较法-别墅'!$A$1:$L$49</definedName>
    <definedName name="_xlnm._FilterDatabase" localSheetId="37" hidden="1">'不动产比较法-仓储'!$A$1:$L$37</definedName>
    <definedName name="_xlnm._FilterDatabase" localSheetId="36" hidden="1">'不动产比较法-车位'!$A$1:$L$39</definedName>
    <definedName name="_xlnm._FilterDatabase" localSheetId="30" hidden="1">'不动产比较法-高层'!$A$1:$L$49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'不动产比较法-别墅'!$A$1:$K$54</definedName>
    <definedName name="_xlnm.Print_Area" localSheetId="30">'不动产比较法-高层'!$A$1:$K$54</definedName>
    <definedName name="_xlnm.Print_Area" localSheetId="31">'不动产比较法-洋房'!$A$1:$K$54</definedName>
    <definedName name="_xlnm.Print_Area" localSheetId="40">不动产收益法!$A$1:$F$43,不动产收益法!$I$46:$L$60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3">'数据-取费表'!$A$1:$AM$54</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1">'不动产比较法-洋房'!$B$88:$M$88</definedName>
    <definedName name="住宅朝向">'不动产比较法-高层'!$B$88:$M$88</definedName>
    <definedName name="住宅房型" localSheetId="32">'不动产比较法-别墅'!$B$118:$M$118</definedName>
    <definedName name="住宅房型" localSheetId="31">'不动产比较法-洋房'!$B$118:$M$118</definedName>
    <definedName name="住宅房型">'不动产比较法-高层'!$B$118:$M$118</definedName>
    <definedName name="住宅公共部分装修" localSheetId="32">'不动产比较法-别墅'!$B$109:$M$109</definedName>
    <definedName name="住宅公共部分装修" localSheetId="31">'不动产比较法-洋房'!$B$109:$M$109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1">'不动产比较法-洋房'!$B$116:$M$116</definedName>
    <definedName name="住宅基础设施水平">'不动产比较法-高层'!$B$116:$M$116</definedName>
    <definedName name="住宅建筑结构" localSheetId="32">'不动产比较法-别墅'!$B$105:$M$105</definedName>
    <definedName name="住宅建筑结构" localSheetId="31">'不动产比较法-洋房'!$B$105:$M$105</definedName>
    <definedName name="住宅建筑结构">'不动产比较法-高层'!$B$105:$M$105</definedName>
    <definedName name="住宅建筑类型" localSheetId="32">'不动产比较法-别墅'!$B$100:$M$100</definedName>
    <definedName name="住宅建筑类型" localSheetId="31">'不动产比较法-洋房'!$B$100:$M$100</definedName>
    <definedName name="住宅建筑类型">'不动产比较法-高层'!$B$100:$M$100</definedName>
    <definedName name="住宅建筑品质" localSheetId="32">'不动产比较法-别墅'!$B$107:$M$107</definedName>
    <definedName name="住宅建筑品质" localSheetId="31">'不动产比较法-洋房'!$B$107:$M$107</definedName>
    <definedName name="住宅建筑品质">'不动产比较法-高层'!$B$107:$M$107</definedName>
    <definedName name="住宅交易情况" localSheetId="32">'不动产比较法-别墅'!$A$61:$M$61</definedName>
    <definedName name="住宅交易情况" localSheetId="31">'不动产比较法-洋房'!$A$61:$M$61</definedName>
    <definedName name="住宅交易情况">'不动产比较法-高层'!$A$61:$M$61</definedName>
    <definedName name="住宅楼层" localSheetId="32">'不动产比较法-别墅'!$B$86:$M$86</definedName>
    <definedName name="住宅楼层" localSheetId="31">'不动产比较法-洋房'!$B$86:$M$86</definedName>
    <definedName name="住宅楼层">'不动产比较法-高层'!$B$86:$M$86</definedName>
    <definedName name="住宅内部装修" localSheetId="32">'不动产比较法-别墅'!$B$122:$M$122</definedName>
    <definedName name="住宅内部装修" localSheetId="31">'不动产比较法-洋房'!$B$122:$M$122</definedName>
    <definedName name="住宅内部装修">'不动产比较法-高层'!$B$122:$M$122</definedName>
    <definedName name="住宅物业管理" localSheetId="32">'不动产比较法-别墅'!$B$114:$M$114</definedName>
    <definedName name="住宅物业管理" localSheetId="31">'不动产比较法-洋房'!$B$114:$M$114</definedName>
    <definedName name="住宅物业管理">'不动产比较法-高层'!$B$114:$M$114</definedName>
    <definedName name="住宅用途" localSheetId="32">'不动产比较法-别墅'!$B$63:$M$63</definedName>
    <definedName name="住宅用途" localSheetId="31">'不动产比较法-洋房'!$B$63:$M$63</definedName>
    <definedName name="住宅用途">'不动产比较法-高层'!$B$63:$M$63</definedName>
    <definedName name="住宅主力户型面积" localSheetId="32">'不动产比较法-别墅'!$B$120:$M$120</definedName>
    <definedName name="住宅主力户型面积" localSheetId="31">'不动产比较法-洋房'!$B$120:$M$120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E47" i="70"/>
  <c r="G47" i="70"/>
  <c r="I47" i="70"/>
  <c r="I47" i="69"/>
  <c r="G47" i="69"/>
  <c r="E47" i="69"/>
  <c r="AN13" i="3" l="1"/>
  <c r="T47" i="70" l="1"/>
  <c r="I54" i="70"/>
  <c r="J54" i="70" s="1"/>
  <c r="C145" i="70"/>
  <c r="J142" i="70"/>
  <c r="J140" i="70"/>
  <c r="K139" i="70"/>
  <c r="B130" i="70"/>
  <c r="B128" i="70"/>
  <c r="J45" i="70" s="1"/>
  <c r="B126" i="70"/>
  <c r="H44" i="70" s="1"/>
  <c r="D125" i="70"/>
  <c r="F43"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F110" i="70"/>
  <c r="G110" i="70" s="1"/>
  <c r="H110" i="70" s="1"/>
  <c r="I110" i="70" s="1"/>
  <c r="J110" i="70" s="1"/>
  <c r="K110" i="70" s="1"/>
  <c r="L110" i="70" s="1"/>
  <c r="M110" i="70" s="1"/>
  <c r="D110" i="70"/>
  <c r="E110" i="70" s="1"/>
  <c r="D108" i="70"/>
  <c r="F35" i="70" s="1"/>
  <c r="D106" i="70"/>
  <c r="E106" i="70" s="1"/>
  <c r="F106" i="70" s="1"/>
  <c r="G106" i="70" s="1"/>
  <c r="H106" i="70" s="1"/>
  <c r="I106" i="70" s="1"/>
  <c r="J106" i="70" s="1"/>
  <c r="K106" i="70" s="1"/>
  <c r="L106" i="70" s="1"/>
  <c r="M106" i="70" s="1"/>
  <c r="E104" i="70"/>
  <c r="F104" i="70" s="1"/>
  <c r="G104" i="70" s="1"/>
  <c r="H104" i="70" s="1"/>
  <c r="I104" i="70" s="1"/>
  <c r="J104" i="70" s="1"/>
  <c r="D104" i="70"/>
  <c r="E103" i="70"/>
  <c r="M102" i="70"/>
  <c r="L102" i="70"/>
  <c r="K102" i="70"/>
  <c r="C102" i="70"/>
  <c r="D101" i="70"/>
  <c r="E101" i="70" s="1"/>
  <c r="F101" i="70" s="1"/>
  <c r="G101" i="70" s="1"/>
  <c r="H101" i="70" s="1"/>
  <c r="I101" i="70" s="1"/>
  <c r="J101" i="70" s="1"/>
  <c r="K101" i="70" s="1"/>
  <c r="L101" i="70" s="1"/>
  <c r="M101" i="70" s="1"/>
  <c r="B98" i="70"/>
  <c r="H31" i="70" s="1"/>
  <c r="AB31" i="70" s="1"/>
  <c r="B96" i="70"/>
  <c r="F30" i="70" s="1"/>
  <c r="B94" i="70"/>
  <c r="J29" i="70" s="1"/>
  <c r="W29" i="70" s="1"/>
  <c r="B92" i="70"/>
  <c r="F28" i="70" s="1"/>
  <c r="B90" i="70"/>
  <c r="J27" i="70" s="1"/>
  <c r="W27" i="70" s="1"/>
  <c r="E89" i="70"/>
  <c r="F89" i="70" s="1"/>
  <c r="G89" i="70" s="1"/>
  <c r="H89" i="70" s="1"/>
  <c r="I89" i="70" s="1"/>
  <c r="J89" i="70" s="1"/>
  <c r="K89" i="70" s="1"/>
  <c r="L89" i="70" s="1"/>
  <c r="M89" i="70" s="1"/>
  <c r="D89" i="70"/>
  <c r="M87" i="70"/>
  <c r="L87" i="70"/>
  <c r="K87" i="70"/>
  <c r="J87" i="70"/>
  <c r="I87" i="70"/>
  <c r="H87" i="70"/>
  <c r="G87" i="70"/>
  <c r="F87" i="70"/>
  <c r="E87" i="70"/>
  <c r="D87" i="70"/>
  <c r="B74" i="70"/>
  <c r="B72" i="70"/>
  <c r="H13" i="70" s="1"/>
  <c r="B70" i="70"/>
  <c r="H12" i="70" s="1"/>
  <c r="AB12" i="70" s="1"/>
  <c r="M67" i="70"/>
  <c r="L67" i="70"/>
  <c r="K67" i="70"/>
  <c r="J67" i="70"/>
  <c r="I67" i="70"/>
  <c r="H67" i="70"/>
  <c r="G67" i="70"/>
  <c r="F67" i="70"/>
  <c r="E67" i="70"/>
  <c r="D67" i="70"/>
  <c r="C67" i="70"/>
  <c r="D66" i="70"/>
  <c r="E66" i="70" s="1"/>
  <c r="F66" i="70" s="1"/>
  <c r="G66" i="70" s="1"/>
  <c r="H66" i="70" s="1"/>
  <c r="I66" i="70" s="1"/>
  <c r="C63" i="70"/>
  <c r="E54" i="70"/>
  <c r="F54" i="70" s="1"/>
  <c r="P49" i="70"/>
  <c r="P48" i="70"/>
  <c r="P47" i="70"/>
  <c r="R47" i="70"/>
  <c r="Q46" i="70"/>
  <c r="Z46" i="70" s="1"/>
  <c r="J46" i="70"/>
  <c r="W46" i="70" s="1"/>
  <c r="H46" i="70"/>
  <c r="AB46" i="70" s="1"/>
  <c r="F46" i="70"/>
  <c r="S46" i="70" s="1"/>
  <c r="Q45" i="70"/>
  <c r="Z45" i="70" s="1"/>
  <c r="H45" i="70"/>
  <c r="Q44" i="70"/>
  <c r="Z44" i="70" s="1"/>
  <c r="Q43" i="70"/>
  <c r="Z43" i="70" s="1"/>
  <c r="Q42" i="70"/>
  <c r="Z42" i="70" s="1"/>
  <c r="J42" i="70"/>
  <c r="W42" i="70" s="1"/>
  <c r="H42" i="70"/>
  <c r="U42" i="70" s="1"/>
  <c r="F42" i="70"/>
  <c r="S42" i="70" s="1"/>
  <c r="Q41" i="70"/>
  <c r="Z41" i="70" s="1"/>
  <c r="J41" i="70"/>
  <c r="AC41" i="70" s="1"/>
  <c r="H41" i="70"/>
  <c r="AB41" i="70" s="1"/>
  <c r="F41" i="70"/>
  <c r="AA41" i="70" s="1"/>
  <c r="Z40" i="70"/>
  <c r="Q40" i="70"/>
  <c r="J40" i="70"/>
  <c r="AC40" i="70" s="1"/>
  <c r="H40" i="70"/>
  <c r="AB40" i="70" s="1"/>
  <c r="F40" i="70"/>
  <c r="S40" i="70" s="1"/>
  <c r="Q39" i="70"/>
  <c r="Z39" i="70" s="1"/>
  <c r="J39" i="70"/>
  <c r="H39" i="70"/>
  <c r="U39" i="70" s="1"/>
  <c r="F39" i="70"/>
  <c r="AA39" i="70" s="1"/>
  <c r="Q38" i="70"/>
  <c r="Z38" i="70" s="1"/>
  <c r="J38" i="70"/>
  <c r="W38" i="70" s="1"/>
  <c r="H38" i="70"/>
  <c r="AB38" i="70" s="1"/>
  <c r="F38" i="70"/>
  <c r="AA38" i="70" s="1"/>
  <c r="Q37" i="70"/>
  <c r="Z37" i="70" s="1"/>
  <c r="Q36" i="70"/>
  <c r="Z36" i="70" s="1"/>
  <c r="J36" i="70"/>
  <c r="W36" i="70" s="1"/>
  <c r="H36" i="70"/>
  <c r="AB36" i="70" s="1"/>
  <c r="F36" i="70"/>
  <c r="AA36" i="70" s="1"/>
  <c r="Q35" i="70"/>
  <c r="Z35" i="70" s="1"/>
  <c r="Q34" i="70"/>
  <c r="Z34" i="70" s="1"/>
  <c r="J34" i="70"/>
  <c r="AC34" i="70" s="1"/>
  <c r="H34" i="70"/>
  <c r="U34" i="70" s="1"/>
  <c r="F34" i="70"/>
  <c r="S34" i="70" s="1"/>
  <c r="Q33" i="70"/>
  <c r="Z33" i="70" s="1"/>
  <c r="Z32" i="70"/>
  <c r="Q32" i="70"/>
  <c r="J32" i="70"/>
  <c r="AC32" i="70" s="1"/>
  <c r="H32" i="70"/>
  <c r="AB32" i="70" s="1"/>
  <c r="F32" i="70"/>
  <c r="AA32" i="70" s="1"/>
  <c r="Q31" i="70"/>
  <c r="Z31" i="70" s="1"/>
  <c r="J31" i="70"/>
  <c r="AC31" i="70" s="1"/>
  <c r="Q30" i="70"/>
  <c r="Z30" i="70" s="1"/>
  <c r="J30" i="70"/>
  <c r="W30" i="70" s="1"/>
  <c r="H30" i="70"/>
  <c r="U30" i="70" s="1"/>
  <c r="AC29" i="70"/>
  <c r="S29" i="70"/>
  <c r="Q29" i="70"/>
  <c r="Z29" i="70" s="1"/>
  <c r="H29" i="70"/>
  <c r="U29" i="70" s="1"/>
  <c r="F29" i="70"/>
  <c r="AA29" i="70" s="1"/>
  <c r="Z28" i="70"/>
  <c r="Q28" i="70"/>
  <c r="Q27" i="70"/>
  <c r="Z27" i="70" s="1"/>
  <c r="F27" i="70"/>
  <c r="S27" i="70" s="1"/>
  <c r="Q26" i="70"/>
  <c r="Z26" i="70" s="1"/>
  <c r="J26" i="70"/>
  <c r="AC26" i="70" s="1"/>
  <c r="H26" i="70"/>
  <c r="U26" i="70" s="1"/>
  <c r="F26" i="70"/>
  <c r="AA26" i="70" s="1"/>
  <c r="W25" i="70"/>
  <c r="Q25" i="70"/>
  <c r="Z25" i="70" s="1"/>
  <c r="J25" i="70"/>
  <c r="AC25" i="70" s="1"/>
  <c r="H25" i="70"/>
  <c r="AB25" i="70" s="1"/>
  <c r="F25" i="70"/>
  <c r="S25" i="70" s="1"/>
  <c r="Z23" i="70"/>
  <c r="Q23" i="70"/>
  <c r="K23" i="70"/>
  <c r="D85" i="70" s="1"/>
  <c r="C23" i="70"/>
  <c r="Q21" i="70"/>
  <c r="Z21" i="70" s="1"/>
  <c r="K21" i="70"/>
  <c r="D83" i="70" s="1"/>
  <c r="H21" i="70" s="1"/>
  <c r="F21" i="70"/>
  <c r="AA21" i="70" s="1"/>
  <c r="C21" i="70"/>
  <c r="Z19" i="70"/>
  <c r="Q19" i="70"/>
  <c r="K19" i="70"/>
  <c r="D81" i="70" s="1"/>
  <c r="E81" i="70" s="1"/>
  <c r="J19" i="70"/>
  <c r="C19" i="70"/>
  <c r="Q17" i="70"/>
  <c r="Z17" i="70" s="1"/>
  <c r="K17" i="70"/>
  <c r="D79" i="70" s="1"/>
  <c r="C17" i="70"/>
  <c r="Q15" i="70"/>
  <c r="Z15" i="70" s="1"/>
  <c r="K15" i="70"/>
  <c r="D77" i="70" s="1"/>
  <c r="E77" i="70" s="1"/>
  <c r="F77" i="70" s="1"/>
  <c r="G77" i="70" s="1"/>
  <c r="C15" i="70"/>
  <c r="Q14" i="70"/>
  <c r="Z14" i="70" s="1"/>
  <c r="J14" i="70"/>
  <c r="AC14" i="70" s="1"/>
  <c r="H14" i="70"/>
  <c r="AB14" i="70" s="1"/>
  <c r="F14" i="70"/>
  <c r="AA14" i="70" s="1"/>
  <c r="Q13" i="70"/>
  <c r="Z13" i="70" s="1"/>
  <c r="Q12" i="70"/>
  <c r="Z12" i="70" s="1"/>
  <c r="J12" i="70"/>
  <c r="AC12" i="70" s="1"/>
  <c r="Q11" i="70"/>
  <c r="Z11" i="70" s="1"/>
  <c r="K11" i="70"/>
  <c r="D69" i="70" s="1"/>
  <c r="E69" i="70" s="1"/>
  <c r="F69" i="70" s="1"/>
  <c r="G69" i="70" s="1"/>
  <c r="H69" i="70" s="1"/>
  <c r="I69" i="70" s="1"/>
  <c r="J69" i="70" s="1"/>
  <c r="K69" i="70" s="1"/>
  <c r="L69" i="70" s="1"/>
  <c r="M69" i="70" s="1"/>
  <c r="Q10" i="70"/>
  <c r="Z10" i="70" s="1"/>
  <c r="J10" i="70"/>
  <c r="AC10" i="70" s="1"/>
  <c r="H10" i="70"/>
  <c r="AB10" i="70" s="1"/>
  <c r="F10" i="70"/>
  <c r="AA10" i="70" s="1"/>
  <c r="Q9" i="70"/>
  <c r="Z9" i="70" s="1"/>
  <c r="J9" i="70"/>
  <c r="AC9" i="70" s="1"/>
  <c r="H9" i="70"/>
  <c r="AB9" i="70" s="1"/>
  <c r="F9" i="70"/>
  <c r="AA9" i="70" s="1"/>
  <c r="U8" i="70"/>
  <c r="J8" i="70"/>
  <c r="W8" i="70" s="1"/>
  <c r="H8" i="70"/>
  <c r="AB8" i="70" s="1"/>
  <c r="F8" i="70"/>
  <c r="AA8" i="70" s="1"/>
  <c r="V47" i="69"/>
  <c r="C145" i="69"/>
  <c r="J142" i="69"/>
  <c r="J140" i="69"/>
  <c r="K141" i="69" s="1"/>
  <c r="K139" i="69"/>
  <c r="B130" i="69"/>
  <c r="B128" i="69"/>
  <c r="J45" i="69" s="1"/>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F37" i="69" s="1"/>
  <c r="D113" i="69"/>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E104" i="69"/>
  <c r="F104" i="69" s="1"/>
  <c r="G104" i="69" s="1"/>
  <c r="H104" i="69" s="1"/>
  <c r="I104" i="69" s="1"/>
  <c r="J104" i="69" s="1"/>
  <c r="D104" i="69"/>
  <c r="E103" i="69"/>
  <c r="F103" i="69" s="1"/>
  <c r="M102" i="69"/>
  <c r="L102" i="69"/>
  <c r="K102" i="69"/>
  <c r="D102" i="69"/>
  <c r="C102" i="69"/>
  <c r="D101" i="69"/>
  <c r="E101" i="69" s="1"/>
  <c r="F101" i="69" s="1"/>
  <c r="G101" i="69" s="1"/>
  <c r="H101" i="69" s="1"/>
  <c r="I101" i="69" s="1"/>
  <c r="J101" i="69" s="1"/>
  <c r="K101" i="69" s="1"/>
  <c r="L101" i="69" s="1"/>
  <c r="M101" i="69" s="1"/>
  <c r="B98" i="69"/>
  <c r="B96" i="69"/>
  <c r="B94" i="69"/>
  <c r="H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B74" i="69"/>
  <c r="B72" i="69"/>
  <c r="B70" i="69"/>
  <c r="F12" i="69" s="1"/>
  <c r="AA12" i="69" s="1"/>
  <c r="M67" i="69"/>
  <c r="L67" i="69"/>
  <c r="K67" i="69"/>
  <c r="J67" i="69"/>
  <c r="I67" i="69"/>
  <c r="H67" i="69"/>
  <c r="G67" i="69"/>
  <c r="F67" i="69"/>
  <c r="E67" i="69"/>
  <c r="D67" i="69"/>
  <c r="C67" i="69"/>
  <c r="D66" i="69"/>
  <c r="E66" i="69" s="1"/>
  <c r="F66" i="69" s="1"/>
  <c r="G66" i="69" s="1"/>
  <c r="H66" i="69" s="1"/>
  <c r="I66" i="69" s="1"/>
  <c r="C63" i="69"/>
  <c r="F9" i="69" s="1"/>
  <c r="AA9" i="69" s="1"/>
  <c r="P49" i="69"/>
  <c r="P48" i="69"/>
  <c r="P47" i="69"/>
  <c r="Z46" i="69"/>
  <c r="Q46" i="69"/>
  <c r="J46" i="69"/>
  <c r="AC46" i="69" s="1"/>
  <c r="H46" i="69"/>
  <c r="AB46" i="69" s="1"/>
  <c r="F46" i="69"/>
  <c r="AA46" i="69" s="1"/>
  <c r="Q45" i="69"/>
  <c r="Z45" i="69" s="1"/>
  <c r="F45" i="69"/>
  <c r="AA45" i="69" s="1"/>
  <c r="Q44" i="69"/>
  <c r="Z44" i="69" s="1"/>
  <c r="F44" i="69"/>
  <c r="AA44" i="69" s="1"/>
  <c r="Q43" i="69"/>
  <c r="Z43" i="69" s="1"/>
  <c r="J43" i="69"/>
  <c r="W43" i="69" s="1"/>
  <c r="H43" i="69"/>
  <c r="AB43" i="69" s="1"/>
  <c r="F43" i="69"/>
  <c r="AA43" i="69" s="1"/>
  <c r="Q42" i="69"/>
  <c r="Z42" i="69" s="1"/>
  <c r="J42" i="69"/>
  <c r="AC42" i="69" s="1"/>
  <c r="H42" i="69"/>
  <c r="U42" i="69" s="1"/>
  <c r="F42" i="69"/>
  <c r="AA42" i="69" s="1"/>
  <c r="Q41" i="69"/>
  <c r="Z41" i="69" s="1"/>
  <c r="J41" i="69"/>
  <c r="W41" i="69" s="1"/>
  <c r="H41" i="69"/>
  <c r="AB41" i="69" s="1"/>
  <c r="F41" i="69"/>
  <c r="S41" i="69" s="1"/>
  <c r="Z40" i="69"/>
  <c r="Q40" i="69"/>
  <c r="J40" i="69"/>
  <c r="AC40" i="69" s="1"/>
  <c r="H40" i="69"/>
  <c r="U40" i="69" s="1"/>
  <c r="F40" i="69"/>
  <c r="AA40" i="69" s="1"/>
  <c r="Q39" i="69"/>
  <c r="Z39" i="69" s="1"/>
  <c r="J39" i="69"/>
  <c r="AC39" i="69" s="1"/>
  <c r="H39" i="69"/>
  <c r="AB39" i="69" s="1"/>
  <c r="F39" i="69"/>
  <c r="S39" i="69" s="1"/>
  <c r="Z38" i="69"/>
  <c r="Q38" i="69"/>
  <c r="J38" i="69"/>
  <c r="AC38" i="69" s="1"/>
  <c r="H38" i="69"/>
  <c r="AB38" i="69" s="1"/>
  <c r="F38" i="69"/>
  <c r="AA38" i="69" s="1"/>
  <c r="Q37" i="69"/>
  <c r="Z37" i="69" s="1"/>
  <c r="Q36" i="69"/>
  <c r="Z36" i="69" s="1"/>
  <c r="J36" i="69"/>
  <c r="AC36" i="69" s="1"/>
  <c r="H36" i="69"/>
  <c r="U36" i="69" s="1"/>
  <c r="F36" i="69"/>
  <c r="AA36" i="69" s="1"/>
  <c r="Q35" i="69"/>
  <c r="Z35" i="69" s="1"/>
  <c r="H35" i="69"/>
  <c r="AB35" i="69" s="1"/>
  <c r="Q34" i="69"/>
  <c r="Z34" i="69" s="1"/>
  <c r="J34" i="69"/>
  <c r="AC34" i="69" s="1"/>
  <c r="H34" i="69"/>
  <c r="U34" i="69" s="1"/>
  <c r="F34" i="69"/>
  <c r="AA34" i="69" s="1"/>
  <c r="Q33" i="69"/>
  <c r="Z33" i="69" s="1"/>
  <c r="Q32" i="69"/>
  <c r="Z32" i="69" s="1"/>
  <c r="J32" i="69"/>
  <c r="AC32" i="69" s="1"/>
  <c r="H32" i="69"/>
  <c r="AB32" i="69" s="1"/>
  <c r="F32" i="69"/>
  <c r="S32" i="69" s="1"/>
  <c r="Q31" i="69"/>
  <c r="Z31" i="69" s="1"/>
  <c r="J31" i="69"/>
  <c r="AC31" i="69" s="1"/>
  <c r="H31" i="69"/>
  <c r="AB31" i="69" s="1"/>
  <c r="F31" i="69"/>
  <c r="AA31" i="69" s="1"/>
  <c r="AC30" i="69"/>
  <c r="W30" i="69"/>
  <c r="Q30" i="69"/>
  <c r="Z30" i="69" s="1"/>
  <c r="J30" i="69"/>
  <c r="H30" i="69"/>
  <c r="AB30" i="69" s="1"/>
  <c r="F30" i="69"/>
  <c r="AA30" i="69" s="1"/>
  <c r="Q29" i="69"/>
  <c r="Z29" i="69" s="1"/>
  <c r="J29" i="69"/>
  <c r="AC29" i="69" s="1"/>
  <c r="Q28" i="69"/>
  <c r="Z28" i="69" s="1"/>
  <c r="AB27" i="69"/>
  <c r="Q27" i="69"/>
  <c r="Z27" i="69" s="1"/>
  <c r="J27" i="69"/>
  <c r="AC27" i="69" s="1"/>
  <c r="H27" i="69"/>
  <c r="U27" i="69" s="1"/>
  <c r="F27" i="69"/>
  <c r="AA27" i="69" s="1"/>
  <c r="Q26" i="69"/>
  <c r="Z26" i="69" s="1"/>
  <c r="J26" i="69"/>
  <c r="W26" i="69" s="1"/>
  <c r="H26" i="69"/>
  <c r="U26" i="69" s="1"/>
  <c r="F26" i="69"/>
  <c r="AA26" i="69" s="1"/>
  <c r="Q25" i="69"/>
  <c r="Z25" i="69" s="1"/>
  <c r="J25" i="69"/>
  <c r="AC25" i="69" s="1"/>
  <c r="H25" i="69"/>
  <c r="AB25" i="69" s="1"/>
  <c r="F25" i="69"/>
  <c r="AA25" i="69" s="1"/>
  <c r="Q23" i="69"/>
  <c r="Z23" i="69" s="1"/>
  <c r="K23" i="69"/>
  <c r="D85" i="69" s="1"/>
  <c r="E85" i="69" s="1"/>
  <c r="F85" i="69" s="1"/>
  <c r="G85" i="69" s="1"/>
  <c r="C23" i="69"/>
  <c r="Q21" i="69"/>
  <c r="Z21" i="69" s="1"/>
  <c r="K21" i="69"/>
  <c r="D83" i="69" s="1"/>
  <c r="E83" i="69" s="1"/>
  <c r="F83" i="69" s="1"/>
  <c r="G83" i="69" s="1"/>
  <c r="H21" i="69"/>
  <c r="AB21" i="69" s="1"/>
  <c r="C21" i="69"/>
  <c r="AA19" i="69"/>
  <c r="S19" i="69"/>
  <c r="Q19" i="69"/>
  <c r="Z19" i="69" s="1"/>
  <c r="K19" i="69"/>
  <c r="D81" i="69" s="1"/>
  <c r="E81" i="69" s="1"/>
  <c r="F81" i="69" s="1"/>
  <c r="G81" i="69" s="1"/>
  <c r="J19" i="69"/>
  <c r="AC19" i="69" s="1"/>
  <c r="H19" i="69"/>
  <c r="AB19" i="69" s="1"/>
  <c r="F19" i="69"/>
  <c r="C19" i="69"/>
  <c r="Q17" i="69"/>
  <c r="Z17" i="69" s="1"/>
  <c r="K17" i="69"/>
  <c r="D79" i="69" s="1"/>
  <c r="E79" i="69" s="1"/>
  <c r="F79" i="69" s="1"/>
  <c r="G79" i="69" s="1"/>
  <c r="C17" i="69"/>
  <c r="Q15" i="69"/>
  <c r="Z15" i="69" s="1"/>
  <c r="K15" i="69"/>
  <c r="D77" i="69" s="1"/>
  <c r="E77" i="69" s="1"/>
  <c r="F77" i="69" s="1"/>
  <c r="G77"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Q11" i="69"/>
  <c r="Z11" i="69" s="1"/>
  <c r="K11" i="69"/>
  <c r="D69" i="69" s="1"/>
  <c r="E69" i="69" s="1"/>
  <c r="F69" i="69" s="1"/>
  <c r="G69" i="69" s="1"/>
  <c r="H69" i="69" s="1"/>
  <c r="I69" i="69" s="1"/>
  <c r="J69" i="69" s="1"/>
  <c r="K69" i="69" s="1"/>
  <c r="L69" i="69" s="1"/>
  <c r="M69" i="69" s="1"/>
  <c r="Q10" i="69"/>
  <c r="Z10" i="69" s="1"/>
  <c r="J10" i="69"/>
  <c r="AC10" i="69" s="1"/>
  <c r="H10" i="69"/>
  <c r="AB10" i="69" s="1"/>
  <c r="F10" i="69"/>
  <c r="AA10" i="69" s="1"/>
  <c r="Q9" i="69"/>
  <c r="Z9" i="69" s="1"/>
  <c r="H9" i="69"/>
  <c r="AB9" i="69" s="1"/>
  <c r="W8" i="69"/>
  <c r="U8" i="69"/>
  <c r="J8" i="69"/>
  <c r="AC8" i="69" s="1"/>
  <c r="H8" i="69"/>
  <c r="AB8" i="69" s="1"/>
  <c r="F8" i="69"/>
  <c r="S8" i="69" s="1"/>
  <c r="F103" i="21"/>
  <c r="G103" i="21" s="1"/>
  <c r="H103" i="21" s="1"/>
  <c r="I103" i="21" s="1"/>
  <c r="J103" i="21" s="1"/>
  <c r="E103" i="21"/>
  <c r="D104" i="21"/>
  <c r="E104" i="21" s="1"/>
  <c r="F104" i="21" s="1"/>
  <c r="G104" i="21" s="1"/>
  <c r="H104" i="21" s="1"/>
  <c r="I104" i="21" s="1"/>
  <c r="J104" i="21" s="1"/>
  <c r="K23" i="21"/>
  <c r="K21" i="21"/>
  <c r="K19" i="21"/>
  <c r="K17" i="21"/>
  <c r="K15" i="21"/>
  <c r="K11" i="21"/>
  <c r="AB42" i="70" l="1"/>
  <c r="AA34" i="70"/>
  <c r="AA39" i="69"/>
  <c r="U38" i="69"/>
  <c r="AB36" i="69"/>
  <c r="AC45" i="69"/>
  <c r="W45" i="69"/>
  <c r="W28" i="69"/>
  <c r="AC28" i="69"/>
  <c r="AA37" i="69"/>
  <c r="S37" i="69"/>
  <c r="H19" i="70"/>
  <c r="F19" i="70"/>
  <c r="AA19" i="70" s="1"/>
  <c r="AB29" i="69"/>
  <c r="U29" i="69"/>
  <c r="F17" i="70"/>
  <c r="S17" i="70" s="1"/>
  <c r="J35" i="69"/>
  <c r="W35" i="69" s="1"/>
  <c r="AA41" i="69"/>
  <c r="H44" i="69"/>
  <c r="H27" i="70"/>
  <c r="AC30" i="70"/>
  <c r="AB34" i="70"/>
  <c r="E108" i="70"/>
  <c r="F108" i="70" s="1"/>
  <c r="G108" i="70" s="1"/>
  <c r="H108" i="70" s="1"/>
  <c r="I108" i="70" s="1"/>
  <c r="J108" i="70" s="1"/>
  <c r="K108" i="70" s="1"/>
  <c r="L108" i="70" s="1"/>
  <c r="M108" i="70" s="1"/>
  <c r="AB26" i="69"/>
  <c r="H28" i="69"/>
  <c r="AB28" i="69" s="1"/>
  <c r="F29" i="69"/>
  <c r="AA29" i="69" s="1"/>
  <c r="U31" i="69"/>
  <c r="W39" i="69"/>
  <c r="AB42" i="69"/>
  <c r="H45" i="69"/>
  <c r="AB45" i="69" s="1"/>
  <c r="AC8" i="70"/>
  <c r="F12" i="70"/>
  <c r="AA12" i="70" s="1"/>
  <c r="F13" i="70"/>
  <c r="AA13" i="70" s="1"/>
  <c r="H15" i="70"/>
  <c r="AB15" i="70" s="1"/>
  <c r="J28" i="70"/>
  <c r="AC28" i="70" s="1"/>
  <c r="AB29" i="70"/>
  <c r="F31" i="70"/>
  <c r="W31" i="70"/>
  <c r="H35" i="70"/>
  <c r="AC38" i="70"/>
  <c r="H43" i="70"/>
  <c r="F44" i="70"/>
  <c r="E125" i="70"/>
  <c r="F125" i="70" s="1"/>
  <c r="G125" i="70" s="1"/>
  <c r="AA27" i="70"/>
  <c r="AB30" i="70"/>
  <c r="J9" i="69"/>
  <c r="AC9" i="69" s="1"/>
  <c r="F28" i="69"/>
  <c r="AA28" i="69" s="1"/>
  <c r="F15" i="70"/>
  <c r="AA15" i="70" s="1"/>
  <c r="J17" i="69"/>
  <c r="AC17" i="69" s="1"/>
  <c r="F21" i="69"/>
  <c r="AA21" i="69" s="1"/>
  <c r="AC26" i="69"/>
  <c r="F35" i="69"/>
  <c r="AC43" i="69"/>
  <c r="U46" i="69"/>
  <c r="K145" i="69"/>
  <c r="S8" i="70"/>
  <c r="J15" i="70"/>
  <c r="AB26" i="70"/>
  <c r="W34" i="70"/>
  <c r="J35" i="70"/>
  <c r="AC35" i="70" s="1"/>
  <c r="AC36" i="70"/>
  <c r="AB39" i="70"/>
  <c r="J43" i="70"/>
  <c r="AC43" i="70" s="1"/>
  <c r="J44" i="70"/>
  <c r="AC44" i="70" s="1"/>
  <c r="F45" i="70"/>
  <c r="K143" i="70"/>
  <c r="U19" i="70"/>
  <c r="AB19" i="70"/>
  <c r="AB13" i="70"/>
  <c r="U13" i="70"/>
  <c r="S21" i="70"/>
  <c r="E85" i="70"/>
  <c r="H23" i="70" s="1"/>
  <c r="S32" i="70"/>
  <c r="S38" i="70"/>
  <c r="AC46" i="70"/>
  <c r="D102" i="70"/>
  <c r="F103" i="70"/>
  <c r="E102" i="70" s="1"/>
  <c r="J37" i="70"/>
  <c r="H113" i="70"/>
  <c r="AA17" i="70"/>
  <c r="AB21" i="70"/>
  <c r="U21" i="70"/>
  <c r="U32" i="70"/>
  <c r="S36" i="70"/>
  <c r="F37" i="70"/>
  <c r="U38" i="70"/>
  <c r="S41" i="70"/>
  <c r="AA42" i="70"/>
  <c r="W44" i="70"/>
  <c r="F81" i="70"/>
  <c r="G81" i="70" s="1"/>
  <c r="AA28" i="70"/>
  <c r="S28" i="70"/>
  <c r="S9" i="70"/>
  <c r="U10" i="70"/>
  <c r="U12" i="70"/>
  <c r="J13" i="70"/>
  <c r="S19" i="70"/>
  <c r="E83" i="70"/>
  <c r="F83" i="70" s="1"/>
  <c r="G83" i="70" s="1"/>
  <c r="J21" i="70"/>
  <c r="AA25" i="70"/>
  <c r="AC27" i="70"/>
  <c r="H37" i="70"/>
  <c r="U41" i="70"/>
  <c r="U45" i="70"/>
  <c r="AB45" i="70"/>
  <c r="U46" i="70"/>
  <c r="W9" i="70"/>
  <c r="U14" i="70"/>
  <c r="S26" i="70"/>
  <c r="S10" i="70"/>
  <c r="W14" i="70"/>
  <c r="U9" i="70"/>
  <c r="W10" i="70"/>
  <c r="W12" i="70"/>
  <c r="S14" i="70"/>
  <c r="S15" i="70"/>
  <c r="J17" i="70"/>
  <c r="AC19" i="70"/>
  <c r="W19" i="70"/>
  <c r="H28" i="70"/>
  <c r="W28" i="70"/>
  <c r="W39" i="70"/>
  <c r="AC39" i="70"/>
  <c r="W40" i="70"/>
  <c r="E79" i="70"/>
  <c r="U25" i="70"/>
  <c r="W26" i="70"/>
  <c r="AA40" i="70"/>
  <c r="AC42" i="70"/>
  <c r="AA46" i="70"/>
  <c r="G54" i="70"/>
  <c r="H54" i="70" s="1"/>
  <c r="V47" i="70"/>
  <c r="AA30" i="70"/>
  <c r="S30" i="70"/>
  <c r="AB44" i="70"/>
  <c r="U44" i="70"/>
  <c r="K145" i="70"/>
  <c r="K144" i="70"/>
  <c r="AA35" i="70"/>
  <c r="S35" i="70"/>
  <c r="AA43" i="70"/>
  <c r="S43" i="70"/>
  <c r="AC45" i="70"/>
  <c r="W45" i="70"/>
  <c r="K141" i="70"/>
  <c r="U31" i="70"/>
  <c r="W32" i="70"/>
  <c r="U36" i="70"/>
  <c r="S39" i="70"/>
  <c r="U40" i="70"/>
  <c r="W41" i="70"/>
  <c r="E54" i="69"/>
  <c r="F54" i="69" s="1"/>
  <c r="T47" i="69"/>
  <c r="I54" i="69"/>
  <c r="J54" i="69" s="1"/>
  <c r="AA32" i="69"/>
  <c r="W32" i="69"/>
  <c r="S9" i="69"/>
  <c r="U12" i="69"/>
  <c r="W13" i="69"/>
  <c r="S26" i="69"/>
  <c r="S30" i="69"/>
  <c r="S45" i="69"/>
  <c r="U10" i="69"/>
  <c r="AA8" i="69"/>
  <c r="U9" i="69"/>
  <c r="W10" i="69"/>
  <c r="W12" i="69"/>
  <c r="S14" i="69"/>
  <c r="F15" i="69"/>
  <c r="U19" i="69"/>
  <c r="S21" i="69"/>
  <c r="F23" i="69"/>
  <c r="S25" i="69"/>
  <c r="S28" i="69"/>
  <c r="AB34" i="69"/>
  <c r="AC35" i="69"/>
  <c r="AB40" i="69"/>
  <c r="AC41" i="69"/>
  <c r="S43" i="69"/>
  <c r="H113" i="69"/>
  <c r="H37" i="69"/>
  <c r="S13" i="69"/>
  <c r="U14" i="69"/>
  <c r="H15" i="69"/>
  <c r="F17" i="69"/>
  <c r="W19" i="69"/>
  <c r="J21" i="69"/>
  <c r="U21" i="69"/>
  <c r="H23" i="69"/>
  <c r="U25" i="69"/>
  <c r="J37" i="69"/>
  <c r="G54" i="69"/>
  <c r="H54" i="69" s="1"/>
  <c r="S10" i="69"/>
  <c r="S12" i="69"/>
  <c r="U13" i="69"/>
  <c r="W14" i="69"/>
  <c r="J15" i="69"/>
  <c r="H17" i="69"/>
  <c r="J23" i="69"/>
  <c r="W25" i="69"/>
  <c r="R47" i="69"/>
  <c r="G103" i="69"/>
  <c r="E102" i="69"/>
  <c r="W27" i="69"/>
  <c r="S29" i="69"/>
  <c r="U30" i="69"/>
  <c r="W31" i="69"/>
  <c r="S34" i="69"/>
  <c r="U35" i="69"/>
  <c r="W36" i="69"/>
  <c r="S38" i="69"/>
  <c r="U39" i="69"/>
  <c r="W40" i="69"/>
  <c r="S42" i="69"/>
  <c r="U43" i="69"/>
  <c r="W44" i="69"/>
  <c r="S46" i="69"/>
  <c r="K143" i="69"/>
  <c r="K144" i="69"/>
  <c r="S27" i="69"/>
  <c r="W29" i="69"/>
  <c r="S31" i="69"/>
  <c r="U32" i="69"/>
  <c r="W34" i="69"/>
  <c r="S36" i="69"/>
  <c r="W38" i="69"/>
  <c r="S40" i="69"/>
  <c r="U41" i="69"/>
  <c r="W42" i="69"/>
  <c r="S44" i="69"/>
  <c r="W46" i="69"/>
  <c r="D73" i="39"/>
  <c r="E73" i="39" s="1"/>
  <c r="F73" i="39" s="1"/>
  <c r="G73" i="39" s="1"/>
  <c r="H73" i="39" s="1"/>
  <c r="I73" i="39" s="1"/>
  <c r="J73" i="39" s="1"/>
  <c r="K73" i="39" s="1"/>
  <c r="L73" i="39" s="1"/>
  <c r="M73" i="39" s="1"/>
  <c r="N73" i="39" s="1"/>
  <c r="C40" i="39"/>
  <c r="F22" i="6"/>
  <c r="F21" i="6"/>
  <c r="F20" i="6"/>
  <c r="F19" i="6"/>
  <c r="AD13" i="3"/>
  <c r="E9" i="6" s="1"/>
  <c r="W43" i="70" l="1"/>
  <c r="W35" i="70"/>
  <c r="W15" i="70"/>
  <c r="AC15" i="70"/>
  <c r="U43" i="70"/>
  <c r="AB43" i="70"/>
  <c r="U28" i="69"/>
  <c r="S35" i="69"/>
  <c r="AA35" i="69"/>
  <c r="U27" i="70"/>
  <c r="AB27" i="70"/>
  <c r="U45" i="69"/>
  <c r="W9" i="69"/>
  <c r="S12" i="70"/>
  <c r="U15" i="70"/>
  <c r="U35" i="70"/>
  <c r="AB35" i="70"/>
  <c r="AB44" i="69"/>
  <c r="U44" i="69"/>
  <c r="S45" i="70"/>
  <c r="AA45" i="70"/>
  <c r="S31" i="70"/>
  <c r="AA31" i="70"/>
  <c r="W17" i="69"/>
  <c r="S13" i="70"/>
  <c r="S44" i="70"/>
  <c r="AA44" i="70"/>
  <c r="U23" i="70"/>
  <c r="AB23" i="70"/>
  <c r="F79" i="70"/>
  <c r="G79" i="70" s="1"/>
  <c r="H17" i="70"/>
  <c r="AC13" i="70"/>
  <c r="W13" i="70"/>
  <c r="AA37" i="70"/>
  <c r="S37" i="70"/>
  <c r="F85" i="70"/>
  <c r="G85" i="70" s="1"/>
  <c r="J23" i="70"/>
  <c r="F23" i="70"/>
  <c r="AC17" i="70"/>
  <c r="W17" i="70"/>
  <c r="AB37" i="70"/>
  <c r="U37" i="70"/>
  <c r="W21" i="70"/>
  <c r="AC21" i="70"/>
  <c r="AC37" i="70"/>
  <c r="W37" i="70"/>
  <c r="U28" i="70"/>
  <c r="AB28" i="70"/>
  <c r="G103" i="70"/>
  <c r="H103" i="69"/>
  <c r="AC23" i="69"/>
  <c r="W23" i="69"/>
  <c r="AC37" i="69"/>
  <c r="W37" i="69"/>
  <c r="AC21" i="69"/>
  <c r="W21" i="69"/>
  <c r="AB37" i="69"/>
  <c r="U37" i="69"/>
  <c r="AB17" i="69"/>
  <c r="U17" i="69"/>
  <c r="AC15" i="69"/>
  <c r="W15" i="69"/>
  <c r="AB23" i="69"/>
  <c r="U23" i="69"/>
  <c r="AA17" i="69"/>
  <c r="S17" i="69"/>
  <c r="AA23" i="69"/>
  <c r="S23" i="69"/>
  <c r="AA15" i="69"/>
  <c r="S15" i="69"/>
  <c r="F102" i="69"/>
  <c r="AB15" i="69"/>
  <c r="U15" i="69"/>
  <c r="K75" i="9"/>
  <c r="K6" i="4"/>
  <c r="O76" i="9" s="1"/>
  <c r="H103" i="70" l="1"/>
  <c r="G102" i="70" s="1"/>
  <c r="AA23" i="70"/>
  <c r="S23" i="70"/>
  <c r="W23" i="70"/>
  <c r="AC23" i="70"/>
  <c r="F102" i="70"/>
  <c r="U17" i="70"/>
  <c r="AB17" i="70"/>
  <c r="H102" i="69"/>
  <c r="I103" i="69"/>
  <c r="G102" i="69"/>
  <c r="L76" i="9"/>
  <c r="K76" i="9"/>
  <c r="K77" i="9" s="1"/>
  <c r="K79" i="9" s="1"/>
  <c r="K81" i="9" s="1"/>
  <c r="B22" i="31"/>
  <c r="I103" i="70" l="1"/>
  <c r="H102" i="70" s="1"/>
  <c r="J103" i="69"/>
  <c r="I102" i="69"/>
  <c r="E15" i="66"/>
  <c r="F15" i="66"/>
  <c r="E16" i="66"/>
  <c r="F16" i="66"/>
  <c r="E17" i="66"/>
  <c r="F17" i="66"/>
  <c r="E18" i="66"/>
  <c r="F18" i="66"/>
  <c r="E19" i="66"/>
  <c r="F19" i="66"/>
  <c r="E20" i="66"/>
  <c r="F20" i="66"/>
  <c r="E21" i="66"/>
  <c r="F21" i="66"/>
  <c r="E22" i="66"/>
  <c r="F22" i="66"/>
  <c r="E23" i="66"/>
  <c r="F23" i="66"/>
  <c r="B3" i="66"/>
  <c r="J103" i="70" l="1"/>
  <c r="J102" i="70" s="1"/>
  <c r="J102" i="69"/>
  <c r="M19" i="46"/>
  <c r="I102" i="70" l="1"/>
  <c r="J6" i="59"/>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5" i="65"/>
  <c r="N3" i="65"/>
  <c r="J7" i="65"/>
  <c r="N6" i="65"/>
  <c r="N4" i="65"/>
  <c r="C4" i="65" l="1"/>
  <c r="B39" i="1" s="1"/>
  <c r="J3" i="65"/>
  <c r="I3" i="65"/>
  <c r="J5" i="65"/>
  <c r="J6" i="65"/>
  <c r="J4" i="65"/>
  <c r="I5" i="65"/>
  <c r="I6" i="65"/>
  <c r="I7" i="65"/>
  <c r="I4" i="65"/>
  <c r="E20" i="46" l="1"/>
  <c r="J1" i="65"/>
  <c r="M5" i="54"/>
  <c r="A23" i="51"/>
  <c r="E3" i="65"/>
  <c r="F17" i="11" l="1"/>
  <c r="Y12" i="46"/>
  <c r="AA9" i="46"/>
  <c r="AA10" i="46" s="1"/>
  <c r="AB9" i="46"/>
  <c r="AC9" i="46"/>
  <c r="AD9" i="46"/>
  <c r="AD10" i="46" s="1"/>
  <c r="AE9" i="46"/>
  <c r="AE10" i="46" s="1"/>
  <c r="AF9" i="46"/>
  <c r="AF10" i="46" s="1"/>
  <c r="AG9" i="46"/>
  <c r="AH9" i="46"/>
  <c r="AH10" i="46" s="1"/>
  <c r="AI9" i="46"/>
  <c r="AJ9" i="46"/>
  <c r="AJ10" i="46" s="1"/>
  <c r="Z9" i="46"/>
  <c r="Z10" i="46" s="1"/>
  <c r="AI10" i="46"/>
  <c r="AG10" i="46"/>
  <c r="AC10" i="46"/>
  <c r="AB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F58" i="59"/>
  <c r="F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Q49" i="59"/>
  <c r="P49" i="59"/>
  <c r="O49" i="59"/>
  <c r="N49" i="59"/>
  <c r="Q48" i="59"/>
  <c r="P48" i="59"/>
  <c r="O48" i="59"/>
  <c r="N48" i="59"/>
  <c r="D48" i="59"/>
  <c r="F47" i="59"/>
  <c r="V47" i="59" s="1"/>
  <c r="E47" i="59"/>
  <c r="E46" i="59" s="1"/>
  <c r="P46" i="59" s="1"/>
  <c r="C47" i="59"/>
  <c r="B47" i="59"/>
  <c r="N47" i="59" s="1"/>
  <c r="F46" i="59"/>
  <c r="F45" i="59" s="1"/>
  <c r="Q45" i="59" s="1"/>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O11" i="59"/>
  <c r="N11" i="59"/>
  <c r="Q10" i="59"/>
  <c r="P10" i="59"/>
  <c r="O10" i="59"/>
  <c r="N10" i="59"/>
  <c r="Q9" i="59"/>
  <c r="P9" i="59"/>
  <c r="O9" i="59"/>
  <c r="N9" i="59"/>
  <c r="Q8" i="59"/>
  <c r="P8" i="59"/>
  <c r="O8" i="59"/>
  <c r="N8" i="59"/>
  <c r="D8" i="59"/>
  <c r="AA8" i="59" l="1"/>
  <c r="AB9" i="59"/>
  <c r="AB10" i="59"/>
  <c r="AB11" i="59"/>
  <c r="AA13" i="59"/>
  <c r="AA14" i="59"/>
  <c r="AA15" i="59"/>
  <c r="B54" i="59"/>
  <c r="B53" i="59" s="1"/>
  <c r="AA9" i="59"/>
  <c r="AA10" i="59"/>
  <c r="AA11" i="59"/>
  <c r="B50" i="59"/>
  <c r="B49" i="59" s="1"/>
  <c r="B17" i="59"/>
  <c r="B18" i="59" s="1"/>
  <c r="B19" i="59" s="1"/>
  <c r="S19" i="59" s="1"/>
  <c r="X16" i="59"/>
  <c r="C17" i="59"/>
  <c r="Y16" i="59"/>
  <c r="Z16" i="59" s="1"/>
  <c r="B9" i="59"/>
  <c r="X8" i="59"/>
  <c r="X9" i="59"/>
  <c r="X10" i="59"/>
  <c r="X11" i="59"/>
  <c r="F13" i="59"/>
  <c r="AB12" i="59"/>
  <c r="E17" i="59"/>
  <c r="E18" i="59" s="1"/>
  <c r="E19" i="59" s="1"/>
  <c r="U19" i="59" s="1"/>
  <c r="AA16" i="59"/>
  <c r="B46" i="59"/>
  <c r="C13" i="59"/>
  <c r="C14" i="59" s="1"/>
  <c r="Y12" i="59"/>
  <c r="Z12" i="59" s="1"/>
  <c r="F9" i="59"/>
  <c r="AB8" i="59"/>
  <c r="E13" i="59"/>
  <c r="E14" i="59" s="1"/>
  <c r="E15" i="59" s="1"/>
  <c r="U15" i="59" s="1"/>
  <c r="AA12" i="59"/>
  <c r="C9" i="59"/>
  <c r="Y8" i="59"/>
  <c r="Z8" i="59" s="1"/>
  <c r="Y9" i="59"/>
  <c r="Z9" i="59" s="1"/>
  <c r="Y10" i="59"/>
  <c r="Z10" i="59" s="1"/>
  <c r="Y11" i="59"/>
  <c r="Z11" i="59" s="1"/>
  <c r="B13" i="59"/>
  <c r="B14" i="59" s="1"/>
  <c r="B15" i="59" s="1"/>
  <c r="S15" i="59" s="1"/>
  <c r="X12" i="59"/>
  <c r="X13" i="59"/>
  <c r="X14" i="59"/>
  <c r="X15" i="59"/>
  <c r="F17" i="59"/>
  <c r="AB16" i="59"/>
  <c r="B58" i="59"/>
  <c r="B57" i="59" s="1"/>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13" i="59" l="1"/>
  <c r="B6" i="59"/>
  <c r="S7" i="59"/>
  <c r="F6" i="59"/>
  <c r="V7" i="59"/>
  <c r="E6" i="59"/>
  <c r="U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I21" i="57" s="1"/>
  <c r="M11" i="15"/>
  <c r="J10" i="15"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A68" i="3" s="1"/>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R108" i="31"/>
  <c r="S108" i="31" s="1"/>
  <c r="R109" i="3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S324" i="31" s="1"/>
  <c r="R325" i="31"/>
  <c r="S325" i="31" s="1"/>
  <c r="R326" i="31"/>
  <c r="R327" i="31"/>
  <c r="R328" i="31"/>
  <c r="S328" i="31" s="1"/>
  <c r="R329" i="31"/>
  <c r="R330" i="31"/>
  <c r="R331" i="31"/>
  <c r="R332" i="31"/>
  <c r="S332" i="31" s="1"/>
  <c r="R333" i="31"/>
  <c r="S333" i="31" s="1"/>
  <c r="R334" i="31"/>
  <c r="R335" i="31"/>
  <c r="R336" i="31"/>
  <c r="S336" i="31" s="1"/>
  <c r="R337" i="31"/>
  <c r="S337" i="31" s="1"/>
  <c r="R338" i="31"/>
  <c r="R339" i="31"/>
  <c r="R340" i="31"/>
  <c r="S340" i="31" s="1"/>
  <c r="R341" i="31"/>
  <c r="S341" i="31" s="1"/>
  <c r="R342" i="31"/>
  <c r="R343" i="31"/>
  <c r="R344" i="31"/>
  <c r="S344" i="31" s="1"/>
  <c r="R345" i="31"/>
  <c r="S345" i="31" s="1"/>
  <c r="R346" i="31"/>
  <c r="R347" i="31"/>
  <c r="R348" i="31"/>
  <c r="S348" i="31" s="1"/>
  <c r="R349" i="31"/>
  <c r="S349" i="31" s="1"/>
  <c r="R350" i="31"/>
  <c r="R351" i="31"/>
  <c r="R352" i="31"/>
  <c r="S352" i="31" s="1"/>
  <c r="R353" i="31"/>
  <c r="R354" i="31"/>
  <c r="R355" i="31"/>
  <c r="R356" i="31"/>
  <c r="S356" i="31" s="1"/>
  <c r="R357" i="31"/>
  <c r="S357" i="31" s="1"/>
  <c r="R358" i="31"/>
  <c r="R359" i="31"/>
  <c r="R360" i="31"/>
  <c r="S360" i="31" s="1"/>
  <c r="R361" i="31"/>
  <c r="S361" i="31" s="1"/>
  <c r="R362" i="31"/>
  <c r="R363" i="31"/>
  <c r="R364" i="31"/>
  <c r="S364" i="31" s="1"/>
  <c r="R365" i="31"/>
  <c r="R366" i="31"/>
  <c r="R367" i="31"/>
  <c r="R368" i="31"/>
  <c r="S368" i="31" s="1"/>
  <c r="R369" i="31"/>
  <c r="R370" i="31"/>
  <c r="R371" i="31"/>
  <c r="R372" i="31"/>
  <c r="S372" i="31" s="1"/>
  <c r="R373" i="31"/>
  <c r="S373" i="31" s="1"/>
  <c r="R374" i="31"/>
  <c r="R375" i="31"/>
  <c r="R376" i="31"/>
  <c r="S376" i="31" s="1"/>
  <c r="R377" i="31"/>
  <c r="R378" i="31"/>
  <c r="R379" i="31"/>
  <c r="R380" i="31"/>
  <c r="S380" i="31" s="1"/>
  <c r="R381" i="31"/>
  <c r="R382" i="31"/>
  <c r="R383" i="31"/>
  <c r="R384" i="31"/>
  <c r="S384" i="31" s="1"/>
  <c r="R385" i="31"/>
  <c r="S385" i="31" s="1"/>
  <c r="R386" i="31"/>
  <c r="R387" i="31"/>
  <c r="R388" i="31"/>
  <c r="S388" i="31" s="1"/>
  <c r="R389" i="31"/>
  <c r="S389" i="31" s="1"/>
  <c r="R390" i="31"/>
  <c r="R391" i="31"/>
  <c r="R392" i="31"/>
  <c r="S392" i="31" s="1"/>
  <c r="R393" i="31"/>
  <c r="R394" i="31"/>
  <c r="R395" i="31"/>
  <c r="R396" i="31"/>
  <c r="S396" i="31" s="1"/>
  <c r="R397" i="31"/>
  <c r="S397" i="31" s="1"/>
  <c r="R398" i="31"/>
  <c r="R399" i="31"/>
  <c r="R400" i="31"/>
  <c r="S400" i="31" s="1"/>
  <c r="R401" i="31"/>
  <c r="S401" i="31" s="1"/>
  <c r="R402" i="31"/>
  <c r="R403" i="31"/>
  <c r="R404" i="31"/>
  <c r="S404" i="31" s="1"/>
  <c r="R405" i="31"/>
  <c r="S405" i="31" s="1"/>
  <c r="R406" i="31"/>
  <c r="R407" i="31"/>
  <c r="R408" i="31"/>
  <c r="S408" i="31" s="1"/>
  <c r="R409" i="31"/>
  <c r="S409" i="31" s="1"/>
  <c r="R410" i="31"/>
  <c r="R411" i="31"/>
  <c r="R412" i="31"/>
  <c r="S412" i="31" s="1"/>
  <c r="R413" i="31"/>
  <c r="S413" i="31" s="1"/>
  <c r="R414" i="31"/>
  <c r="R415" i="31"/>
  <c r="R416" i="31"/>
  <c r="S416" i="31" s="1"/>
  <c r="R417" i="31"/>
  <c r="R418" i="31"/>
  <c r="R419" i="31"/>
  <c r="R420" i="31"/>
  <c r="S420" i="31" s="1"/>
  <c r="R421" i="31"/>
  <c r="S421" i="31" s="1"/>
  <c r="R422" i="31"/>
  <c r="R423" i="3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J32" i="40" s="1"/>
  <c r="AC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9" i="31"/>
  <c r="S418" i="31"/>
  <c r="S417" i="31"/>
  <c r="S415" i="31"/>
  <c r="S414" i="31"/>
  <c r="S411" i="31"/>
  <c r="S410" i="31"/>
  <c r="S407" i="31"/>
  <c r="S406" i="31"/>
  <c r="S403" i="31"/>
  <c r="S402" i="31"/>
  <c r="S399" i="31"/>
  <c r="S398" i="31"/>
  <c r="S395" i="31"/>
  <c r="S394" i="31"/>
  <c r="S393" i="31"/>
  <c r="S391" i="31"/>
  <c r="S390" i="31"/>
  <c r="S387" i="31"/>
  <c r="S386" i="31"/>
  <c r="S383" i="31"/>
  <c r="S382" i="31"/>
  <c r="S381" i="31"/>
  <c r="S379" i="31"/>
  <c r="S378" i="31"/>
  <c r="S377" i="31"/>
  <c r="S375" i="31"/>
  <c r="S374" i="31"/>
  <c r="S371" i="31"/>
  <c r="S370" i="31"/>
  <c r="S369" i="31"/>
  <c r="S367" i="31"/>
  <c r="S366" i="31"/>
  <c r="S365" i="31"/>
  <c r="S363" i="31"/>
  <c r="S362" i="31"/>
  <c r="S359" i="31"/>
  <c r="S358" i="31"/>
  <c r="S355" i="31"/>
  <c r="S354" i="31"/>
  <c r="S353" i="31"/>
  <c r="S351" i="31"/>
  <c r="S350" i="31"/>
  <c r="S347" i="31"/>
  <c r="S346" i="31"/>
  <c r="S343" i="31"/>
  <c r="S342" i="31"/>
  <c r="S339" i="31"/>
  <c r="S338" i="31"/>
  <c r="S335" i="31"/>
  <c r="S334" i="31"/>
  <c r="S331" i="31"/>
  <c r="S330" i="31"/>
  <c r="S329" i="31"/>
  <c r="S327" i="31"/>
  <c r="S326" i="31"/>
  <c r="S323" i="31"/>
  <c r="S322"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7"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6" i="31"/>
  <c r="S495" i="31"/>
  <c r="S494" i="31"/>
  <c r="S493" i="31"/>
  <c r="S491" i="31"/>
  <c r="S490" i="31"/>
  <c r="S488" i="31"/>
  <c r="S487" i="31"/>
  <c r="S486" i="31"/>
  <c r="S484" i="31"/>
  <c r="S483" i="31"/>
  <c r="S482" i="31"/>
  <c r="S480" i="31"/>
  <c r="S479" i="31"/>
  <c r="S478" i="31"/>
  <c r="S476" i="31"/>
  <c r="S475" i="31"/>
  <c r="S474" i="31"/>
  <c r="S471" i="31"/>
  <c r="S469" i="31"/>
  <c r="S443" i="31"/>
  <c r="S439" i="31"/>
  <c r="S437" i="31"/>
  <c r="S435" i="31"/>
  <c r="S431" i="31"/>
  <c r="S119" i="31"/>
  <c r="S115" i="31"/>
  <c r="S467" i="31"/>
  <c r="S463" i="31"/>
  <c r="S461" i="31"/>
  <c r="S459" i="31"/>
  <c r="S455" i="31"/>
  <c r="S451" i="31"/>
  <c r="S51" i="31"/>
  <c r="S47" i="31"/>
  <c r="S43" i="31"/>
  <c r="S39" i="31"/>
  <c r="S35" i="31"/>
  <c r="S75" i="31"/>
  <c r="S73" i="31"/>
  <c r="S71" i="31"/>
  <c r="S67" i="31"/>
  <c r="S65" i="31"/>
  <c r="S63" i="31"/>
  <c r="S59" i="31"/>
  <c r="S55" i="31"/>
  <c r="S24" i="31"/>
  <c r="S95" i="31"/>
  <c r="S91" i="31"/>
  <c r="S87" i="31"/>
  <c r="S83" i="31"/>
  <c r="S79" i="31"/>
  <c r="S31" i="31"/>
  <c r="S99" i="31"/>
  <c r="S101" i="31"/>
  <c r="S103" i="31"/>
  <c r="S107" i="31"/>
  <c r="S109" i="31"/>
  <c r="S111" i="31"/>
  <c r="S447" i="31"/>
  <c r="S449" i="31"/>
  <c r="S507"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H54" i="33" s="1"/>
  <c r="E54" i="33"/>
  <c r="F54" i="33" s="1"/>
  <c r="H14" i="3"/>
  <c r="AC14" i="3"/>
  <c r="H15" i="3"/>
  <c r="AC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BT5" i="3" s="1"/>
  <c r="H19" i="3"/>
  <c r="AC19" i="3"/>
  <c r="G19" i="3"/>
  <c r="BB19" i="3"/>
  <c r="BC19" i="3"/>
  <c r="BD19" i="3"/>
  <c r="BE19" i="3"/>
  <c r="BF19" i="3"/>
  <c r="BG19" i="3"/>
  <c r="BH19" i="3"/>
  <c r="BI19" i="3"/>
  <c r="BJ19" i="3"/>
  <c r="BK19" i="3"/>
  <c r="BM19" i="3"/>
  <c r="BN19" i="3"/>
  <c r="BO19" i="3"/>
  <c r="BP19" i="3"/>
  <c r="BQ19" i="3"/>
  <c r="BR19" i="3"/>
  <c r="BS19" i="3"/>
  <c r="BT19" i="3"/>
  <c r="H20" i="3"/>
  <c r="AC20" i="3"/>
  <c r="G20" i="3" s="1"/>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A488" i="3" s="1"/>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G490" i="3" s="1"/>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A529" i="3" s="1"/>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s="1"/>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W30" i="36" s="1"/>
  <c r="H30" i="36"/>
  <c r="U30" i="36" s="1"/>
  <c r="F30" i="36"/>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c r="F99" i="37" s="1"/>
  <c r="G99" i="37" s="1"/>
  <c r="F33" i="37" s="1"/>
  <c r="H42" i="34"/>
  <c r="U42" i="34" s="1"/>
  <c r="J42" i="34"/>
  <c r="W42" i="34" s="1"/>
  <c r="F42" i="34"/>
  <c r="AA42" i="34" s="1"/>
  <c r="J38" i="34"/>
  <c r="D114" i="34"/>
  <c r="F38" i="34"/>
  <c r="D112" i="34"/>
  <c r="E112" i="34"/>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3" i="31"/>
  <c r="F41" i="21"/>
  <c r="J41" i="21"/>
  <c r="AC41" i="21" s="1"/>
  <c r="H41" i="21"/>
  <c r="D83" i="39"/>
  <c r="E83" i="39" s="1"/>
  <c r="F83" i="39" s="1"/>
  <c r="G83" i="39" s="1"/>
  <c r="H83" i="39" s="1"/>
  <c r="I83" i="39" s="1"/>
  <c r="J83" i="39" s="1"/>
  <c r="K83" i="39" s="1"/>
  <c r="L83" i="39" s="1"/>
  <c r="M83" i="39" s="1"/>
  <c r="D78" i="40"/>
  <c r="F13" i="40"/>
  <c r="S13" i="40" s="1"/>
  <c r="B122" i="40"/>
  <c r="B120" i="40"/>
  <c r="H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J35" i="40" s="1"/>
  <c r="AC35" i="40" s="1"/>
  <c r="B105" i="40"/>
  <c r="F34" i="40"/>
  <c r="AA34" i="40" s="1"/>
  <c r="B103" i="40"/>
  <c r="H33" i="40" s="1"/>
  <c r="AB33" i="40" s="1"/>
  <c r="D102" i="40"/>
  <c r="E102" i="40" s="1"/>
  <c r="F102" i="40" s="1"/>
  <c r="G102" i="40" s="1"/>
  <c r="H102" i="40" s="1"/>
  <c r="I102" i="40" s="1"/>
  <c r="J102" i="40" s="1"/>
  <c r="K102" i="40" s="1"/>
  <c r="L102" i="40" s="1"/>
  <c r="M102" i="40" s="1"/>
  <c r="D100" i="40"/>
  <c r="E100" i="40"/>
  <c r="F100" i="40" s="1"/>
  <c r="G100" i="40" s="1"/>
  <c r="D98" i="40"/>
  <c r="E98" i="40" s="1"/>
  <c r="B97" i="40"/>
  <c r="D94" i="40"/>
  <c r="D92" i="40"/>
  <c r="E92" i="40" s="1"/>
  <c r="F92" i="40" s="1"/>
  <c r="G92" i="40" s="1"/>
  <c r="D90" i="40"/>
  <c r="E90" i="40" s="1"/>
  <c r="F90" i="40" s="1"/>
  <c r="H21" i="40"/>
  <c r="AB21" i="40" s="1"/>
  <c r="D88" i="40"/>
  <c r="E88" i="40" s="1"/>
  <c r="D86" i="40"/>
  <c r="E86" i="40" s="1"/>
  <c r="B83" i="40"/>
  <c r="H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F34" i="39" s="1"/>
  <c r="AA34" i="39" s="1"/>
  <c r="D107" i="39"/>
  <c r="E107" i="39" s="1"/>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B131" i="39"/>
  <c r="B129" i="39"/>
  <c r="D128" i="39"/>
  <c r="D124" i="39"/>
  <c r="E124" i="39" s="1"/>
  <c r="F124" i="39" s="1"/>
  <c r="G124" i="39" s="1"/>
  <c r="H124" i="39" s="1"/>
  <c r="I124" i="39" s="1"/>
  <c r="J124" i="39" s="1"/>
  <c r="K124" i="39" s="1"/>
  <c r="L124" i="39" s="1"/>
  <c r="M124" i="39" s="1"/>
  <c r="B106" i="39"/>
  <c r="J33" i="39" s="1"/>
  <c r="AC33" i="39" s="1"/>
  <c r="D99" i="39"/>
  <c r="E99" i="39" s="1"/>
  <c r="F99" i="39" s="1"/>
  <c r="G99" i="39" s="1"/>
  <c r="D97" i="39"/>
  <c r="D95" i="39"/>
  <c r="E95" i="39" s="1"/>
  <c r="F95" i="39" s="1"/>
  <c r="G95" i="39" s="1"/>
  <c r="D93" i="39"/>
  <c r="E93" i="39" s="1"/>
  <c r="F19" i="39" s="1"/>
  <c r="S19" i="39" s="1"/>
  <c r="D91" i="39"/>
  <c r="E91" i="39" s="1"/>
  <c r="F91" i="39" s="1"/>
  <c r="G91" i="39" s="1"/>
  <c r="B88" i="39"/>
  <c r="J16" i="39" s="1"/>
  <c r="AC16" i="39" s="1"/>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H39" i="37" s="1"/>
  <c r="AB39" i="37" s="1"/>
  <c r="J39" i="37"/>
  <c r="B108" i="37"/>
  <c r="C23" i="37"/>
  <c r="C19" i="37"/>
  <c r="C17" i="37"/>
  <c r="C15" i="37"/>
  <c r="B112" i="37"/>
  <c r="F40" i="37" s="1"/>
  <c r="AA40" i="37" s="1"/>
  <c r="D107" i="37"/>
  <c r="E107" i="37"/>
  <c r="F107" i="37" s="1"/>
  <c r="G107" i="37" s="1"/>
  <c r="H107" i="37" s="1"/>
  <c r="I107" i="37" s="1"/>
  <c r="J107" i="37" s="1"/>
  <c r="K107" i="37" s="1"/>
  <c r="L107" i="37" s="1"/>
  <c r="M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B82" i="37"/>
  <c r="D79" i="37"/>
  <c r="E79" i="37"/>
  <c r="D75" i="37"/>
  <c r="E75" i="37"/>
  <c r="F75" i="37" s="1"/>
  <c r="D73" i="37"/>
  <c r="E73" i="37"/>
  <c r="F73" i="37" s="1"/>
  <c r="G73" i="37" s="1"/>
  <c r="D71" i="37"/>
  <c r="E71" i="37" s="1"/>
  <c r="F71" i="37" s="1"/>
  <c r="G71" i="37" s="1"/>
  <c r="F15" i="37"/>
  <c r="AA15" i="37" s="1"/>
  <c r="B68" i="37"/>
  <c r="H14" i="37"/>
  <c r="U14" i="37" s="1"/>
  <c r="B66" i="37"/>
  <c r="F13" i="37" s="1"/>
  <c r="S13" i="37" s="1"/>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c r="J30" i="37"/>
  <c r="W30" i="37" s="1"/>
  <c r="H30" i="37"/>
  <c r="AB30" i="37" s="1"/>
  <c r="F30" i="37"/>
  <c r="AA30" i="37" s="1"/>
  <c r="Q29" i="37"/>
  <c r="Z29" i="37" s="1"/>
  <c r="H29" i="37"/>
  <c r="Q28" i="37"/>
  <c r="Z28" i="37" s="1"/>
  <c r="Q27" i="37"/>
  <c r="Z27" i="37" s="1"/>
  <c r="Q26" i="37"/>
  <c r="Z26" i="37" s="1"/>
  <c r="H26" i="37"/>
  <c r="AB26" i="37" s="1"/>
  <c r="Q25" i="37"/>
  <c r="Z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H8" i="37"/>
  <c r="AB8" i="37" s="1"/>
  <c r="F8" i="37"/>
  <c r="AA8" i="37" s="1"/>
  <c r="C7" i="37"/>
  <c r="J31" i="36"/>
  <c r="W31" i="36" s="1"/>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H32" i="36" s="1"/>
  <c r="AB32" i="36" s="1"/>
  <c r="F32" i="36"/>
  <c r="S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H25" i="36" s="1"/>
  <c r="AB25" i="36" s="1"/>
  <c r="B73" i="36"/>
  <c r="J24" i="36"/>
  <c r="B71" i="36"/>
  <c r="D70" i="36"/>
  <c r="H22" i="36"/>
  <c r="AB22" i="36" s="1"/>
  <c r="D68" i="36"/>
  <c r="E68" i="36" s="1"/>
  <c r="D64" i="36"/>
  <c r="E64" i="36" s="1"/>
  <c r="F64" i="36" s="1"/>
  <c r="G64" i="36" s="1"/>
  <c r="J16" i="36"/>
  <c r="AC16" i="36" s="1"/>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B97" i="35"/>
  <c r="B77" i="35"/>
  <c r="B75" i="35"/>
  <c r="F24" i="35" s="1"/>
  <c r="AA24" i="35" s="1"/>
  <c r="B73" i="35"/>
  <c r="J23" i="35" s="1"/>
  <c r="AC23" i="35" s="1"/>
  <c r="B57" i="35"/>
  <c r="H11" i="35" s="1"/>
  <c r="B61" i="35"/>
  <c r="J13" i="35" s="1"/>
  <c r="AC13" i="35" s="1"/>
  <c r="B59" i="35"/>
  <c r="H12" i="35" s="1"/>
  <c r="B131" i="34"/>
  <c r="B129" i="34"/>
  <c r="H46" i="34" s="1"/>
  <c r="B127" i="34"/>
  <c r="B99" i="34"/>
  <c r="B97" i="34"/>
  <c r="J31" i="34" s="1"/>
  <c r="B95" i="34"/>
  <c r="F30" i="34" s="1"/>
  <c r="S30" i="34" s="1"/>
  <c r="B93" i="34"/>
  <c r="B75" i="34"/>
  <c r="F14" i="34" s="1"/>
  <c r="S14" i="34" s="1"/>
  <c r="B73" i="34"/>
  <c r="H13" i="34" s="1"/>
  <c r="U13" i="34" s="1"/>
  <c r="B71" i="34"/>
  <c r="B130" i="33"/>
  <c r="J46" i="33" s="1"/>
  <c r="B128" i="33"/>
  <c r="B126" i="33"/>
  <c r="J44" i="33" s="1"/>
  <c r="B98" i="33"/>
  <c r="F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s="1"/>
  <c r="F34" i="35"/>
  <c r="Q33" i="35"/>
  <c r="Z33" i="35" s="1"/>
  <c r="Q32" i="35"/>
  <c r="Z32" i="35"/>
  <c r="H32" i="35"/>
  <c r="AB32" i="35" s="1"/>
  <c r="F32" i="35"/>
  <c r="AA32" i="35" s="1"/>
  <c r="Q31" i="35"/>
  <c r="Z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U8" i="35" s="1"/>
  <c r="F8" i="35"/>
  <c r="AA8" i="35" s="1"/>
  <c r="C7"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F27" i="34" s="1"/>
  <c r="S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H39" i="34"/>
  <c r="U39" i="34" s="1"/>
  <c r="F39" i="34"/>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W41" i="33"/>
  <c r="Q41" i="33"/>
  <c r="Z41" i="33" s="1"/>
  <c r="Q40" i="33"/>
  <c r="Z40" i="33"/>
  <c r="J40" i="33"/>
  <c r="H40" i="33"/>
  <c r="U40" i="33" s="1"/>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J8" i="33"/>
  <c r="H8" i="33"/>
  <c r="U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J43" i="21" s="1"/>
  <c r="AC43" i="21" s="1"/>
  <c r="E125" i="2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F46" i="21" s="1"/>
  <c r="B128" i="21"/>
  <c r="F45" i="21" s="1"/>
  <c r="AA45" i="21" s="1"/>
  <c r="B126" i="21"/>
  <c r="J44" i="21" s="1"/>
  <c r="AC44" i="21" s="1"/>
  <c r="B98" i="21"/>
  <c r="B96" i="21"/>
  <c r="B94" i="21"/>
  <c r="B92" i="21"/>
  <c r="B90" i="21"/>
  <c r="F27" i="21" s="1"/>
  <c r="AA27" i="21" s="1"/>
  <c r="B74" i="21"/>
  <c r="H14" i="21" s="1"/>
  <c r="U14" i="21" s="1"/>
  <c r="B72" i="21"/>
  <c r="H13" i="21" s="1"/>
  <c r="U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s="1"/>
  <c r="Q37" i="21"/>
  <c r="Z37" i="21"/>
  <c r="J38" i="21"/>
  <c r="W38" i="21" s="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F32" i="21"/>
  <c r="S32" i="21" s="1"/>
  <c r="F38" i="21"/>
  <c r="S38" i="21" s="1"/>
  <c r="F36" i="21"/>
  <c r="F39" i="21"/>
  <c r="AA39" i="21" s="1"/>
  <c r="J40" i="21"/>
  <c r="H35" i="21"/>
  <c r="AB35" i="21" s="1"/>
  <c r="J8" i="21"/>
  <c r="W8" i="21" s="1"/>
  <c r="J9" i="21"/>
  <c r="AC9" i="21" s="1"/>
  <c r="H8" i="21"/>
  <c r="AB8" i="21" s="1"/>
  <c r="H9" i="21"/>
  <c r="AB9" i="21" s="1"/>
  <c r="H10" i="21"/>
  <c r="H39" i="21"/>
  <c r="J34" i="21"/>
  <c r="W34" i="21" s="1"/>
  <c r="H36" i="21"/>
  <c r="F35" i="21"/>
  <c r="AA35" i="21" s="1"/>
  <c r="J10" i="21"/>
  <c r="AC10" i="21" s="1"/>
  <c r="H26" i="21"/>
  <c r="AB26" i="21" s="1"/>
  <c r="F19" i="21"/>
  <c r="AA19" i="21" s="1"/>
  <c r="H19" i="21"/>
  <c r="AB19" i="21" s="1"/>
  <c r="H12" i="21"/>
  <c r="U12" i="21" s="1"/>
  <c r="J26" i="21"/>
  <c r="W26" i="21" s="1"/>
  <c r="F26" i="21"/>
  <c r="AA26" i="21" s="1"/>
  <c r="S10" i="39"/>
  <c r="U30" i="37"/>
  <c r="F39" i="37"/>
  <c r="S39" i="37" s="1"/>
  <c r="F29" i="36"/>
  <c r="AA29" i="36" s="1"/>
  <c r="F16" i="36"/>
  <c r="AA16" i="36" s="1"/>
  <c r="U22" i="36"/>
  <c r="AC27" i="35"/>
  <c r="S31" i="35"/>
  <c r="F36" i="34"/>
  <c r="W9" i="34"/>
  <c r="S34" i="34"/>
  <c r="H39" i="33"/>
  <c r="AB39" i="33" s="1"/>
  <c r="W38" i="33"/>
  <c r="U38" i="33"/>
  <c r="S8" i="21"/>
  <c r="S10" i="40"/>
  <c r="W10" i="40"/>
  <c r="S11" i="40"/>
  <c r="U11" i="40"/>
  <c r="S36" i="40"/>
  <c r="U36" i="40"/>
  <c r="S36" i="39"/>
  <c r="C29" i="39"/>
  <c r="U36" i="39"/>
  <c r="S42" i="39"/>
  <c r="H32" i="33"/>
  <c r="J27" i="36"/>
  <c r="W27" i="36" s="1"/>
  <c r="J30" i="35"/>
  <c r="W30" i="35" s="1"/>
  <c r="F22" i="35"/>
  <c r="H10" i="35"/>
  <c r="U10" i="35" s="1"/>
  <c r="U29" i="36"/>
  <c r="E85" i="36"/>
  <c r="F85" i="36" s="1"/>
  <c r="G85" i="36" s="1"/>
  <c r="H85" i="36" s="1"/>
  <c r="I85" i="36" s="1"/>
  <c r="J85" i="36" s="1"/>
  <c r="K85" i="36" s="1"/>
  <c r="L85" i="36" s="1"/>
  <c r="M85" i="36" s="1"/>
  <c r="J29" i="36"/>
  <c r="AC29" i="36" s="1"/>
  <c r="F24" i="36"/>
  <c r="AA24" i="36" s="1"/>
  <c r="H16" i="35"/>
  <c r="U16" i="35" s="1"/>
  <c r="H33" i="35"/>
  <c r="AB33" i="35" s="1"/>
  <c r="W8" i="35"/>
  <c r="F35" i="37"/>
  <c r="S35" i="37" s="1"/>
  <c r="J34" i="37"/>
  <c r="AA39" i="37"/>
  <c r="H43" i="34"/>
  <c r="E114" i="34"/>
  <c r="F114" i="34" s="1"/>
  <c r="G114" i="34" s="1"/>
  <c r="H114" i="34" s="1"/>
  <c r="I114" i="34" s="1"/>
  <c r="J114" i="34" s="1"/>
  <c r="K114" i="34" s="1"/>
  <c r="L114" i="34" s="1"/>
  <c r="M114" i="34" s="1"/>
  <c r="H36" i="34"/>
  <c r="F37" i="34"/>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W19" i="33" s="1"/>
  <c r="S10" i="21"/>
  <c r="AB30" i="36"/>
  <c r="H29" i="35"/>
  <c r="AB29" i="35" s="1"/>
  <c r="AA34" i="37"/>
  <c r="AC43" i="34"/>
  <c r="AB42" i="34"/>
  <c r="W36" i="34"/>
  <c r="J19" i="34"/>
  <c r="AC19" i="34" s="1"/>
  <c r="H37" i="33"/>
  <c r="AB37" i="33" s="1"/>
  <c r="S37" i="33"/>
  <c r="W43" i="34"/>
  <c r="AC42" i="34"/>
  <c r="S42" i="34"/>
  <c r="AA38" i="34"/>
  <c r="S38" i="34"/>
  <c r="J37" i="33"/>
  <c r="W37" i="33" s="1"/>
  <c r="J42" i="21"/>
  <c r="AC42" i="21" s="1"/>
  <c r="J44" i="34"/>
  <c r="AC44" i="34" s="1"/>
  <c r="F44" i="34"/>
  <c r="J10" i="35"/>
  <c r="W10" i="35" s="1"/>
  <c r="AL5" i="3"/>
  <c r="BQ13" i="3"/>
  <c r="H28" i="33"/>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31" i="21"/>
  <c r="J45" i="21"/>
  <c r="W45" i="21" s="1"/>
  <c r="F27" i="33"/>
  <c r="J29" i="33"/>
  <c r="W29" i="33" s="1"/>
  <c r="J45" i="33"/>
  <c r="W45" i="33" s="1"/>
  <c r="H28" i="36"/>
  <c r="J32" i="36"/>
  <c r="H13" i="36"/>
  <c r="AB13" i="36" s="1"/>
  <c r="E89" i="37"/>
  <c r="F89" i="37" s="1"/>
  <c r="G89" i="37" s="1"/>
  <c r="H89" i="37" s="1"/>
  <c r="I89" i="37" s="1"/>
  <c r="J89" i="37" s="1"/>
  <c r="K89" i="37" s="1"/>
  <c r="L89" i="37" s="1"/>
  <c r="M89" i="37" s="1"/>
  <c r="J29" i="37"/>
  <c r="F29" i="37"/>
  <c r="AA29" i="37" s="1"/>
  <c r="AB36" i="37"/>
  <c r="J37" i="37"/>
  <c r="H37" i="37"/>
  <c r="U37" i="37" s="1"/>
  <c r="H40" i="37"/>
  <c r="U40" i="37" s="1"/>
  <c r="J40" i="37"/>
  <c r="AC40" i="37" s="1"/>
  <c r="H30" i="33"/>
  <c r="F30" i="33"/>
  <c r="S30" i="33" s="1"/>
  <c r="J30" i="33"/>
  <c r="AC30" i="33" s="1"/>
  <c r="F46" i="33"/>
  <c r="H46" i="33"/>
  <c r="AB46" i="33" s="1"/>
  <c r="J13" i="34"/>
  <c r="W13" i="34" s="1"/>
  <c r="J29" i="34"/>
  <c r="AC29" i="34" s="1"/>
  <c r="H31" i="34"/>
  <c r="AB31" i="34" s="1"/>
  <c r="F31" i="34"/>
  <c r="S31" i="34" s="1"/>
  <c r="F45" i="34"/>
  <c r="J47" i="34"/>
  <c r="AC47" i="34" s="1"/>
  <c r="F13" i="35"/>
  <c r="S13" i="35" s="1"/>
  <c r="H13" i="35"/>
  <c r="H35" i="35"/>
  <c r="U35" i="35" s="1"/>
  <c r="H13" i="37"/>
  <c r="AB13" i="37" s="1"/>
  <c r="J13" i="37"/>
  <c r="AC13" i="37" s="1"/>
  <c r="H28" i="37"/>
  <c r="U28" i="37" s="1"/>
  <c r="H38" i="37"/>
  <c r="AB38" i="37" s="1"/>
  <c r="F14" i="37"/>
  <c r="AA14" i="37" s="1"/>
  <c r="J14" i="37"/>
  <c r="AB40" i="37"/>
  <c r="J36" i="37"/>
  <c r="AC36" i="37" s="1"/>
  <c r="AB13" i="21"/>
  <c r="AC28" i="33"/>
  <c r="G508" i="3"/>
  <c r="G493" i="3"/>
  <c r="G549" i="3"/>
  <c r="G514" i="3"/>
  <c r="BA520" i="3"/>
  <c r="AC542" i="3"/>
  <c r="BQ542" i="3"/>
  <c r="BQ568" i="3"/>
  <c r="BQ566" i="3"/>
  <c r="BQ564" i="3"/>
  <c r="BQ562" i="3"/>
  <c r="BQ560" i="3"/>
  <c r="BQ558" i="3"/>
  <c r="BQ556" i="3"/>
  <c r="BQ554" i="3"/>
  <c r="BQ552" i="3"/>
  <c r="BQ550" i="3"/>
  <c r="BQ548" i="3"/>
  <c r="BQ546" i="3"/>
  <c r="BQ544" i="3"/>
  <c r="G544" i="3"/>
  <c r="BQ540" i="3"/>
  <c r="BQ538" i="3"/>
  <c r="BQ536" i="3"/>
  <c r="BQ534" i="3"/>
  <c r="BQ532" i="3"/>
  <c r="BQ530" i="3"/>
  <c r="BQ528" i="3"/>
  <c r="BQ526" i="3"/>
  <c r="BQ524" i="3"/>
  <c r="BQ522" i="3"/>
  <c r="BQ520" i="3"/>
  <c r="BQ518" i="3"/>
  <c r="BQ516" i="3"/>
  <c r="BQ514" i="3"/>
  <c r="BQ512" i="3"/>
  <c r="BQ510" i="3"/>
  <c r="BQ508" i="3"/>
  <c r="AC506" i="3"/>
  <c r="BQ506" i="3"/>
  <c r="G498" i="3"/>
  <c r="BQ504" i="3"/>
  <c r="BQ502" i="3"/>
  <c r="BQ500" i="3"/>
  <c r="BQ498" i="3"/>
  <c r="BQ496" i="3"/>
  <c r="AC494" i="3"/>
  <c r="BQ494" i="3"/>
  <c r="G492"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F125" i="33"/>
  <c r="G125" i="33" s="1"/>
  <c r="H43" i="33"/>
  <c r="U43" i="33" s="1"/>
  <c r="H17" i="37"/>
  <c r="U17" i="37" s="1"/>
  <c r="F23" i="37"/>
  <c r="S23" i="37" s="1"/>
  <c r="F79" i="37"/>
  <c r="G79" i="37" s="1"/>
  <c r="F39" i="33"/>
  <c r="F42" i="33"/>
  <c r="F22" i="36"/>
  <c r="S22" i="36" s="1"/>
  <c r="H35" i="34"/>
  <c r="U35" i="34" s="1"/>
  <c r="F41" i="34"/>
  <c r="S41" i="34" s="1"/>
  <c r="H41" i="34"/>
  <c r="U41" i="34" s="1"/>
  <c r="J41" i="34"/>
  <c r="F10" i="35"/>
  <c r="AA10"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F17" i="37"/>
  <c r="AA17" i="37" s="1"/>
  <c r="AB43" i="33"/>
  <c r="D3" i="21"/>
  <c r="W23" i="35"/>
  <c r="U39" i="37"/>
  <c r="AC36" i="34"/>
  <c r="AB8" i="34"/>
  <c r="AC37" i="33"/>
  <c r="F43" i="33"/>
  <c r="AA43" i="33" s="1"/>
  <c r="AA23" i="37"/>
  <c r="S10" i="35"/>
  <c r="H19" i="34"/>
  <c r="AB19" i="34" s="1"/>
  <c r="J10" i="37"/>
  <c r="W10" i="37" s="1"/>
  <c r="J9" i="37"/>
  <c r="W9" i="37" s="1"/>
  <c r="H9" i="37"/>
  <c r="U9" i="37" s="1"/>
  <c r="F11" i="37"/>
  <c r="S11" i="37" s="1"/>
  <c r="J12" i="37"/>
  <c r="AC12" i="37" s="1"/>
  <c r="H12" i="37"/>
  <c r="H15" i="37"/>
  <c r="E94" i="37"/>
  <c r="F94" i="37" s="1"/>
  <c r="G94" i="37" s="1"/>
  <c r="H94" i="37" s="1"/>
  <c r="I94" i="37" s="1"/>
  <c r="J94" i="37" s="1"/>
  <c r="K94" i="37" s="1"/>
  <c r="L94" i="37" s="1"/>
  <c r="M94" i="37" s="1"/>
  <c r="F31" i="37"/>
  <c r="S31" i="37" s="1"/>
  <c r="H31" i="37"/>
  <c r="AB31" i="37" s="1"/>
  <c r="J15" i="37"/>
  <c r="W15" i="37" s="1"/>
  <c r="J11" i="37"/>
  <c r="W11" i="37" s="1"/>
  <c r="U31" i="37"/>
  <c r="F21" i="40"/>
  <c r="S21" i="40" s="1"/>
  <c r="W36" i="40"/>
  <c r="U40" i="39"/>
  <c r="J21" i="40"/>
  <c r="AC21" i="40" s="1"/>
  <c r="G90" i="40"/>
  <c r="S27" i="31"/>
  <c r="BA15" i="3"/>
  <c r="BL17" i="3"/>
  <c r="BL15" i="3"/>
  <c r="BA14" i="3"/>
  <c r="J57" i="39"/>
  <c r="H13" i="40"/>
  <c r="U13" i="40" s="1"/>
  <c r="H12" i="48"/>
  <c r="I4" i="4"/>
  <c r="K141" i="21"/>
  <c r="I59" i="40"/>
  <c r="C59" i="40" s="1"/>
  <c r="I60" i="40"/>
  <c r="C60" i="40" s="1"/>
  <c r="G297" i="3"/>
  <c r="BL298" i="3"/>
  <c r="G299" i="3"/>
  <c r="BA302" i="3"/>
  <c r="BA303" i="3"/>
  <c r="G304" i="3"/>
  <c r="BA305" i="3"/>
  <c r="G321" i="3"/>
  <c r="BL322" i="3"/>
  <c r="G323" i="3"/>
  <c r="BL324" i="3"/>
  <c r="BA326" i="3"/>
  <c r="BA327" i="3"/>
  <c r="BL327" i="3"/>
  <c r="AZ327" i="3" s="1"/>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AZ118" i="3" s="1"/>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AZ150" i="3" s="1"/>
  <c r="BL151" i="3"/>
  <c r="BA153" i="3"/>
  <c r="AZ153" i="3" s="1"/>
  <c r="BL154" i="3"/>
  <c r="G155" i="3"/>
  <c r="BA157" i="3"/>
  <c r="BL158" i="3"/>
  <c r="G159" i="3"/>
  <c r="BA161" i="3"/>
  <c r="BL162" i="3"/>
  <c r="G163" i="3"/>
  <c r="BA165" i="3"/>
  <c r="BL166" i="3"/>
  <c r="G167" i="3"/>
  <c r="BA169" i="3"/>
  <c r="BL170" i="3"/>
  <c r="G171" i="3"/>
  <c r="BA173" i="3"/>
  <c r="BL174" i="3"/>
  <c r="AZ174" i="3" s="1"/>
  <c r="G175" i="3"/>
  <c r="BA178" i="3"/>
  <c r="AZ178" i="3" s="1"/>
  <c r="BL179" i="3"/>
  <c r="G180" i="3"/>
  <c r="BL181" i="3"/>
  <c r="G182" i="3"/>
  <c r="BA184" i="3"/>
  <c r="BL185" i="3"/>
  <c r="G186" i="3"/>
  <c r="BA188" i="3"/>
  <c r="BL189" i="3"/>
  <c r="G190" i="3"/>
  <c r="BA192" i="3"/>
  <c r="AZ192" i="3"/>
  <c r="BL193" i="3"/>
  <c r="G194" i="3"/>
  <c r="BA196" i="3"/>
  <c r="BL197" i="3"/>
  <c r="G198" i="3"/>
  <c r="BA200" i="3"/>
  <c r="BL201" i="3"/>
  <c r="G491" i="3"/>
  <c r="BA298" i="3"/>
  <c r="BA299" i="3"/>
  <c r="G300" i="3"/>
  <c r="G303" i="3"/>
  <c r="BL304" i="3"/>
  <c r="BA307" i="3"/>
  <c r="BL307" i="3"/>
  <c r="AZ307" i="3" s="1"/>
  <c r="G308" i="3"/>
  <c r="G319" i="3"/>
  <c r="BL320" i="3"/>
  <c r="BA322" i="3"/>
  <c r="AZ322" i="3" s="1"/>
  <c r="BA323" i="3"/>
  <c r="BL323" i="3"/>
  <c r="G324" i="3"/>
  <c r="G327" i="3"/>
  <c r="BL328" i="3"/>
  <c r="BA330" i="3"/>
  <c r="BA331" i="3"/>
  <c r="BL331" i="3"/>
  <c r="AZ331" i="3" s="1"/>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BL297" i="3"/>
  <c r="G298" i="3"/>
  <c r="BA300" i="3"/>
  <c r="G302" i="3"/>
  <c r="BA304" i="3"/>
  <c r="G306" i="3"/>
  <c r="BA308" i="3"/>
  <c r="BL309" i="3"/>
  <c r="G310" i="3"/>
  <c r="BA310" i="3"/>
  <c r="BL311" i="3"/>
  <c r="G312" i="3"/>
  <c r="BA312" i="3"/>
  <c r="BL313" i="3"/>
  <c r="G314" i="3"/>
  <c r="BA314" i="3"/>
  <c r="AZ314" i="3" s="1"/>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BL345" i="3"/>
  <c r="G346" i="3"/>
  <c r="BA348" i="3"/>
  <c r="BL349" i="3"/>
  <c r="G350" i="3"/>
  <c r="BA352" i="3"/>
  <c r="AZ352" i="3" s="1"/>
  <c r="BL353" i="3"/>
  <c r="G354" i="3"/>
  <c r="BA356" i="3"/>
  <c r="BL357" i="3"/>
  <c r="G358" i="3"/>
  <c r="BA362" i="3"/>
  <c r="BL363" i="3"/>
  <c r="G364" i="3"/>
  <c r="BA366" i="3"/>
  <c r="BL367" i="3"/>
  <c r="AZ245" i="3"/>
  <c r="AZ317" i="3"/>
  <c r="AZ349" i="3"/>
  <c r="G368" i="3"/>
  <c r="BA370" i="3"/>
  <c r="AZ370" i="3" s="1"/>
  <c r="BL371" i="3"/>
  <c r="G372" i="3"/>
  <c r="BA374" i="3"/>
  <c r="AZ374" i="3" s="1"/>
  <c r="BL375" i="3"/>
  <c r="AZ375" i="3" s="1"/>
  <c r="G376" i="3"/>
  <c r="BA378" i="3"/>
  <c r="BL379" i="3"/>
  <c r="G380" i="3"/>
  <c r="BA382" i="3"/>
  <c r="BL383" i="3"/>
  <c r="G384" i="3"/>
  <c r="AZ265" i="3"/>
  <c r="C17" i="11"/>
  <c r="H7" i="48"/>
  <c r="H113" i="46"/>
  <c r="H17" i="46"/>
  <c r="F33" i="46"/>
  <c r="F35" i="46"/>
  <c r="F37" i="46"/>
  <c r="H16" i="48"/>
  <c r="H9" i="48"/>
  <c r="H8" i="48"/>
  <c r="AA13" i="40"/>
  <c r="E78" i="40"/>
  <c r="F78" i="40" s="1"/>
  <c r="G78" i="40" s="1"/>
  <c r="H78" i="40" s="1"/>
  <c r="I78" i="40" s="1"/>
  <c r="J78" i="40" s="1"/>
  <c r="K78" i="40" s="1"/>
  <c r="L78" i="40" s="1"/>
  <c r="M78" i="40" s="1"/>
  <c r="R16" i="4"/>
  <c r="P16" i="4"/>
  <c r="D3" i="35"/>
  <c r="G4" i="4"/>
  <c r="J16" i="35"/>
  <c r="W16" i="35" s="1"/>
  <c r="H11" i="37"/>
  <c r="AB11" i="37" s="1"/>
  <c r="AA30" i="33"/>
  <c r="AA36" i="37"/>
  <c r="AC29" i="33"/>
  <c r="W32" i="36"/>
  <c r="AC32" i="36"/>
  <c r="U28" i="33"/>
  <c r="AB28" i="33"/>
  <c r="J33" i="34"/>
  <c r="AC33" i="34" s="1"/>
  <c r="J40" i="34"/>
  <c r="W40" i="34" s="1"/>
  <c r="F16" i="35"/>
  <c r="AA16" i="35" s="1"/>
  <c r="S24" i="36"/>
  <c r="J35" i="34"/>
  <c r="W35" i="34" s="1"/>
  <c r="F107" i="34"/>
  <c r="G107" i="34" s="1"/>
  <c r="H107" i="34" s="1"/>
  <c r="I107" i="34" s="1"/>
  <c r="J107" i="34" s="1"/>
  <c r="K107" i="34" s="1"/>
  <c r="L107" i="34" s="1"/>
  <c r="M107" i="34" s="1"/>
  <c r="H16" i="36"/>
  <c r="AB16" i="36" s="1"/>
  <c r="H35" i="37"/>
  <c r="AB35" i="37" s="1"/>
  <c r="H32" i="21"/>
  <c r="U32" i="21" s="1"/>
  <c r="W9" i="21"/>
  <c r="J32" i="21"/>
  <c r="AC32" i="21" s="1"/>
  <c r="H17" i="21"/>
  <c r="F40" i="21"/>
  <c r="S40" i="21" s="1"/>
  <c r="H40" i="21"/>
  <c r="AB40" i="21" s="1"/>
  <c r="AA8" i="33"/>
  <c r="H66" i="33"/>
  <c r="F10" i="33"/>
  <c r="AA10" i="33" s="1"/>
  <c r="F11" i="33"/>
  <c r="S11" i="33" s="1"/>
  <c r="J15" i="33"/>
  <c r="H19" i="33"/>
  <c r="AB19" i="33" s="1"/>
  <c r="F32" i="33"/>
  <c r="AA32" i="33" s="1"/>
  <c r="J32" i="33"/>
  <c r="AC32" i="33" s="1"/>
  <c r="F35" i="33"/>
  <c r="AA35" i="33" s="1"/>
  <c r="F11" i="34"/>
  <c r="S11" i="34" s="1"/>
  <c r="H17" i="34"/>
  <c r="AB17" i="34" s="1"/>
  <c r="S12" i="35"/>
  <c r="AB28" i="35"/>
  <c r="U28" i="35"/>
  <c r="H13" i="33"/>
  <c r="U13" i="33" s="1"/>
  <c r="H29" i="33"/>
  <c r="F29" i="33"/>
  <c r="AA29" i="33" s="1"/>
  <c r="F12" i="34"/>
  <c r="S12" i="34" s="1"/>
  <c r="J14" i="34"/>
  <c r="W14" i="34" s="1"/>
  <c r="H14" i="34"/>
  <c r="AB14" i="34" s="1"/>
  <c r="H32" i="34"/>
  <c r="AB32" i="34" s="1"/>
  <c r="F32" i="34"/>
  <c r="AA32" i="34" s="1"/>
  <c r="J32" i="34"/>
  <c r="W32" i="34" s="1"/>
  <c r="J46" i="34"/>
  <c r="AC46" i="34" s="1"/>
  <c r="H32" i="37"/>
  <c r="AB32" i="37" s="1"/>
  <c r="F43" i="39"/>
  <c r="AA43" i="39" s="1"/>
  <c r="H43" i="39"/>
  <c r="U43" i="39" s="1"/>
  <c r="J43" i="39"/>
  <c r="AC43" i="39" s="1"/>
  <c r="W40" i="37"/>
  <c r="AC19" i="33"/>
  <c r="U43" i="34"/>
  <c r="AB43" i="34"/>
  <c r="AA35" i="37"/>
  <c r="F42" i="21"/>
  <c r="AA42" i="21" s="1"/>
  <c r="AB40" i="33"/>
  <c r="S9" i="35"/>
  <c r="J14" i="35"/>
  <c r="AC14" i="35" s="1"/>
  <c r="F14" i="35"/>
  <c r="AA14" i="35" s="1"/>
  <c r="H14" i="35"/>
  <c r="U14" i="35" s="1"/>
  <c r="E80" i="35"/>
  <c r="F80" i="35" s="1"/>
  <c r="G80" i="35" s="1"/>
  <c r="H80" i="35" s="1"/>
  <c r="I80" i="35" s="1"/>
  <c r="J80" i="35" s="1"/>
  <c r="K80" i="35" s="1"/>
  <c r="L80" i="35" s="1"/>
  <c r="M80" i="35" s="1"/>
  <c r="J32" i="35"/>
  <c r="AC32" i="35" s="1"/>
  <c r="F26" i="36"/>
  <c r="S26" i="36" s="1"/>
  <c r="F33" i="36"/>
  <c r="AA33" i="36" s="1"/>
  <c r="H27" i="36"/>
  <c r="AB27" i="36" s="1"/>
  <c r="AA31" i="36"/>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H34" i="39"/>
  <c r="AB34" i="39" s="1"/>
  <c r="F39" i="39"/>
  <c r="AA39" i="39" s="1"/>
  <c r="H39" i="39"/>
  <c r="AB39" i="39" s="1"/>
  <c r="J39" i="39"/>
  <c r="W39" i="39" s="1"/>
  <c r="J29" i="35"/>
  <c r="AC29" i="35" s="1"/>
  <c r="F29" i="35"/>
  <c r="S29" i="35" s="1"/>
  <c r="H37" i="39"/>
  <c r="U37" i="39" s="1"/>
  <c r="J37" i="39"/>
  <c r="W37" i="39" s="1"/>
  <c r="BA564" i="3"/>
  <c r="BL505" i="3"/>
  <c r="BA495" i="3"/>
  <c r="BL494" i="3"/>
  <c r="BA481" i="3"/>
  <c r="F36" i="44"/>
  <c r="H38" i="34"/>
  <c r="U38" i="34" s="1"/>
  <c r="H30" i="40"/>
  <c r="F38" i="40"/>
  <c r="AA38" i="40" s="1"/>
  <c r="AC36" i="21"/>
  <c r="H34" i="33"/>
  <c r="U34" i="33" s="1"/>
  <c r="F34" i="33"/>
  <c r="E121" i="33"/>
  <c r="F41" i="33"/>
  <c r="S41" i="33" s="1"/>
  <c r="AA39" i="34"/>
  <c r="S39" i="34"/>
  <c r="E78" i="34"/>
  <c r="F15" i="34"/>
  <c r="AC28" i="35"/>
  <c r="W28" i="35"/>
  <c r="J20" i="35"/>
  <c r="AC20" i="35" s="1"/>
  <c r="H22" i="35"/>
  <c r="AB22" i="35" s="1"/>
  <c r="H23" i="35"/>
  <c r="U23" i="35" s="1"/>
  <c r="F23" i="35"/>
  <c r="AA23" i="35" s="1"/>
  <c r="S8" i="37"/>
  <c r="J14" i="39"/>
  <c r="AC14" i="39" s="1"/>
  <c r="F16" i="39"/>
  <c r="H16" i="39"/>
  <c r="E97" i="39"/>
  <c r="F15" i="40"/>
  <c r="AA15" i="40" s="1"/>
  <c r="J15" i="40"/>
  <c r="AC15" i="40" s="1"/>
  <c r="H15" i="40"/>
  <c r="AB15" i="40" s="1"/>
  <c r="H23" i="40"/>
  <c r="H36" i="33"/>
  <c r="AB36" i="33" s="1"/>
  <c r="H37" i="34"/>
  <c r="H25" i="39"/>
  <c r="U25" i="39" s="1"/>
  <c r="J25" i="39"/>
  <c r="AC25" i="39" s="1"/>
  <c r="F25" i="39"/>
  <c r="AA25" i="39" s="1"/>
  <c r="F45" i="39"/>
  <c r="AA45" i="39" s="1"/>
  <c r="H45" i="39"/>
  <c r="U45" i="39" s="1"/>
  <c r="J45" i="39"/>
  <c r="AC45" i="39" s="1"/>
  <c r="F41" i="39"/>
  <c r="AA41" i="39" s="1"/>
  <c r="H41" i="39"/>
  <c r="AB41" i="39" s="1"/>
  <c r="J41" i="39"/>
  <c r="AC41" i="39" s="1"/>
  <c r="E94" i="40"/>
  <c r="J25" i="40"/>
  <c r="AC25" i="40" s="1"/>
  <c r="H32" i="40"/>
  <c r="F33" i="40"/>
  <c r="AA33" i="40" s="1"/>
  <c r="J33" i="40"/>
  <c r="AC33" i="40" s="1"/>
  <c r="J38" i="39"/>
  <c r="W38" i="39" s="1"/>
  <c r="H38" i="39"/>
  <c r="U38" i="39" s="1"/>
  <c r="H40" i="40"/>
  <c r="U40" i="40" s="1"/>
  <c r="H34" i="40"/>
  <c r="U34" i="40" s="1"/>
  <c r="B41" i="1"/>
  <c r="M20" i="44" s="1"/>
  <c r="J40" i="40"/>
  <c r="AC40" i="40" s="1"/>
  <c r="J34" i="40"/>
  <c r="AC34" i="40" s="1"/>
  <c r="H14" i="40"/>
  <c r="F32" i="40"/>
  <c r="AA32" i="40" s="1"/>
  <c r="M1" i="46"/>
  <c r="M6" i="46"/>
  <c r="M10" i="46"/>
  <c r="N2" i="46"/>
  <c r="N5" i="46"/>
  <c r="F58" i="46" s="1"/>
  <c r="F47" i="46"/>
  <c r="H49" i="46" s="1"/>
  <c r="N7" i="46"/>
  <c r="M7" i="46"/>
  <c r="M11" i="46"/>
  <c r="N3" i="46"/>
  <c r="N6" i="46"/>
  <c r="N10" i="46"/>
  <c r="H47" i="46"/>
  <c r="J13" i="40"/>
  <c r="W40" i="40"/>
  <c r="F34" i="44"/>
  <c r="F31" i="43"/>
  <c r="F66" i="9"/>
  <c r="P72" i="9" s="1"/>
  <c r="F72" i="9"/>
  <c r="F70" i="9"/>
  <c r="W35" i="40"/>
  <c r="U37" i="34"/>
  <c r="AB37" i="34"/>
  <c r="J23" i="40"/>
  <c r="AC23" i="40" s="1"/>
  <c r="F23" i="40"/>
  <c r="S23" i="40" s="1"/>
  <c r="W15" i="40"/>
  <c r="H20" i="35"/>
  <c r="AB20" i="35" s="1"/>
  <c r="F20" i="35"/>
  <c r="S20" i="35" s="1"/>
  <c r="H15" i="34"/>
  <c r="AB15" i="34" s="1"/>
  <c r="F78" i="34"/>
  <c r="G78" i="34" s="1"/>
  <c r="J15" i="34"/>
  <c r="H41" i="33"/>
  <c r="U41" i="33" s="1"/>
  <c r="F121" i="33"/>
  <c r="G121" i="33" s="1"/>
  <c r="H121" i="33" s="1"/>
  <c r="I121" i="33" s="1"/>
  <c r="J121" i="33" s="1"/>
  <c r="K121" i="33" s="1"/>
  <c r="L121" i="33" s="1"/>
  <c r="M121" i="33" s="1"/>
  <c r="F30" i="40"/>
  <c r="AA30" i="40" s="1"/>
  <c r="AB38" i="34"/>
  <c r="AA29" i="35"/>
  <c r="U39" i="39"/>
  <c r="J29" i="39"/>
  <c r="AC29" i="39" s="1"/>
  <c r="AB21" i="39"/>
  <c r="S14" i="35"/>
  <c r="AA14" i="34"/>
  <c r="W32" i="33"/>
  <c r="H15" i="33"/>
  <c r="U15" i="33" s="1"/>
  <c r="AA40" i="21"/>
  <c r="W34" i="40"/>
  <c r="AB34" i="40"/>
  <c r="W32" i="40"/>
  <c r="H25" i="40"/>
  <c r="AB25" i="40" s="1"/>
  <c r="F94" i="40"/>
  <c r="G94" i="40" s="1"/>
  <c r="J37" i="34"/>
  <c r="AC37" i="34" s="1"/>
  <c r="J36" i="33"/>
  <c r="W36" i="33" s="1"/>
  <c r="H23" i="39"/>
  <c r="AB23" i="39" s="1"/>
  <c r="J23" i="39"/>
  <c r="AC23" i="39" s="1"/>
  <c r="S15" i="34"/>
  <c r="AA15" i="34"/>
  <c r="AA41" i="33"/>
  <c r="J34" i="33"/>
  <c r="AC34" i="33" s="1"/>
  <c r="AA37" i="39"/>
  <c r="S39" i="39"/>
  <c r="G96" i="37"/>
  <c r="H96" i="37" s="1"/>
  <c r="I96" i="37" s="1"/>
  <c r="J96" i="37" s="1"/>
  <c r="K96" i="37" s="1"/>
  <c r="L96" i="37" s="1"/>
  <c r="M96" i="37" s="1"/>
  <c r="F32" i="37"/>
  <c r="S32" i="37" s="1"/>
  <c r="U32" i="34"/>
  <c r="AB13" i="33"/>
  <c r="F17" i="34"/>
  <c r="AA17" i="34" s="1"/>
  <c r="J17" i="34"/>
  <c r="AC17" i="34" s="1"/>
  <c r="H11" i="34"/>
  <c r="AB11" i="34" s="1"/>
  <c r="J35" i="33"/>
  <c r="W35" i="33" s="1"/>
  <c r="H11" i="33"/>
  <c r="U11" i="33" s="1"/>
  <c r="H10" i="33"/>
  <c r="U10" i="33" s="1"/>
  <c r="I66" i="33"/>
  <c r="J10" i="33"/>
  <c r="AC10" i="33" s="1"/>
  <c r="J11" i="34"/>
  <c r="W11" i="34" s="1"/>
  <c r="S17" i="34"/>
  <c r="F25" i="40"/>
  <c r="AA25" i="40" s="1"/>
  <c r="J11" i="33"/>
  <c r="W11" i="33" s="1"/>
  <c r="H33" i="37"/>
  <c r="AB33" i="37" s="1"/>
  <c r="W15" i="34"/>
  <c r="AC15" i="34"/>
  <c r="D73" i="9"/>
  <c r="N73" i="9" s="1"/>
  <c r="G11" i="1"/>
  <c r="AP11" i="1"/>
  <c r="J51" i="15"/>
  <c r="B11" i="1"/>
  <c r="E11" i="1" s="1"/>
  <c r="K11" i="1"/>
  <c r="M11" i="1" s="1"/>
  <c r="B9" i="1"/>
  <c r="E9" i="1" s="1"/>
  <c r="K9" i="1"/>
  <c r="M9" i="1" s="1"/>
  <c r="B7" i="1"/>
  <c r="E7" i="1" s="1"/>
  <c r="K7" i="1"/>
  <c r="M7" i="1" s="1"/>
  <c r="O7" i="1" s="1"/>
  <c r="P7" i="1" s="1"/>
  <c r="C20" i="43"/>
  <c r="E2" i="65"/>
  <c r="AZ483" i="3" l="1"/>
  <c r="J30" i="40"/>
  <c r="AC30" i="40" s="1"/>
  <c r="H100" i="40"/>
  <c r="I100" i="40" s="1"/>
  <c r="J100" i="40" s="1"/>
  <c r="K100" i="40" s="1"/>
  <c r="L100" i="40" s="1"/>
  <c r="M100" i="40" s="1"/>
  <c r="AZ200" i="3"/>
  <c r="AC44" i="33"/>
  <c r="W44" i="33"/>
  <c r="AZ348" i="3"/>
  <c r="AZ300" i="3"/>
  <c r="AZ139" i="3"/>
  <c r="AZ376" i="3"/>
  <c r="AA39" i="33"/>
  <c r="S39" i="33"/>
  <c r="W34" i="37"/>
  <c r="AC34" i="37"/>
  <c r="H30" i="21"/>
  <c r="F30" i="21"/>
  <c r="S30" i="21" s="1"/>
  <c r="AB24" i="36"/>
  <c r="U24" i="36"/>
  <c r="J11" i="36"/>
  <c r="H11" i="36"/>
  <c r="H27" i="37"/>
  <c r="J27" i="37"/>
  <c r="W27" i="37" s="1"/>
  <c r="F38" i="37"/>
  <c r="AA38" i="37" s="1"/>
  <c r="J38" i="37"/>
  <c r="AC38" i="37" s="1"/>
  <c r="BA518" i="3"/>
  <c r="H47" i="39"/>
  <c r="AB47" i="39" s="1"/>
  <c r="J15" i="39"/>
  <c r="AC15" i="39" s="1"/>
  <c r="F17" i="21"/>
  <c r="S17" i="21" s="1"/>
  <c r="AB12" i="21"/>
  <c r="AZ310" i="3"/>
  <c r="AZ381" i="3"/>
  <c r="AZ122" i="3"/>
  <c r="AZ360" i="3"/>
  <c r="AC28" i="34"/>
  <c r="J46" i="21"/>
  <c r="W46" i="21" s="1"/>
  <c r="U31" i="35"/>
  <c r="AA10" i="36"/>
  <c r="S10" i="36"/>
  <c r="F9" i="36"/>
  <c r="AA9" i="36" s="1"/>
  <c r="J9" i="36"/>
  <c r="AC9" i="36" s="1"/>
  <c r="U10" i="37"/>
  <c r="AB10" i="37"/>
  <c r="F42" i="40"/>
  <c r="AA42" i="40" s="1"/>
  <c r="H42" i="40"/>
  <c r="J42" i="40"/>
  <c r="AC42" i="40" s="1"/>
  <c r="U41" i="21"/>
  <c r="AB41" i="21"/>
  <c r="BL565" i="3"/>
  <c r="G562" i="3"/>
  <c r="G545" i="3"/>
  <c r="BL541" i="3"/>
  <c r="G538" i="3"/>
  <c r="G500" i="3"/>
  <c r="G486" i="3"/>
  <c r="BL19" i="3"/>
  <c r="AC14" i="34"/>
  <c r="W14" i="35"/>
  <c r="U17" i="34"/>
  <c r="J14" i="40"/>
  <c r="F47" i="39"/>
  <c r="AA47" i="39" s="1"/>
  <c r="H15" i="39"/>
  <c r="U15" i="39" s="1"/>
  <c r="J41" i="40"/>
  <c r="F97" i="39"/>
  <c r="G97" i="39" s="1"/>
  <c r="F23" i="39"/>
  <c r="AA23" i="39" s="1"/>
  <c r="M22" i="44"/>
  <c r="W16" i="36"/>
  <c r="AB8" i="35"/>
  <c r="AB17" i="37"/>
  <c r="AZ383" i="3"/>
  <c r="AZ324" i="3"/>
  <c r="AZ364" i="3"/>
  <c r="AZ339" i="3"/>
  <c r="AZ323" i="3"/>
  <c r="AZ304" i="3"/>
  <c r="AZ298" i="3"/>
  <c r="AZ196" i="3"/>
  <c r="AZ126" i="3"/>
  <c r="AZ115" i="3"/>
  <c r="F27" i="37"/>
  <c r="F28" i="37"/>
  <c r="AA28" i="37" s="1"/>
  <c r="F35" i="35"/>
  <c r="S35" i="35" s="1"/>
  <c r="F13" i="34"/>
  <c r="AA13" i="34" s="1"/>
  <c r="W29" i="37"/>
  <c r="AC29" i="37"/>
  <c r="H46" i="21"/>
  <c r="U33" i="33"/>
  <c r="S36" i="34"/>
  <c r="AA36" i="34"/>
  <c r="J12" i="21"/>
  <c r="AC12" i="21" s="1"/>
  <c r="F12" i="21"/>
  <c r="AA12" i="21" s="1"/>
  <c r="H28" i="21"/>
  <c r="J28" i="21"/>
  <c r="AC28" i="21" s="1"/>
  <c r="E81" i="21"/>
  <c r="F81" i="21" s="1"/>
  <c r="G81" i="21" s="1"/>
  <c r="J19" i="21"/>
  <c r="W19" i="21" s="1"/>
  <c r="AA40" i="33"/>
  <c r="W12" i="35"/>
  <c r="AC12" i="35"/>
  <c r="H9" i="35"/>
  <c r="AB9" i="35" s="1"/>
  <c r="J9" i="35"/>
  <c r="W9" i="35" s="1"/>
  <c r="J13" i="33"/>
  <c r="F13" i="33"/>
  <c r="AA13" i="33" s="1"/>
  <c r="H34" i="35"/>
  <c r="AB34" i="35" s="1"/>
  <c r="J34" i="35"/>
  <c r="AC34" i="35" s="1"/>
  <c r="F13" i="36"/>
  <c r="S13" i="36" s="1"/>
  <c r="J13" i="36"/>
  <c r="W24" i="36"/>
  <c r="AC24" i="36"/>
  <c r="G563" i="3"/>
  <c r="G555" i="3"/>
  <c r="BA552" i="3"/>
  <c r="BA515" i="3"/>
  <c r="BL514" i="3"/>
  <c r="BL511" i="3"/>
  <c r="BA511" i="3"/>
  <c r="AZ511" i="3" s="1"/>
  <c r="BA510" i="3"/>
  <c r="BL507" i="3"/>
  <c r="BA493" i="3"/>
  <c r="AA46" i="21"/>
  <c r="S46" i="21"/>
  <c r="H113" i="21"/>
  <c r="H37" i="21"/>
  <c r="U37" i="21" s="1"/>
  <c r="AA33" i="33"/>
  <c r="S33" i="33"/>
  <c r="AC40" i="33"/>
  <c r="W40" i="33"/>
  <c r="AB41" i="40"/>
  <c r="U41" i="40"/>
  <c r="BL482" i="3"/>
  <c r="W40" i="21"/>
  <c r="AC40" i="21"/>
  <c r="G13" i="3"/>
  <c r="BL571" i="3"/>
  <c r="BG5" i="3"/>
  <c r="F26" i="33"/>
  <c r="AA26" i="33" s="1"/>
  <c r="H26" i="33"/>
  <c r="U26" i="33" s="1"/>
  <c r="W8" i="37"/>
  <c r="AC8" i="37"/>
  <c r="J25" i="37"/>
  <c r="G569" i="3"/>
  <c r="BL566" i="3"/>
  <c r="G561" i="3"/>
  <c r="G553" i="3"/>
  <c r="G537" i="3"/>
  <c r="G529" i="3"/>
  <c r="BA496" i="3"/>
  <c r="BL486" i="3"/>
  <c r="G485" i="3"/>
  <c r="AC16" i="35"/>
  <c r="W29" i="35"/>
  <c r="AA11" i="33"/>
  <c r="F30" i="44"/>
  <c r="D86" i="9"/>
  <c r="U32" i="40"/>
  <c r="AB32" i="40"/>
  <c r="F41" i="40"/>
  <c r="S43" i="34"/>
  <c r="AB8" i="33"/>
  <c r="F11" i="36"/>
  <c r="J17" i="21"/>
  <c r="AC17" i="21" s="1"/>
  <c r="AB35" i="35"/>
  <c r="AC26" i="36"/>
  <c r="AB16" i="35"/>
  <c r="F37" i="21"/>
  <c r="S37" i="21" s="1"/>
  <c r="W42" i="21"/>
  <c r="AA28" i="33"/>
  <c r="S28" i="33"/>
  <c r="J30" i="21"/>
  <c r="W31" i="35"/>
  <c r="AC31" i="36"/>
  <c r="G570" i="3"/>
  <c r="S35" i="34"/>
  <c r="AA35" i="34"/>
  <c r="H14" i="33"/>
  <c r="U14" i="33" s="1"/>
  <c r="F14" i="33"/>
  <c r="AA14" i="33" s="1"/>
  <c r="F44" i="33"/>
  <c r="S44" i="33" s="1"/>
  <c r="H44" i="33"/>
  <c r="AC31" i="34"/>
  <c r="W31" i="34"/>
  <c r="H47" i="34"/>
  <c r="U47" i="34" s="1"/>
  <c r="F47" i="34"/>
  <c r="AA47" i="34" s="1"/>
  <c r="AC35" i="35"/>
  <c r="W35" i="35"/>
  <c r="H9" i="36"/>
  <c r="AB9" i="36" s="1"/>
  <c r="U29" i="37"/>
  <c r="AB29" i="37"/>
  <c r="J26" i="37"/>
  <c r="F26" i="37"/>
  <c r="AA26" i="37" s="1"/>
  <c r="H14" i="39"/>
  <c r="AB14" i="39" s="1"/>
  <c r="F14" i="39"/>
  <c r="AA14" i="39" s="1"/>
  <c r="F33" i="39"/>
  <c r="H33" i="39"/>
  <c r="U33" i="39" s="1"/>
  <c r="AZ362" i="3"/>
  <c r="AZ344" i="3"/>
  <c r="AZ328" i="3"/>
  <c r="AZ184" i="3"/>
  <c r="AZ166" i="3"/>
  <c r="BL488" i="3"/>
  <c r="AZ488" i="3" s="1"/>
  <c r="G571" i="3"/>
  <c r="H29" i="21"/>
  <c r="U29" i="21" s="1"/>
  <c r="F29" i="21"/>
  <c r="S29" i="21" s="1"/>
  <c r="AC8" i="34"/>
  <c r="W8" i="34"/>
  <c r="G525" i="3"/>
  <c r="G517" i="3"/>
  <c r="G503" i="3"/>
  <c r="G495" i="3"/>
  <c r="G568" i="3"/>
  <c r="BA562" i="3"/>
  <c r="AZ562" i="3" s="1"/>
  <c r="G559" i="3"/>
  <c r="G558" i="3"/>
  <c r="G557" i="3"/>
  <c r="BA555" i="3"/>
  <c r="BA553" i="3"/>
  <c r="AZ553" i="3" s="1"/>
  <c r="BL548" i="3"/>
  <c r="G548" i="3"/>
  <c r="G534" i="3"/>
  <c r="G533" i="3"/>
  <c r="BL532" i="3"/>
  <c r="G531" i="3"/>
  <c r="BA530" i="3"/>
  <c r="BA528" i="3"/>
  <c r="BL526" i="3"/>
  <c r="G526" i="3"/>
  <c r="BL525" i="3"/>
  <c r="BA521" i="3"/>
  <c r="G513" i="3"/>
  <c r="G502" i="3"/>
  <c r="G501" i="3"/>
  <c r="G499" i="3"/>
  <c r="G484" i="3"/>
  <c r="G483" i="3"/>
  <c r="G481" i="3"/>
  <c r="G17" i="3"/>
  <c r="G15" i="3"/>
  <c r="F7" i="1"/>
  <c r="G390" i="3"/>
  <c r="G393" i="3"/>
  <c r="G394" i="3"/>
  <c r="BL398" i="3"/>
  <c r="G399" i="3"/>
  <c r="BA401" i="3"/>
  <c r="G405" i="3"/>
  <c r="BA409" i="3"/>
  <c r="BL413" i="3"/>
  <c r="G414" i="3"/>
  <c r="BA416" i="3"/>
  <c r="G419" i="3"/>
  <c r="BA421" i="3"/>
  <c r="BL424" i="3"/>
  <c r="G425" i="3"/>
  <c r="G426" i="3"/>
  <c r="BA431" i="3"/>
  <c r="BL434" i="3"/>
  <c r="AZ434" i="3" s="1"/>
  <c r="BA436" i="3"/>
  <c r="BA440" i="3"/>
  <c r="BL444" i="3"/>
  <c r="AZ444" i="3" s="1"/>
  <c r="G454" i="3"/>
  <c r="G461" i="3"/>
  <c r="G463" i="3"/>
  <c r="G464" i="3"/>
  <c r="G475" i="3"/>
  <c r="BA476" i="3"/>
  <c r="AZ476" i="3" s="1"/>
  <c r="BL479" i="3"/>
  <c r="G480" i="3"/>
  <c r="G315" i="3"/>
  <c r="G320" i="3"/>
  <c r="BA321" i="3"/>
  <c r="AZ321" i="3" s="1"/>
  <c r="BA325" i="3"/>
  <c r="AZ325" i="3" s="1"/>
  <c r="BA333" i="3"/>
  <c r="AZ333" i="3" s="1"/>
  <c r="BA335" i="3"/>
  <c r="AZ335" i="3" s="1"/>
  <c r="BL335" i="3"/>
  <c r="G336" i="3"/>
  <c r="BA337" i="3"/>
  <c r="AZ337" i="3" s="1"/>
  <c r="BA341" i="3"/>
  <c r="AZ341" i="3" s="1"/>
  <c r="BL350" i="3"/>
  <c r="BL360" i="3"/>
  <c r="BL376" i="3"/>
  <c r="BA385" i="3"/>
  <c r="BL210" i="3"/>
  <c r="G211" i="3"/>
  <c r="G212" i="3"/>
  <c r="BA216" i="3"/>
  <c r="G218" i="3"/>
  <c r="BA219" i="3"/>
  <c r="BL222" i="3"/>
  <c r="G223" i="3"/>
  <c r="BA224" i="3"/>
  <c r="G228" i="3"/>
  <c r="BL231" i="3"/>
  <c r="G236" i="3"/>
  <c r="G243" i="3"/>
  <c r="BA244" i="3"/>
  <c r="BA248" i="3"/>
  <c r="AZ248" i="3" s="1"/>
  <c r="G252" i="3"/>
  <c r="BL255" i="3"/>
  <c r="G256" i="3"/>
  <c r="BA264" i="3"/>
  <c r="BA267" i="3"/>
  <c r="BL270" i="3"/>
  <c r="AZ270" i="3" s="1"/>
  <c r="BL274" i="3"/>
  <c r="G275" i="3"/>
  <c r="G287" i="3"/>
  <c r="BA287" i="3"/>
  <c r="BA290" i="3"/>
  <c r="BA115" i="3"/>
  <c r="BL116" i="3"/>
  <c r="G117" i="3"/>
  <c r="BL80" i="3"/>
  <c r="BA97" i="3"/>
  <c r="AZ97" i="3" s="1"/>
  <c r="AZ309" i="3"/>
  <c r="K8" i="1"/>
  <c r="M8" i="1" s="1"/>
  <c r="O8" i="1" s="1"/>
  <c r="P8" i="1" s="1"/>
  <c r="D3" i="70"/>
  <c r="BA406" i="3"/>
  <c r="BL406" i="3"/>
  <c r="BL407" i="3"/>
  <c r="BL415" i="3"/>
  <c r="BL418" i="3"/>
  <c r="G423" i="3"/>
  <c r="BL429" i="3"/>
  <c r="BL430" i="3"/>
  <c r="BL432" i="3"/>
  <c r="BA433" i="3"/>
  <c r="AZ433" i="3" s="1"/>
  <c r="G443" i="3"/>
  <c r="BA443" i="3"/>
  <c r="AZ443" i="3" s="1"/>
  <c r="BA446" i="3"/>
  <c r="BL446" i="3"/>
  <c r="BL457" i="3"/>
  <c r="BA468" i="3"/>
  <c r="BA469" i="3"/>
  <c r="BL469" i="3"/>
  <c r="BL474" i="3"/>
  <c r="BA383" i="3"/>
  <c r="BA388" i="3"/>
  <c r="BA213" i="3"/>
  <c r="AZ213" i="3" s="1"/>
  <c r="BL213" i="3"/>
  <c r="BL242" i="3"/>
  <c r="G250" i="3"/>
  <c r="BL291" i="3"/>
  <c r="BL148" i="3"/>
  <c r="BA160" i="3"/>
  <c r="BA55" i="3"/>
  <c r="C18" i="9"/>
  <c r="M43" i="9" s="1"/>
  <c r="D9" i="12"/>
  <c r="D3" i="69"/>
  <c r="C12" i="46"/>
  <c r="BA390" i="3"/>
  <c r="AZ390" i="3" s="1"/>
  <c r="BL390" i="3"/>
  <c r="BL391" i="3"/>
  <c r="BL399" i="3"/>
  <c r="G402" i="3"/>
  <c r="BA402" i="3"/>
  <c r="AZ402" i="3" s="1"/>
  <c r="BL405" i="3"/>
  <c r="G410" i="3"/>
  <c r="BL414" i="3"/>
  <c r="BL417" i="3"/>
  <c r="BA422" i="3"/>
  <c r="BA432" i="3"/>
  <c r="AZ432" i="3" s="1"/>
  <c r="G437" i="3"/>
  <c r="G441" i="3"/>
  <c r="BA442" i="3"/>
  <c r="BL454" i="3"/>
  <c r="BL455" i="3"/>
  <c r="BA461" i="3"/>
  <c r="AZ461" i="3" s="1"/>
  <c r="BL461" i="3"/>
  <c r="BL464" i="3"/>
  <c r="BL473" i="3"/>
  <c r="G477" i="3"/>
  <c r="BA478" i="3"/>
  <c r="BA480" i="3"/>
  <c r="AZ480" i="3" s="1"/>
  <c r="BL480" i="3"/>
  <c r="BL299" i="3"/>
  <c r="AZ299" i="3" s="1"/>
  <c r="BL300" i="3"/>
  <c r="BL301" i="3"/>
  <c r="BL303" i="3"/>
  <c r="AZ303" i="3" s="1"/>
  <c r="BL305" i="3"/>
  <c r="AZ305" i="3" s="1"/>
  <c r="BA306" i="3"/>
  <c r="BL310" i="3"/>
  <c r="BA311" i="3"/>
  <c r="AZ311" i="3" s="1"/>
  <c r="BL348" i="3"/>
  <c r="BA351" i="3"/>
  <c r="BL366" i="3"/>
  <c r="AZ366" i="3" s="1"/>
  <c r="BA369" i="3"/>
  <c r="BL380" i="3"/>
  <c r="AZ380" i="3" s="1"/>
  <c r="BA386" i="3"/>
  <c r="BA208" i="3"/>
  <c r="BA225" i="3"/>
  <c r="BA228" i="3"/>
  <c r="AZ228" i="3" s="1"/>
  <c r="BL228" i="3"/>
  <c r="BL229" i="3"/>
  <c r="BA259" i="3"/>
  <c r="AZ259" i="3" s="1"/>
  <c r="BA268" i="3"/>
  <c r="BA273" i="3"/>
  <c r="AZ273" i="3" s="1"/>
  <c r="BA275" i="3"/>
  <c r="AZ275" i="3" s="1"/>
  <c r="BL275" i="3"/>
  <c r="BA280" i="3"/>
  <c r="AZ280" i="3" s="1"/>
  <c r="BA282" i="3"/>
  <c r="BL282" i="3"/>
  <c r="BL285" i="3"/>
  <c r="AZ285" i="3" s="1"/>
  <c r="BL287" i="3"/>
  <c r="G294" i="3"/>
  <c r="BA294" i="3"/>
  <c r="BA186" i="3"/>
  <c r="AZ186" i="3" s="1"/>
  <c r="BL186" i="3"/>
  <c r="C42" i="1"/>
  <c r="C7" i="70"/>
  <c r="C58" i="70" s="1"/>
  <c r="C7" i="69"/>
  <c r="C58" i="69" s="1"/>
  <c r="BA220" i="3"/>
  <c r="BL223" i="3"/>
  <c r="G224" i="3"/>
  <c r="G225" i="3"/>
  <c r="BA233" i="3"/>
  <c r="AZ233" i="3" s="1"/>
  <c r="BL233" i="3"/>
  <c r="BL235" i="3"/>
  <c r="G238" i="3"/>
  <c r="BA239" i="3"/>
  <c r="BA241" i="3"/>
  <c r="BA249" i="3"/>
  <c r="BA252" i="3"/>
  <c r="AZ252" i="3" s="1"/>
  <c r="BL252" i="3"/>
  <c r="BL253" i="3"/>
  <c r="G258" i="3"/>
  <c r="G262" i="3"/>
  <c r="BA262" i="3"/>
  <c r="G265" i="3"/>
  <c r="G267" i="3"/>
  <c r="G269" i="3"/>
  <c r="BL276" i="3"/>
  <c r="G277" i="3"/>
  <c r="G280" i="3"/>
  <c r="G281" i="3"/>
  <c r="BA286" i="3"/>
  <c r="G292" i="3"/>
  <c r="BA293" i="3"/>
  <c r="AZ293" i="3" s="1"/>
  <c r="G113" i="3"/>
  <c r="BA117" i="3"/>
  <c r="AZ117" i="3" s="1"/>
  <c r="BL117" i="3"/>
  <c r="BL129" i="3"/>
  <c r="G130" i="3"/>
  <c r="BA131" i="3"/>
  <c r="AZ131" i="3" s="1"/>
  <c r="BA144" i="3"/>
  <c r="G156" i="3"/>
  <c r="BL159" i="3"/>
  <c r="BL161" i="3"/>
  <c r="AZ161" i="3" s="1"/>
  <c r="BL165" i="3"/>
  <c r="AZ165" i="3" s="1"/>
  <c r="BA166" i="3"/>
  <c r="BL169" i="3"/>
  <c r="AZ169" i="3" s="1"/>
  <c r="BA170" i="3"/>
  <c r="AZ170" i="3" s="1"/>
  <c r="BA175" i="3"/>
  <c r="BA177" i="3"/>
  <c r="BL177" i="3"/>
  <c r="BL184" i="3"/>
  <c r="BA194" i="3"/>
  <c r="BL194" i="3"/>
  <c r="BL28" i="3"/>
  <c r="G29" i="3"/>
  <c r="BL30" i="3"/>
  <c r="BA34" i="3"/>
  <c r="BL44" i="3"/>
  <c r="G56" i="3"/>
  <c r="BA59" i="3"/>
  <c r="BL59" i="3"/>
  <c r="BL71" i="3"/>
  <c r="BL74" i="3"/>
  <c r="G98" i="3"/>
  <c r="BA100" i="3"/>
  <c r="G105" i="3"/>
  <c r="BA106" i="3"/>
  <c r="AZ106" i="3" s="1"/>
  <c r="I15" i="57"/>
  <c r="BL113" i="3"/>
  <c r="BA116" i="3"/>
  <c r="AZ116" i="3" s="1"/>
  <c r="BL122" i="3"/>
  <c r="BA199" i="3"/>
  <c r="BL202" i="3"/>
  <c r="BA203" i="3"/>
  <c r="AZ203" i="3" s="1"/>
  <c r="BL37" i="3"/>
  <c r="BA79" i="3"/>
  <c r="BA121" i="3"/>
  <c r="G134" i="3"/>
  <c r="BA139" i="3"/>
  <c r="BL142" i="3"/>
  <c r="AZ142" i="3" s="1"/>
  <c r="BA145" i="3"/>
  <c r="AZ145" i="3" s="1"/>
  <c r="BA147" i="3"/>
  <c r="AZ147" i="3" s="1"/>
  <c r="BA158" i="3"/>
  <c r="AZ158" i="3" s="1"/>
  <c r="G162" i="3"/>
  <c r="BA164" i="3"/>
  <c r="BA168" i="3"/>
  <c r="AZ168" i="3" s="1"/>
  <c r="G172" i="3"/>
  <c r="BA172" i="3"/>
  <c r="G177" i="3"/>
  <c r="G179" i="3"/>
  <c r="BA183" i="3"/>
  <c r="AZ183" i="3" s="1"/>
  <c r="BL183" i="3"/>
  <c r="BA190" i="3"/>
  <c r="BA191" i="3"/>
  <c r="AZ191" i="3" s="1"/>
  <c r="BL191" i="3"/>
  <c r="BA198" i="3"/>
  <c r="G202" i="3"/>
  <c r="BA202" i="3"/>
  <c r="AZ202" i="3" s="1"/>
  <c r="BA39" i="3"/>
  <c r="BA40" i="3"/>
  <c r="BA43" i="3"/>
  <c r="BL43" i="3"/>
  <c r="BL48" i="3"/>
  <c r="BL50" i="3"/>
  <c r="BA53" i="3"/>
  <c r="AZ53" i="3" s="1"/>
  <c r="BL57" i="3"/>
  <c r="BL63" i="3"/>
  <c r="BL65" i="3"/>
  <c r="BL70" i="3"/>
  <c r="BA72" i="3"/>
  <c r="BL73" i="3"/>
  <c r="BA77" i="3"/>
  <c r="BA85" i="3"/>
  <c r="BL85" i="3"/>
  <c r="AZ85" i="3" s="1"/>
  <c r="BL86" i="3"/>
  <c r="BA90" i="3"/>
  <c r="BL93" i="3"/>
  <c r="BL100" i="3"/>
  <c r="BA104" i="3"/>
  <c r="AZ104" i="3" s="1"/>
  <c r="BL106" i="3"/>
  <c r="BA109" i="3"/>
  <c r="AZ109" i="3" s="1"/>
  <c r="BA111" i="3"/>
  <c r="AZ111" i="3" s="1"/>
  <c r="BL111" i="3"/>
  <c r="D100" i="46"/>
  <c r="BA120" i="3"/>
  <c r="BL120" i="3"/>
  <c r="G123" i="3"/>
  <c r="BL126" i="3"/>
  <c r="BL128" i="3"/>
  <c r="BL130" i="3"/>
  <c r="AZ130" i="3" s="1"/>
  <c r="BA133" i="3"/>
  <c r="G137" i="3"/>
  <c r="G142" i="3"/>
  <c r="G147" i="3"/>
  <c r="BA155" i="3"/>
  <c r="BL155" i="3"/>
  <c r="BL157" i="3"/>
  <c r="AZ157" i="3" s="1"/>
  <c r="G160" i="3"/>
  <c r="BA163" i="3"/>
  <c r="BL167" i="3"/>
  <c r="BA171" i="3"/>
  <c r="AZ171" i="3" s="1"/>
  <c r="BL175" i="3"/>
  <c r="G183" i="3"/>
  <c r="G185" i="3"/>
  <c r="BL188" i="3"/>
  <c r="AZ188" i="3" s="1"/>
  <c r="G191" i="3"/>
  <c r="G193" i="3"/>
  <c r="BL196" i="3"/>
  <c r="BL200" i="3"/>
  <c r="BA201" i="3"/>
  <c r="AZ201" i="3" s="1"/>
  <c r="BA22" i="3"/>
  <c r="BA23" i="3"/>
  <c r="BA24" i="3"/>
  <c r="BA27" i="3"/>
  <c r="AZ27" i="3" s="1"/>
  <c r="BL27" i="3"/>
  <c r="BL32" i="3"/>
  <c r="BL34" i="3"/>
  <c r="BA37" i="3"/>
  <c r="AZ37" i="3" s="1"/>
  <c r="BL41" i="3"/>
  <c r="G43" i="3"/>
  <c r="G45" i="3"/>
  <c r="BL47" i="3"/>
  <c r="G50" i="3"/>
  <c r="BA51" i="3"/>
  <c r="BA54" i="3"/>
  <c r="BL54" i="3"/>
  <c r="AZ54" i="3" s="1"/>
  <c r="G57" i="3"/>
  <c r="BL62" i="3"/>
  <c r="G65" i="3"/>
  <c r="BA66" i="3"/>
  <c r="BL69" i="3"/>
  <c r="G70" i="3"/>
  <c r="BA76" i="3"/>
  <c r="BA78" i="3"/>
  <c r="AZ78" i="3" s="1"/>
  <c r="BL78" i="3"/>
  <c r="BA82" i="3"/>
  <c r="BL84" i="3"/>
  <c r="G85" i="3"/>
  <c r="BA89" i="3"/>
  <c r="BL91" i="3"/>
  <c r="G93" i="3"/>
  <c r="BA102" i="3"/>
  <c r="BL103" i="3"/>
  <c r="BL105" i="3"/>
  <c r="BA107" i="3"/>
  <c r="BL110" i="3"/>
  <c r="G111" i="3"/>
  <c r="U38" i="21"/>
  <c r="AA43" i="21"/>
  <c r="U42" i="21"/>
  <c r="AA38" i="21"/>
  <c r="AB34" i="21"/>
  <c r="AA32" i="21"/>
  <c r="U19" i="21"/>
  <c r="S19" i="21"/>
  <c r="U9" i="21"/>
  <c r="AC8" i="21"/>
  <c r="U8" i="21"/>
  <c r="U26" i="21"/>
  <c r="W41" i="21"/>
  <c r="F44" i="21"/>
  <c r="AA44" i="21" s="1"/>
  <c r="H45" i="21"/>
  <c r="U45" i="21" s="1"/>
  <c r="H44" i="21"/>
  <c r="AC45" i="21"/>
  <c r="F28" i="21"/>
  <c r="F14" i="21"/>
  <c r="AB14" i="21"/>
  <c r="J14" i="21"/>
  <c r="W14" i="21" s="1"/>
  <c r="AZ490" i="3"/>
  <c r="AA31" i="33"/>
  <c r="S31" i="33"/>
  <c r="U11" i="35"/>
  <c r="AB11" i="35"/>
  <c r="AB16" i="40"/>
  <c r="U16" i="40"/>
  <c r="W13" i="40"/>
  <c r="AC13" i="40"/>
  <c r="AB17" i="21"/>
  <c r="U17" i="21"/>
  <c r="U15" i="37"/>
  <c r="AB15" i="37"/>
  <c r="S27" i="33"/>
  <c r="AA27" i="33"/>
  <c r="U31" i="21"/>
  <c r="AB31" i="21"/>
  <c r="AB43" i="21"/>
  <c r="U43" i="21"/>
  <c r="BA572" i="3"/>
  <c r="BA570" i="3"/>
  <c r="U27" i="35"/>
  <c r="AB27" i="35"/>
  <c r="AC34" i="34"/>
  <c r="S34" i="21"/>
  <c r="BB5" i="3"/>
  <c r="AZ346" i="3"/>
  <c r="AA9" i="21"/>
  <c r="AZ493" i="3"/>
  <c r="AA45" i="34"/>
  <c r="S45" i="34"/>
  <c r="W13" i="36"/>
  <c r="AC13" i="36"/>
  <c r="AC14" i="21"/>
  <c r="J12" i="34"/>
  <c r="H12" i="34"/>
  <c r="H12" i="36"/>
  <c r="U12" i="36" s="1"/>
  <c r="F12" i="36"/>
  <c r="S12" i="36" s="1"/>
  <c r="J23" i="36"/>
  <c r="F23" i="36"/>
  <c r="AA23" i="36" s="1"/>
  <c r="H23" i="36"/>
  <c r="AB23" i="36" s="1"/>
  <c r="BL559" i="3"/>
  <c r="BL557" i="3"/>
  <c r="BL549" i="3"/>
  <c r="BL547" i="3"/>
  <c r="U20" i="35"/>
  <c r="S32" i="33"/>
  <c r="U14" i="34"/>
  <c r="AA11" i="34"/>
  <c r="AB37" i="39"/>
  <c r="S47" i="39"/>
  <c r="U23" i="40"/>
  <c r="AB23" i="40"/>
  <c r="AB10" i="35"/>
  <c r="U31" i="34"/>
  <c r="F46" i="34"/>
  <c r="AZ356" i="3"/>
  <c r="AZ359" i="3"/>
  <c r="AZ355" i="3"/>
  <c r="AC45" i="33"/>
  <c r="W41" i="34"/>
  <c r="AC41" i="34"/>
  <c r="AA46" i="33"/>
  <c r="S46" i="33"/>
  <c r="S13" i="33"/>
  <c r="U34" i="37"/>
  <c r="W35" i="21"/>
  <c r="AC35" i="21"/>
  <c r="F28" i="34"/>
  <c r="H28" i="34"/>
  <c r="AB28" i="34" s="1"/>
  <c r="AA34" i="35"/>
  <c r="S34" i="35"/>
  <c r="AA25" i="37"/>
  <c r="S25" i="37"/>
  <c r="F93" i="39"/>
  <c r="G93" i="39" s="1"/>
  <c r="H19" i="39"/>
  <c r="AB19" i="39" s="1"/>
  <c r="F46" i="39"/>
  <c r="S46" i="39" s="1"/>
  <c r="H46" i="39"/>
  <c r="J17" i="40"/>
  <c r="W17" i="40" s="1"/>
  <c r="F86" i="40"/>
  <c r="G86" i="40" s="1"/>
  <c r="BA566" i="3"/>
  <c r="AZ566" i="3" s="1"/>
  <c r="BA565" i="3"/>
  <c r="BA563" i="3"/>
  <c r="BL509" i="3"/>
  <c r="BL508" i="3"/>
  <c r="BA508" i="3"/>
  <c r="BA506" i="3"/>
  <c r="AZ506" i="3" s="1"/>
  <c r="BA505" i="3"/>
  <c r="AZ505" i="3" s="1"/>
  <c r="BL504" i="3"/>
  <c r="G494" i="3"/>
  <c r="BL493" i="3"/>
  <c r="BA492" i="3"/>
  <c r="AZ492" i="3" s="1"/>
  <c r="BA491" i="3"/>
  <c r="BL490" i="3"/>
  <c r="BL487" i="3"/>
  <c r="BA487" i="3"/>
  <c r="AZ487" i="3" s="1"/>
  <c r="K145" i="21"/>
  <c r="K143" i="21"/>
  <c r="K144" i="21"/>
  <c r="W23" i="40"/>
  <c r="AC36" i="33"/>
  <c r="U11" i="37"/>
  <c r="AB23" i="35"/>
  <c r="S33" i="40"/>
  <c r="F27" i="43"/>
  <c r="C27" i="43" s="1"/>
  <c r="F71" i="9"/>
  <c r="AA16" i="39"/>
  <c r="S16" i="39"/>
  <c r="S35" i="21"/>
  <c r="AC30" i="36"/>
  <c r="U29" i="35"/>
  <c r="J19" i="39"/>
  <c r="W19" i="39" s="1"/>
  <c r="AB39" i="34"/>
  <c r="S26" i="21"/>
  <c r="W30" i="33"/>
  <c r="AC10" i="36"/>
  <c r="AZ343" i="3"/>
  <c r="AB12" i="37"/>
  <c r="U12" i="37"/>
  <c r="AC27" i="37"/>
  <c r="S38" i="37"/>
  <c r="U13" i="35"/>
  <c r="AB13" i="35"/>
  <c r="J14" i="33"/>
  <c r="AC14" i="33" s="1"/>
  <c r="U36" i="34"/>
  <c r="AB36" i="34"/>
  <c r="F34" i="36"/>
  <c r="S34" i="36" s="1"/>
  <c r="AA22" i="35"/>
  <c r="S22" i="35"/>
  <c r="W22" i="36"/>
  <c r="U36" i="21"/>
  <c r="AB36" i="21"/>
  <c r="S36" i="21"/>
  <c r="AA36" i="21"/>
  <c r="AB9" i="33"/>
  <c r="U9" i="33"/>
  <c r="AC33" i="33"/>
  <c r="W33" i="33"/>
  <c r="AC42" i="33"/>
  <c r="W42" i="33"/>
  <c r="U27" i="33"/>
  <c r="AB27" i="33"/>
  <c r="AB9" i="34"/>
  <c r="U9" i="34"/>
  <c r="AC46" i="33"/>
  <c r="W46" i="33"/>
  <c r="F29" i="34"/>
  <c r="S29" i="34" s="1"/>
  <c r="H29" i="34"/>
  <c r="U29" i="34" s="1"/>
  <c r="J45" i="34"/>
  <c r="W45" i="34" s="1"/>
  <c r="H45" i="34"/>
  <c r="H25" i="35"/>
  <c r="F25" i="35"/>
  <c r="J25" i="35"/>
  <c r="F36" i="35"/>
  <c r="J36" i="35"/>
  <c r="U8" i="36"/>
  <c r="AB8" i="36"/>
  <c r="J12" i="36"/>
  <c r="J25" i="36"/>
  <c r="W25" i="36" s="1"/>
  <c r="F25" i="36"/>
  <c r="AA25" i="36" s="1"/>
  <c r="H34" i="36"/>
  <c r="J33" i="36"/>
  <c r="H33" i="36"/>
  <c r="S41" i="21"/>
  <c r="AA41" i="21"/>
  <c r="BL568" i="3"/>
  <c r="BA568" i="3"/>
  <c r="AZ568" i="3" s="1"/>
  <c r="BA567" i="3"/>
  <c r="BA560" i="3"/>
  <c r="BA559" i="3"/>
  <c r="AZ559" i="3" s="1"/>
  <c r="BL555" i="3"/>
  <c r="AZ555" i="3" s="1"/>
  <c r="BA550" i="3"/>
  <c r="BA549" i="3"/>
  <c r="G547" i="3"/>
  <c r="BL546" i="3"/>
  <c r="BL545" i="3"/>
  <c r="BL540" i="3"/>
  <c r="BL538" i="3"/>
  <c r="BL537" i="3"/>
  <c r="BA536" i="3"/>
  <c r="BA527" i="3"/>
  <c r="BA523" i="3"/>
  <c r="G522" i="3"/>
  <c r="BL521" i="3"/>
  <c r="G521" i="3"/>
  <c r="BL520" i="3"/>
  <c r="AZ520" i="3" s="1"/>
  <c r="BL519" i="3"/>
  <c r="BA514" i="3"/>
  <c r="AZ514" i="3" s="1"/>
  <c r="BA513" i="3"/>
  <c r="BL512" i="3"/>
  <c r="G504" i="3"/>
  <c r="BL503" i="3"/>
  <c r="AZ503" i="3" s="1"/>
  <c r="BA502" i="3"/>
  <c r="BA501" i="3"/>
  <c r="BL499" i="3"/>
  <c r="BA499" i="3"/>
  <c r="BA498" i="3"/>
  <c r="BA497" i="3"/>
  <c r="BL485" i="3"/>
  <c r="AZ485" i="3" s="1"/>
  <c r="BA484" i="3"/>
  <c r="BA482" i="3"/>
  <c r="AZ482" i="3" s="1"/>
  <c r="BA19" i="3"/>
  <c r="AZ19" i="3" s="1"/>
  <c r="BE5" i="3"/>
  <c r="BH5" i="3"/>
  <c r="AB29" i="33"/>
  <c r="U29" i="33"/>
  <c r="W23" i="37"/>
  <c r="AC23" i="37"/>
  <c r="U23" i="37"/>
  <c r="AA42" i="33"/>
  <c r="S42" i="33"/>
  <c r="U10" i="21"/>
  <c r="AB10" i="21"/>
  <c r="B70" i="46"/>
  <c r="C23" i="39"/>
  <c r="W8" i="33"/>
  <c r="AC8" i="33"/>
  <c r="AC39" i="34"/>
  <c r="W39" i="34"/>
  <c r="J24" i="35"/>
  <c r="H24" i="35"/>
  <c r="AB24" i="35" s="1"/>
  <c r="AB36" i="35"/>
  <c r="U36" i="35"/>
  <c r="W38" i="34"/>
  <c r="AC38" i="34"/>
  <c r="BL564" i="3"/>
  <c r="AZ564" i="3" s="1"/>
  <c r="U40" i="21"/>
  <c r="AC39" i="39"/>
  <c r="S44" i="34"/>
  <c r="AA44" i="34"/>
  <c r="S12" i="21"/>
  <c r="H27" i="21"/>
  <c r="AB27" i="21" s="1"/>
  <c r="J27" i="21"/>
  <c r="W27" i="21" s="1"/>
  <c r="F31" i="21"/>
  <c r="S31" i="21" s="1"/>
  <c r="J31" i="21"/>
  <c r="AC31" i="21" s="1"/>
  <c r="H27" i="34"/>
  <c r="AB27" i="34" s="1"/>
  <c r="J27" i="34"/>
  <c r="U40" i="34"/>
  <c r="AB40" i="34"/>
  <c r="J31" i="33"/>
  <c r="AC31" i="33" s="1"/>
  <c r="H31" i="33"/>
  <c r="J30" i="34"/>
  <c r="H30" i="34"/>
  <c r="AB30" i="34" s="1"/>
  <c r="AB46" i="34"/>
  <c r="U46" i="34"/>
  <c r="J11" i="35"/>
  <c r="AC11" i="35" s="1"/>
  <c r="F11" i="35"/>
  <c r="S11" i="35" s="1"/>
  <c r="AB26" i="36"/>
  <c r="U26" i="36"/>
  <c r="W34" i="36"/>
  <c r="AC34" i="36"/>
  <c r="AB31" i="36"/>
  <c r="U31" i="36"/>
  <c r="F16" i="40"/>
  <c r="AA16" i="40" s="1"/>
  <c r="J16" i="40"/>
  <c r="F35" i="40"/>
  <c r="AA35" i="40" s="1"/>
  <c r="H35" i="40"/>
  <c r="AB35" i="40" s="1"/>
  <c r="BA561" i="3"/>
  <c r="BL558" i="3"/>
  <c r="AZ558" i="3" s="1"/>
  <c r="BA556" i="3"/>
  <c r="BL554" i="3"/>
  <c r="BA554" i="3"/>
  <c r="BL552" i="3"/>
  <c r="BA551" i="3"/>
  <c r="BL544" i="3"/>
  <c r="BA544" i="3"/>
  <c r="BA543" i="3"/>
  <c r="BL534" i="3"/>
  <c r="BL527" i="3"/>
  <c r="BL524" i="3"/>
  <c r="BL522" i="3"/>
  <c r="BA517" i="3"/>
  <c r="AZ517" i="3" s="1"/>
  <c r="BL516" i="3"/>
  <c r="BA516" i="3"/>
  <c r="AA40" i="39"/>
  <c r="S40" i="39"/>
  <c r="U14" i="40"/>
  <c r="AB14" i="40"/>
  <c r="W14" i="40"/>
  <c r="AC14" i="40"/>
  <c r="U16" i="39"/>
  <c r="AB16" i="39"/>
  <c r="S34" i="33"/>
  <c r="AA34" i="33"/>
  <c r="AB30" i="40"/>
  <c r="U30" i="40"/>
  <c r="W15" i="33"/>
  <c r="AC15" i="33"/>
  <c r="AZ347" i="3"/>
  <c r="AZ338" i="3"/>
  <c r="AZ377" i="3"/>
  <c r="BL20" i="3"/>
  <c r="AZ20" i="3" s="1"/>
  <c r="AB30" i="33"/>
  <c r="U30" i="33"/>
  <c r="AB46" i="21"/>
  <c r="U46" i="21"/>
  <c r="AB28" i="21"/>
  <c r="U28" i="21"/>
  <c r="AA37" i="34"/>
  <c r="S37" i="34"/>
  <c r="AB39" i="21"/>
  <c r="U39" i="21"/>
  <c r="G572" i="3"/>
  <c r="BL572" i="3"/>
  <c r="BA571" i="3"/>
  <c r="AZ571" i="3" s="1"/>
  <c r="BL570" i="3"/>
  <c r="BL13" i="3"/>
  <c r="H45" i="33"/>
  <c r="F45" i="33"/>
  <c r="E101" i="39"/>
  <c r="BA532" i="3"/>
  <c r="BA526" i="3"/>
  <c r="AZ526" i="3" s="1"/>
  <c r="BA525" i="3"/>
  <c r="AZ525" i="3" s="1"/>
  <c r="BA524" i="3"/>
  <c r="BL518" i="3"/>
  <c r="AZ518" i="3" s="1"/>
  <c r="G518" i="3"/>
  <c r="BL515" i="3"/>
  <c r="AZ515" i="3" s="1"/>
  <c r="G515" i="3"/>
  <c r="BL513" i="3"/>
  <c r="BA512" i="3"/>
  <c r="AZ512" i="3" s="1"/>
  <c r="BA509" i="3"/>
  <c r="BA504" i="3"/>
  <c r="BL502" i="3"/>
  <c r="BL501" i="3"/>
  <c r="BL500" i="3"/>
  <c r="AZ500" i="3" s="1"/>
  <c r="BL498" i="3"/>
  <c r="BL497" i="3"/>
  <c r="BA486" i="3"/>
  <c r="AZ486" i="3" s="1"/>
  <c r="BL484" i="3"/>
  <c r="AZ484" i="3" s="1"/>
  <c r="BL481" i="3"/>
  <c r="AZ481" i="3" s="1"/>
  <c r="BA18" i="3"/>
  <c r="S45" i="21"/>
  <c r="W14" i="37"/>
  <c r="AC14" i="37"/>
  <c r="AC37" i="37"/>
  <c r="W37" i="37"/>
  <c r="U28" i="36"/>
  <c r="AB28" i="36"/>
  <c r="AB32" i="33"/>
  <c r="U32" i="33"/>
  <c r="BI5" i="3"/>
  <c r="AC9" i="33"/>
  <c r="W9" i="33"/>
  <c r="S12" i="33"/>
  <c r="AA12" i="33"/>
  <c r="AC27" i="33"/>
  <c r="W27" i="33"/>
  <c r="AC39" i="37"/>
  <c r="W39" i="37"/>
  <c r="W47" i="39"/>
  <c r="AC47" i="39"/>
  <c r="H109" i="39"/>
  <c r="I109" i="39" s="1"/>
  <c r="J109" i="39" s="1"/>
  <c r="K109" i="39" s="1"/>
  <c r="L109" i="39" s="1"/>
  <c r="M109" i="39" s="1"/>
  <c r="J34" i="39"/>
  <c r="AC34" i="39" s="1"/>
  <c r="AA30" i="36"/>
  <c r="S30" i="36"/>
  <c r="BL567" i="3"/>
  <c r="BL563" i="3"/>
  <c r="BL561" i="3"/>
  <c r="BL560" i="3"/>
  <c r="G560" i="3"/>
  <c r="BA540" i="3"/>
  <c r="AZ540" i="3" s="1"/>
  <c r="BA539" i="3"/>
  <c r="AZ539" i="3" s="1"/>
  <c r="BA538" i="3"/>
  <c r="BA537" i="3"/>
  <c r="BL536" i="3"/>
  <c r="AZ536" i="3" s="1"/>
  <c r="G496" i="3"/>
  <c r="BA494" i="3"/>
  <c r="AZ494" i="3" s="1"/>
  <c r="BL491" i="3"/>
  <c r="BL489" i="3"/>
  <c r="AZ489" i="3" s="1"/>
  <c r="AZ306" i="3"/>
  <c r="BA391" i="3"/>
  <c r="AZ391" i="3" s="1"/>
  <c r="BL395" i="3"/>
  <c r="G396" i="3"/>
  <c r="BL396" i="3"/>
  <c r="AZ396" i="3" s="1"/>
  <c r="BL400" i="3"/>
  <c r="AZ400" i="3" s="1"/>
  <c r="BL402" i="3"/>
  <c r="BA403" i="3"/>
  <c r="AZ403" i="3" s="1"/>
  <c r="BA407" i="3"/>
  <c r="AZ407" i="3" s="1"/>
  <c r="BL411" i="3"/>
  <c r="G412" i="3"/>
  <c r="BL412" i="3"/>
  <c r="AZ412" i="3" s="1"/>
  <c r="BL416" i="3"/>
  <c r="AZ416" i="3" s="1"/>
  <c r="BL419" i="3"/>
  <c r="BA429" i="3"/>
  <c r="BA454" i="3"/>
  <c r="AZ454" i="3" s="1"/>
  <c r="BA459" i="3"/>
  <c r="AZ459" i="3" s="1"/>
  <c r="BL312" i="3"/>
  <c r="AZ312" i="3" s="1"/>
  <c r="G331" i="3"/>
  <c r="BA439" i="3"/>
  <c r="BA450" i="3"/>
  <c r="BL452" i="3"/>
  <c r="G453" i="3"/>
  <c r="BL453" i="3"/>
  <c r="AZ453" i="3" s="1"/>
  <c r="G307" i="3"/>
  <c r="BL318" i="3"/>
  <c r="BL319" i="3"/>
  <c r="AZ319" i="3" s="1"/>
  <c r="G325" i="3"/>
  <c r="BL382" i="3"/>
  <c r="AZ382" i="3" s="1"/>
  <c r="BA384" i="3"/>
  <c r="BL386" i="3"/>
  <c r="AZ386" i="3" s="1"/>
  <c r="G209" i="3"/>
  <c r="BA253" i="3"/>
  <c r="AZ253" i="3" s="1"/>
  <c r="BL258" i="3"/>
  <c r="G259" i="3"/>
  <c r="AZ294" i="3"/>
  <c r="D22" i="15"/>
  <c r="D23" i="15"/>
  <c r="BA395" i="3"/>
  <c r="AZ395" i="3" s="1"/>
  <c r="BA411" i="3"/>
  <c r="BA438" i="3"/>
  <c r="AZ378" i="3"/>
  <c r="AZ373" i="3"/>
  <c r="AZ365" i="3"/>
  <c r="AZ379" i="3"/>
  <c r="AZ361" i="3"/>
  <c r="AZ329" i="3"/>
  <c r="BF5" i="3"/>
  <c r="BL551" i="3"/>
  <c r="BA547" i="3"/>
  <c r="AZ547" i="3" s="1"/>
  <c r="G543" i="3"/>
  <c r="BA542" i="3"/>
  <c r="BA541" i="3"/>
  <c r="AZ541" i="3" s="1"/>
  <c r="G536" i="3"/>
  <c r="BL535" i="3"/>
  <c r="BL533" i="3"/>
  <c r="BA531" i="3"/>
  <c r="G511" i="3"/>
  <c r="BA507" i="3"/>
  <c r="AZ507" i="3" s="1"/>
  <c r="BL506" i="3"/>
  <c r="G506" i="3"/>
  <c r="G497" i="3"/>
  <c r="BL496" i="3"/>
  <c r="AZ496" i="3" s="1"/>
  <c r="BL495" i="3"/>
  <c r="AZ495" i="3" s="1"/>
  <c r="BL14" i="3"/>
  <c r="AZ14" i="3" s="1"/>
  <c r="BA405" i="3"/>
  <c r="AZ405" i="3" s="1"/>
  <c r="AZ425" i="3"/>
  <c r="BL448" i="3"/>
  <c r="AZ448" i="3" s="1"/>
  <c r="BL449" i="3"/>
  <c r="BA318" i="3"/>
  <c r="AZ318" i="3" s="1"/>
  <c r="F9" i="1"/>
  <c r="G389" i="3"/>
  <c r="BL389" i="3"/>
  <c r="AZ389" i="3" s="1"/>
  <c r="BA392" i="3"/>
  <c r="AZ392" i="3" s="1"/>
  <c r="BL394" i="3"/>
  <c r="AZ394" i="3" s="1"/>
  <c r="G403" i="3"/>
  <c r="G404" i="3"/>
  <c r="BL404" i="3"/>
  <c r="AZ404" i="3" s="1"/>
  <c r="BA408" i="3"/>
  <c r="AZ408" i="3" s="1"/>
  <c r="BL410" i="3"/>
  <c r="AZ410" i="3" s="1"/>
  <c r="BA419" i="3"/>
  <c r="AZ419" i="3" s="1"/>
  <c r="BA420" i="3"/>
  <c r="AZ420" i="3" s="1"/>
  <c r="BL423" i="3"/>
  <c r="AZ423" i="3" s="1"/>
  <c r="BL425" i="3"/>
  <c r="BA430" i="3"/>
  <c r="AZ430" i="3" s="1"/>
  <c r="G433" i="3"/>
  <c r="G434" i="3"/>
  <c r="G435" i="3"/>
  <c r="BL435" i="3"/>
  <c r="AZ435" i="3" s="1"/>
  <c r="BL436" i="3"/>
  <c r="AZ436" i="3" s="1"/>
  <c r="BL438" i="3"/>
  <c r="G439" i="3"/>
  <c r="BL441" i="3"/>
  <c r="AZ441" i="3" s="1"/>
  <c r="BL442" i="3"/>
  <c r="AZ442" i="3" s="1"/>
  <c r="BA449" i="3"/>
  <c r="BA451" i="3"/>
  <c r="AZ451" i="3" s="1"/>
  <c r="BA455" i="3"/>
  <c r="BA457" i="3"/>
  <c r="AZ457" i="3" s="1"/>
  <c r="BL459" i="3"/>
  <c r="G460" i="3"/>
  <c r="BL460" i="3"/>
  <c r="AZ460" i="3" s="1"/>
  <c r="BA470" i="3"/>
  <c r="AZ470" i="3" s="1"/>
  <c r="BA471" i="3"/>
  <c r="AZ471" i="3" s="1"/>
  <c r="G478" i="3"/>
  <c r="BA479" i="3"/>
  <c r="AZ479" i="3" s="1"/>
  <c r="BL302" i="3"/>
  <c r="AZ302" i="3" s="1"/>
  <c r="BA313" i="3"/>
  <c r="AZ313" i="3" s="1"/>
  <c r="BL316" i="3"/>
  <c r="AZ316" i="3" s="1"/>
  <c r="BL330" i="3"/>
  <c r="AZ330" i="3" s="1"/>
  <c r="BA334" i="3"/>
  <c r="AZ334" i="3" s="1"/>
  <c r="G352" i="3"/>
  <c r="BA357" i="3"/>
  <c r="AZ357" i="3" s="1"/>
  <c r="BL369" i="3"/>
  <c r="BA371" i="3"/>
  <c r="AZ371" i="3" s="1"/>
  <c r="G206" i="3"/>
  <c r="BA207" i="3"/>
  <c r="BA226" i="3"/>
  <c r="BA243" i="3"/>
  <c r="AZ243" i="3" s="1"/>
  <c r="BL569" i="3"/>
  <c r="AZ569" i="3" s="1"/>
  <c r="BA557" i="3"/>
  <c r="BL556" i="3"/>
  <c r="G556" i="3"/>
  <c r="BL553" i="3"/>
  <c r="G551" i="3"/>
  <c r="BL550" i="3"/>
  <c r="AZ550" i="3" s="1"/>
  <c r="G550" i="3"/>
  <c r="BA548" i="3"/>
  <c r="BA546" i="3"/>
  <c r="BA545" i="3"/>
  <c r="AZ545" i="3" s="1"/>
  <c r="BL543" i="3"/>
  <c r="AZ543" i="3" s="1"/>
  <c r="BL542" i="3"/>
  <c r="G542" i="3"/>
  <c r="BA535" i="3"/>
  <c r="BA534" i="3"/>
  <c r="BA533" i="3"/>
  <c r="AZ533" i="3" s="1"/>
  <c r="G532" i="3"/>
  <c r="BL531" i="3"/>
  <c r="AZ531" i="3" s="1"/>
  <c r="BL530" i="3"/>
  <c r="AZ530" i="3" s="1"/>
  <c r="G530" i="3"/>
  <c r="BL529" i="3"/>
  <c r="AZ529" i="3" s="1"/>
  <c r="BL528" i="3"/>
  <c r="AZ528" i="3" s="1"/>
  <c r="G524" i="3"/>
  <c r="BL523" i="3"/>
  <c r="G523" i="3"/>
  <c r="BA522" i="3"/>
  <c r="AZ522" i="3" s="1"/>
  <c r="BA519" i="3"/>
  <c r="AZ519" i="3" s="1"/>
  <c r="G512" i="3"/>
  <c r="BL510" i="3"/>
  <c r="AZ510" i="3" s="1"/>
  <c r="G510" i="3"/>
  <c r="G505" i="3"/>
  <c r="BJ5" i="3"/>
  <c r="G489" i="3"/>
  <c r="G482" i="3"/>
  <c r="C92" i="9"/>
  <c r="C110" i="9"/>
  <c r="A11" i="55"/>
  <c r="B62" i="63" s="1"/>
  <c r="BL393" i="3"/>
  <c r="AZ393" i="3" s="1"/>
  <c r="BA397" i="3"/>
  <c r="AZ397" i="3" s="1"/>
  <c r="BA398" i="3"/>
  <c r="AZ398" i="3" s="1"/>
  <c r="BA399" i="3"/>
  <c r="BL401" i="3"/>
  <c r="AZ401" i="3" s="1"/>
  <c r="BL409" i="3"/>
  <c r="AZ409" i="3" s="1"/>
  <c r="BA413" i="3"/>
  <c r="AZ413" i="3" s="1"/>
  <c r="BA414" i="3"/>
  <c r="BA415" i="3"/>
  <c r="AZ415" i="3" s="1"/>
  <c r="BL422" i="3"/>
  <c r="AZ422" i="3" s="1"/>
  <c r="BA427" i="3"/>
  <c r="AZ427" i="3" s="1"/>
  <c r="BA428" i="3"/>
  <c r="AZ428" i="3" s="1"/>
  <c r="BA437" i="3"/>
  <c r="AZ437" i="3" s="1"/>
  <c r="BL439" i="3"/>
  <c r="BL440" i="3"/>
  <c r="BA447" i="3"/>
  <c r="AZ447" i="3" s="1"/>
  <c r="BA452" i="3"/>
  <c r="AZ452" i="3" s="1"/>
  <c r="BA458" i="3"/>
  <c r="AZ458" i="3" s="1"/>
  <c r="BA464" i="3"/>
  <c r="BA465" i="3"/>
  <c r="AZ465" i="3" s="1"/>
  <c r="BA466" i="3"/>
  <c r="AZ466" i="3" s="1"/>
  <c r="BA467" i="3"/>
  <c r="AZ467" i="3" s="1"/>
  <c r="BL472" i="3"/>
  <c r="AZ472" i="3" s="1"/>
  <c r="BL476" i="3"/>
  <c r="BL478" i="3"/>
  <c r="AZ478" i="3" s="1"/>
  <c r="BA297" i="3"/>
  <c r="AZ297" i="3" s="1"/>
  <c r="BA301" i="3"/>
  <c r="BL308" i="3"/>
  <c r="AZ308" i="3" s="1"/>
  <c r="BL342" i="3"/>
  <c r="AZ342" i="3" s="1"/>
  <c r="G347" i="3"/>
  <c r="BA367" i="3"/>
  <c r="AZ367" i="3" s="1"/>
  <c r="BL216" i="3"/>
  <c r="BL217" i="3"/>
  <c r="BA238" i="3"/>
  <c r="AZ238" i="3" s="1"/>
  <c r="G341" i="3"/>
  <c r="BA350" i="3"/>
  <c r="AZ350" i="3" s="1"/>
  <c r="BA353" i="3"/>
  <c r="AZ353" i="3" s="1"/>
  <c r="BL368" i="3"/>
  <c r="AZ368" i="3" s="1"/>
  <c r="G370" i="3"/>
  <c r="G383" i="3"/>
  <c r="G387" i="3"/>
  <c r="BL387" i="3"/>
  <c r="AZ387" i="3" s="1"/>
  <c r="BL388" i="3"/>
  <c r="BL206" i="3"/>
  <c r="AZ206" i="3" s="1"/>
  <c r="G207" i="3"/>
  <c r="BL209" i="3"/>
  <c r="AZ209" i="3" s="1"/>
  <c r="BL211" i="3"/>
  <c r="BA217" i="3"/>
  <c r="BA218" i="3"/>
  <c r="AZ218" i="3" s="1"/>
  <c r="BL221" i="3"/>
  <c r="AZ221" i="3" s="1"/>
  <c r="BL224" i="3"/>
  <c r="BL226" i="3"/>
  <c r="G227" i="3"/>
  <c r="BL227" i="3"/>
  <c r="AZ227" i="3" s="1"/>
  <c r="BA235" i="3"/>
  <c r="BL238" i="3"/>
  <c r="G239" i="3"/>
  <c r="BA250" i="3"/>
  <c r="AZ250" i="3" s="1"/>
  <c r="BA256" i="3"/>
  <c r="BA260" i="3"/>
  <c r="AZ260" i="3" s="1"/>
  <c r="BL263" i="3"/>
  <c r="AZ263" i="3" s="1"/>
  <c r="BA269" i="3"/>
  <c r="AZ269" i="3" s="1"/>
  <c r="BL272" i="3"/>
  <c r="G273" i="3"/>
  <c r="BA274" i="3"/>
  <c r="AZ274" i="3" s="1"/>
  <c r="BA278" i="3"/>
  <c r="AZ278" i="3" s="1"/>
  <c r="BA285" i="3"/>
  <c r="G289" i="3"/>
  <c r="BL289" i="3"/>
  <c r="AZ289" i="3" s="1"/>
  <c r="BL290" i="3"/>
  <c r="AZ290" i="3" s="1"/>
  <c r="BL294" i="3"/>
  <c r="BA295" i="3"/>
  <c r="AZ295" i="3" s="1"/>
  <c r="G115" i="3"/>
  <c r="BA128" i="3"/>
  <c r="AZ128" i="3" s="1"/>
  <c r="BL134" i="3"/>
  <c r="AZ134" i="3" s="1"/>
  <c r="BA135" i="3"/>
  <c r="AZ135" i="3" s="1"/>
  <c r="BL138" i="3"/>
  <c r="AZ138" i="3" s="1"/>
  <c r="G139" i="3"/>
  <c r="BA140" i="3"/>
  <c r="AZ140" i="3" s="1"/>
  <c r="G145" i="3"/>
  <c r="BA152" i="3"/>
  <c r="AZ152" i="3" s="1"/>
  <c r="AZ262" i="3"/>
  <c r="BA272" i="3"/>
  <c r="AZ287" i="3"/>
  <c r="BL125" i="3"/>
  <c r="AZ125" i="3" s="1"/>
  <c r="BA143" i="3"/>
  <c r="AZ143" i="3" s="1"/>
  <c r="K108" i="46"/>
  <c r="K100" i="46"/>
  <c r="BA417" i="3"/>
  <c r="AZ417" i="3" s="1"/>
  <c r="BA418" i="3"/>
  <c r="G421" i="3"/>
  <c r="BL421" i="3"/>
  <c r="AZ421" i="3" s="1"/>
  <c r="BA424" i="3"/>
  <c r="AZ424" i="3" s="1"/>
  <c r="BL426" i="3"/>
  <c r="AZ426" i="3" s="1"/>
  <c r="BL431" i="3"/>
  <c r="AZ431" i="3" s="1"/>
  <c r="G444" i="3"/>
  <c r="G445" i="3"/>
  <c r="BL445" i="3"/>
  <c r="AZ445" i="3" s="1"/>
  <c r="BL450" i="3"/>
  <c r="BL456" i="3"/>
  <c r="AZ456" i="3" s="1"/>
  <c r="BA462" i="3"/>
  <c r="AZ462" i="3" s="1"/>
  <c r="BA463" i="3"/>
  <c r="AZ463" i="3" s="1"/>
  <c r="G466" i="3"/>
  <c r="G467" i="3"/>
  <c r="G468" i="3"/>
  <c r="BL468" i="3"/>
  <c r="AZ468" i="3" s="1"/>
  <c r="BA473" i="3"/>
  <c r="BA474" i="3"/>
  <c r="AZ474" i="3" s="1"/>
  <c r="BA475" i="3"/>
  <c r="AZ475" i="3" s="1"/>
  <c r="BL477" i="3"/>
  <c r="AZ477" i="3" s="1"/>
  <c r="BL306" i="3"/>
  <c r="G311" i="3"/>
  <c r="BA315" i="3"/>
  <c r="AZ315" i="3" s="1"/>
  <c r="BL326" i="3"/>
  <c r="AZ326" i="3" s="1"/>
  <c r="BL332" i="3"/>
  <c r="AZ332" i="3" s="1"/>
  <c r="BL346" i="3"/>
  <c r="BL351" i="3"/>
  <c r="AZ351" i="3" s="1"/>
  <c r="G363" i="3"/>
  <c r="G379" i="3"/>
  <c r="BL384" i="3"/>
  <c r="BL385" i="3"/>
  <c r="AZ385" i="3" s="1"/>
  <c r="BL207" i="3"/>
  <c r="G208" i="3"/>
  <c r="BL208" i="3"/>
  <c r="BA214" i="3"/>
  <c r="AZ214" i="3" s="1"/>
  <c r="BA215" i="3"/>
  <c r="AZ215" i="3" s="1"/>
  <c r="G220" i="3"/>
  <c r="BL220" i="3"/>
  <c r="AZ220" i="3" s="1"/>
  <c r="BA229" i="3"/>
  <c r="AZ229" i="3" s="1"/>
  <c r="BA230" i="3"/>
  <c r="AZ230" i="3" s="1"/>
  <c r="BA231" i="3"/>
  <c r="BA236" i="3"/>
  <c r="BL239" i="3"/>
  <c r="AZ239" i="3" s="1"/>
  <c r="G240" i="3"/>
  <c r="BL240" i="3"/>
  <c r="BL241" i="3"/>
  <c r="AZ241" i="3" s="1"/>
  <c r="BL248" i="3"/>
  <c r="BA258" i="3"/>
  <c r="BA261" i="3"/>
  <c r="BL267" i="3"/>
  <c r="AZ267" i="3" s="1"/>
  <c r="BA276" i="3"/>
  <c r="AZ276" i="3" s="1"/>
  <c r="BA113" i="3"/>
  <c r="AZ113" i="3" s="1"/>
  <c r="BL121" i="3"/>
  <c r="AZ121" i="3" s="1"/>
  <c r="AZ136" i="3"/>
  <c r="BA148" i="3"/>
  <c r="AZ172" i="3"/>
  <c r="AZ190" i="3"/>
  <c r="D1" i="57"/>
  <c r="E10" i="57" s="1"/>
  <c r="BA162" i="3"/>
  <c r="AZ162" i="3" s="1"/>
  <c r="G166" i="3"/>
  <c r="BA167" i="3"/>
  <c r="AZ167" i="3" s="1"/>
  <c r="G170" i="3"/>
  <c r="G173" i="3"/>
  <c r="G176" i="3"/>
  <c r="BL176" i="3"/>
  <c r="AZ176" i="3" s="1"/>
  <c r="BL182" i="3"/>
  <c r="AZ182" i="3" s="1"/>
  <c r="BA189" i="3"/>
  <c r="AZ189" i="3" s="1"/>
  <c r="BA193" i="3"/>
  <c r="AZ193" i="3" s="1"/>
  <c r="G21" i="3"/>
  <c r="BA25" i="3"/>
  <c r="AZ25" i="3" s="1"/>
  <c r="BA29" i="3"/>
  <c r="AZ29" i="3" s="1"/>
  <c r="BA33" i="3"/>
  <c r="BL35" i="3"/>
  <c r="AZ35" i="3" s="1"/>
  <c r="G37" i="3"/>
  <c r="BA41" i="3"/>
  <c r="AZ41" i="3" s="1"/>
  <c r="BA45" i="3"/>
  <c r="AZ45" i="3" s="1"/>
  <c r="BA49" i="3"/>
  <c r="BL51" i="3"/>
  <c r="AZ51" i="3" s="1"/>
  <c r="G53" i="3"/>
  <c r="BA57" i="3"/>
  <c r="BA61" i="3"/>
  <c r="BA64" i="3"/>
  <c r="G67" i="3"/>
  <c r="BL67" i="3"/>
  <c r="G68" i="3"/>
  <c r="BL68" i="3"/>
  <c r="AZ68" i="3" s="1"/>
  <c r="BL72" i="3"/>
  <c r="AZ72" i="3" s="1"/>
  <c r="G76" i="3"/>
  <c r="BA83" i="3"/>
  <c r="AZ83" i="3" s="1"/>
  <c r="BL89" i="3"/>
  <c r="AZ89" i="3" s="1"/>
  <c r="BA91" i="3"/>
  <c r="AZ91" i="3" s="1"/>
  <c r="BL94" i="3"/>
  <c r="G95" i="3"/>
  <c r="BL95" i="3"/>
  <c r="AZ95" i="3" s="1"/>
  <c r="BL97" i="3"/>
  <c r="G99" i="3"/>
  <c r="G100" i="3"/>
  <c r="BA105" i="3"/>
  <c r="AZ105" i="3" s="1"/>
  <c r="BL107" i="3"/>
  <c r="AZ107" i="3" s="1"/>
  <c r="G109" i="3"/>
  <c r="BA110" i="3"/>
  <c r="BA112" i="3"/>
  <c r="BA234" i="3"/>
  <c r="AZ234" i="3" s="1"/>
  <c r="BL236" i="3"/>
  <c r="BL243" i="3"/>
  <c r="BA246" i="3"/>
  <c r="AZ246" i="3" s="1"/>
  <c r="BA247" i="3"/>
  <c r="AZ247" i="3" s="1"/>
  <c r="BL249" i="3"/>
  <c r="BL256" i="3"/>
  <c r="BL261" i="3"/>
  <c r="BA266" i="3"/>
  <c r="AZ266" i="3" s="1"/>
  <c r="BL268" i="3"/>
  <c r="AZ268" i="3" s="1"/>
  <c r="BL280" i="3"/>
  <c r="BA283" i="3"/>
  <c r="AZ283" i="3" s="1"/>
  <c r="BA284" i="3"/>
  <c r="AZ284" i="3" s="1"/>
  <c r="BL286" i="3"/>
  <c r="AZ286" i="3" s="1"/>
  <c r="BL293" i="3"/>
  <c r="BA119" i="3"/>
  <c r="AZ119" i="3" s="1"/>
  <c r="BA124" i="3"/>
  <c r="AZ124" i="3" s="1"/>
  <c r="BL133" i="3"/>
  <c r="AZ133" i="3" s="1"/>
  <c r="BL136" i="3"/>
  <c r="BA151" i="3"/>
  <c r="AZ151" i="3" s="1"/>
  <c r="BL160" i="3"/>
  <c r="AZ160" i="3" s="1"/>
  <c r="BL163" i="3"/>
  <c r="AZ163" i="3" s="1"/>
  <c r="BA180" i="3"/>
  <c r="AZ180" i="3" s="1"/>
  <c r="BA181" i="3"/>
  <c r="AZ181" i="3" s="1"/>
  <c r="BL187" i="3"/>
  <c r="AZ187" i="3" s="1"/>
  <c r="BL29" i="3"/>
  <c r="BL45" i="3"/>
  <c r="BL61" i="3"/>
  <c r="BA67" i="3"/>
  <c r="AZ67" i="3" s="1"/>
  <c r="BA94" i="3"/>
  <c r="AZ94" i="3" s="1"/>
  <c r="BL112" i="3"/>
  <c r="B13" i="1"/>
  <c r="E13" i="1" s="1"/>
  <c r="K13" i="1"/>
  <c r="M13" i="1" s="1"/>
  <c r="BL205" i="3"/>
  <c r="AZ205" i="3" s="1"/>
  <c r="BA210" i="3"/>
  <c r="AZ210" i="3" s="1"/>
  <c r="BL212" i="3"/>
  <c r="AZ212" i="3" s="1"/>
  <c r="G219" i="3"/>
  <c r="BL219" i="3"/>
  <c r="AZ219" i="3" s="1"/>
  <c r="BA222" i="3"/>
  <c r="AZ222" i="3" s="1"/>
  <c r="BA223" i="3"/>
  <c r="AZ223" i="3" s="1"/>
  <c r="BL225" i="3"/>
  <c r="G231" i="3"/>
  <c r="G232" i="3"/>
  <c r="BL232" i="3"/>
  <c r="AZ232" i="3" s="1"/>
  <c r="BL237" i="3"/>
  <c r="AZ237" i="3" s="1"/>
  <c r="BA242" i="3"/>
  <c r="AZ242" i="3" s="1"/>
  <c r="BL244" i="3"/>
  <c r="AZ244" i="3" s="1"/>
  <c r="G251" i="3"/>
  <c r="BL251" i="3"/>
  <c r="AZ251" i="3" s="1"/>
  <c r="BA254" i="3"/>
  <c r="AZ254" i="3" s="1"/>
  <c r="BA255" i="3"/>
  <c r="AZ255" i="3" s="1"/>
  <c r="BL257" i="3"/>
  <c r="AZ257" i="3" s="1"/>
  <c r="G263" i="3"/>
  <c r="G264" i="3"/>
  <c r="BL264" i="3"/>
  <c r="AZ264" i="3" s="1"/>
  <c r="G270" i="3"/>
  <c r="G271" i="3"/>
  <c r="BL271" i="3"/>
  <c r="AZ271" i="3" s="1"/>
  <c r="BA279" i="3"/>
  <c r="AZ279" i="3" s="1"/>
  <c r="BL281" i="3"/>
  <c r="AZ281" i="3" s="1"/>
  <c r="G288" i="3"/>
  <c r="BL288" i="3"/>
  <c r="AZ288" i="3" s="1"/>
  <c r="BA291" i="3"/>
  <c r="BA292" i="3"/>
  <c r="AZ292" i="3" s="1"/>
  <c r="G295" i="3"/>
  <c r="G296" i="3"/>
  <c r="BL296" i="3"/>
  <c r="BL114" i="3"/>
  <c r="AZ114" i="3" s="1"/>
  <c r="BA123" i="3"/>
  <c r="AZ123" i="3" s="1"/>
  <c r="BA127" i="3"/>
  <c r="AZ127" i="3" s="1"/>
  <c r="BA129" i="3"/>
  <c r="AZ129" i="3" s="1"/>
  <c r="BA132" i="3"/>
  <c r="AZ132" i="3" s="1"/>
  <c r="G135" i="3"/>
  <c r="BL137" i="3"/>
  <c r="AZ137" i="3" s="1"/>
  <c r="G141" i="3"/>
  <c r="BL141" i="3"/>
  <c r="AZ141" i="3" s="1"/>
  <c r="BL144" i="3"/>
  <c r="AZ144" i="3" s="1"/>
  <c r="BL146" i="3"/>
  <c r="AZ146" i="3" s="1"/>
  <c r="BA154" i="3"/>
  <c r="AZ154" i="3" s="1"/>
  <c r="BA156" i="3"/>
  <c r="AZ156" i="3" s="1"/>
  <c r="BA159" i="3"/>
  <c r="BL164" i="3"/>
  <c r="BL168" i="3"/>
  <c r="BL171" i="3"/>
  <c r="BL173" i="3"/>
  <c r="AZ173" i="3" s="1"/>
  <c r="BA179" i="3"/>
  <c r="AZ179" i="3" s="1"/>
  <c r="BA185" i="3"/>
  <c r="AZ185" i="3" s="1"/>
  <c r="BL195" i="3"/>
  <c r="AZ195" i="3" s="1"/>
  <c r="BL198" i="3"/>
  <c r="AZ198" i="3" s="1"/>
  <c r="BL199" i="3"/>
  <c r="AZ199" i="3" s="1"/>
  <c r="BL21" i="3"/>
  <c r="AZ21" i="3" s="1"/>
  <c r="BL22" i="3"/>
  <c r="AZ22" i="3" s="1"/>
  <c r="BL23" i="3"/>
  <c r="AZ23" i="3" s="1"/>
  <c r="AZ34" i="3"/>
  <c r="BL39" i="3"/>
  <c r="AZ39" i="3" s="1"/>
  <c r="AZ50" i="3"/>
  <c r="BL55" i="3"/>
  <c r="AZ55" i="3" s="1"/>
  <c r="AZ65" i="3"/>
  <c r="BL76" i="3"/>
  <c r="BL79" i="3"/>
  <c r="AZ79" i="3" s="1"/>
  <c r="BA84" i="3"/>
  <c r="AZ84" i="3" s="1"/>
  <c r="BA86" i="3"/>
  <c r="AZ86" i="3" s="1"/>
  <c r="BL90" i="3"/>
  <c r="AZ90" i="3" s="1"/>
  <c r="BA93" i="3"/>
  <c r="BL102" i="3"/>
  <c r="R12" i="1"/>
  <c r="K12" i="1"/>
  <c r="M12" i="1" s="1"/>
  <c r="BL24" i="3"/>
  <c r="BA28" i="3"/>
  <c r="G31" i="3"/>
  <c r="G32" i="3"/>
  <c r="G33" i="3"/>
  <c r="BL33" i="3"/>
  <c r="AZ33" i="3" s="1"/>
  <c r="BL40" i="3"/>
  <c r="AZ40" i="3" s="1"/>
  <c r="BA44" i="3"/>
  <c r="G47" i="3"/>
  <c r="G48" i="3"/>
  <c r="G49" i="3"/>
  <c r="BL49" i="3"/>
  <c r="AZ49" i="3" s="1"/>
  <c r="BL56" i="3"/>
  <c r="AZ56" i="3" s="1"/>
  <c r="BA60" i="3"/>
  <c r="AZ60" i="3" s="1"/>
  <c r="G63" i="3"/>
  <c r="G64" i="3"/>
  <c r="BL64" i="3"/>
  <c r="BL66" i="3"/>
  <c r="BA69" i="3"/>
  <c r="AZ69" i="3" s="1"/>
  <c r="BA70" i="3"/>
  <c r="BA71" i="3"/>
  <c r="G74" i="3"/>
  <c r="G75" i="3"/>
  <c r="BL75" i="3"/>
  <c r="AZ75" i="3" s="1"/>
  <c r="G81" i="3"/>
  <c r="BL81" i="3"/>
  <c r="AZ81" i="3" s="1"/>
  <c r="G88" i="3"/>
  <c r="BL88" i="3"/>
  <c r="BA96" i="3"/>
  <c r="AZ96" i="3" s="1"/>
  <c r="BL98" i="3"/>
  <c r="AZ98" i="3" s="1"/>
  <c r="G104" i="3"/>
  <c r="BL104" i="3"/>
  <c r="BL190" i="3"/>
  <c r="BA197" i="3"/>
  <c r="AZ197" i="3" s="1"/>
  <c r="G201" i="3"/>
  <c r="G203" i="3"/>
  <c r="G204" i="3"/>
  <c r="BL204" i="3"/>
  <c r="AZ204" i="3" s="1"/>
  <c r="G26" i="3"/>
  <c r="BL26" i="3"/>
  <c r="AZ26" i="3" s="1"/>
  <c r="BA30" i="3"/>
  <c r="AZ30" i="3" s="1"/>
  <c r="BA31" i="3"/>
  <c r="AZ31" i="3" s="1"/>
  <c r="BA32" i="3"/>
  <c r="AZ32" i="3" s="1"/>
  <c r="G35" i="3"/>
  <c r="G36" i="3"/>
  <c r="BL36" i="3"/>
  <c r="AZ36" i="3" s="1"/>
  <c r="G42" i="3"/>
  <c r="BL42" i="3"/>
  <c r="AZ42" i="3" s="1"/>
  <c r="BA46" i="3"/>
  <c r="AZ46" i="3" s="1"/>
  <c r="BA47" i="3"/>
  <c r="BA48" i="3"/>
  <c r="AZ48" i="3" s="1"/>
  <c r="G51" i="3"/>
  <c r="G52" i="3"/>
  <c r="BL52" i="3"/>
  <c r="AZ52" i="3" s="1"/>
  <c r="G58" i="3"/>
  <c r="BL58" i="3"/>
  <c r="AZ58" i="3" s="1"/>
  <c r="BA62" i="3"/>
  <c r="AZ62" i="3" s="1"/>
  <c r="BA63" i="3"/>
  <c r="AZ63" i="3" s="1"/>
  <c r="G66" i="3"/>
  <c r="BA73" i="3"/>
  <c r="AZ73" i="3" s="1"/>
  <c r="BA74" i="3"/>
  <c r="G77" i="3"/>
  <c r="BL77" i="3"/>
  <c r="AZ77" i="3" s="1"/>
  <c r="BA80" i="3"/>
  <c r="AZ80" i="3" s="1"/>
  <c r="BL82" i="3"/>
  <c r="AZ82" i="3" s="1"/>
  <c r="BA87" i="3"/>
  <c r="AZ87" i="3" s="1"/>
  <c r="G90" i="3"/>
  <c r="G91" i="3"/>
  <c r="G92" i="3"/>
  <c r="BL92" i="3"/>
  <c r="AZ92" i="3" s="1"/>
  <c r="BL99" i="3"/>
  <c r="AZ99" i="3" s="1"/>
  <c r="BA103" i="3"/>
  <c r="AZ103" i="3" s="1"/>
  <c r="G106" i="3"/>
  <c r="G107" i="3"/>
  <c r="G108" i="3"/>
  <c r="BL108" i="3"/>
  <c r="U34" i="39"/>
  <c r="AB17" i="39"/>
  <c r="S17" i="39"/>
  <c r="AA19" i="39"/>
  <c r="AB25" i="39"/>
  <c r="AB29" i="39"/>
  <c r="AB44" i="39"/>
  <c r="S43" i="39"/>
  <c r="W43" i="39"/>
  <c r="A30" i="51"/>
  <c r="B22" i="63" s="1"/>
  <c r="W33" i="39"/>
  <c r="W15" i="39"/>
  <c r="W14" i="39"/>
  <c r="F32" i="15"/>
  <c r="F59" i="15" s="1"/>
  <c r="F29" i="12"/>
  <c r="AZ551" i="3"/>
  <c r="AZ538" i="3"/>
  <c r="AZ501" i="3"/>
  <c r="AZ542" i="3"/>
  <c r="AZ406" i="3"/>
  <c r="AC5" i="3"/>
  <c r="H5" i="3"/>
  <c r="AZ429" i="3"/>
  <c r="G14" i="3"/>
  <c r="AZ440" i="3"/>
  <c r="AZ464" i="3"/>
  <c r="AZ208" i="3"/>
  <c r="AZ211" i="3"/>
  <c r="AZ224" i="3"/>
  <c r="AZ240" i="3"/>
  <c r="AZ256" i="3"/>
  <c r="AZ296" i="3"/>
  <c r="AZ155" i="3"/>
  <c r="AZ194" i="3"/>
  <c r="AZ38" i="3"/>
  <c r="AZ64" i="3"/>
  <c r="AZ88" i="3"/>
  <c r="AZ101" i="3"/>
  <c r="G22" i="3"/>
  <c r="AZ108" i="3"/>
  <c r="C30" i="44"/>
  <c r="C25" i="12"/>
  <c r="C31" i="43"/>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W10" i="21"/>
  <c r="AC38" i="21"/>
  <c r="AB21" i="21"/>
  <c r="U21" i="21"/>
  <c r="AB29" i="21"/>
  <c r="AA30" i="21"/>
  <c r="W33" i="40"/>
  <c r="U33" i="40"/>
  <c r="U15" i="40"/>
  <c r="S14" i="40"/>
  <c r="S15" i="40"/>
  <c r="AB13" i="40"/>
  <c r="W11" i="40"/>
  <c r="AA21" i="40"/>
  <c r="U21" i="40"/>
  <c r="W25" i="40"/>
  <c r="U2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AC17" i="40"/>
  <c r="F17" i="40"/>
  <c r="AA17" i="40" s="1"/>
  <c r="H17" i="40"/>
  <c r="AB17" i="40" s="1"/>
  <c r="W21" i="40"/>
  <c r="AB40" i="40"/>
  <c r="U10" i="40"/>
  <c r="U27" i="40"/>
  <c r="AB27" i="40"/>
  <c r="AC44" i="39"/>
  <c r="S11" i="39"/>
  <c r="AB45" i="39"/>
  <c r="AA21" i="39"/>
  <c r="AC38" i="39"/>
  <c r="W29" i="39"/>
  <c r="S29" i="39"/>
  <c r="AC21" i="39"/>
  <c r="AC17" i="39"/>
  <c r="U11" i="39"/>
  <c r="U41" i="39"/>
  <c r="U23" i="39"/>
  <c r="AB38" i="39"/>
  <c r="U31" i="39"/>
  <c r="AB31" i="39"/>
  <c r="S25" i="39"/>
  <c r="S38" i="39"/>
  <c r="S22" i="31"/>
  <c r="D18" i="9"/>
  <c r="M44" i="9" s="1"/>
  <c r="A30" i="64"/>
  <c r="M20" i="15"/>
  <c r="D96" i="9"/>
  <c r="F28" i="15"/>
  <c r="C28" i="15" s="1"/>
  <c r="M18" i="15"/>
  <c r="A18" i="64"/>
  <c r="B74" i="63" s="1"/>
  <c r="C53" i="10"/>
  <c r="A25" i="64" s="1"/>
  <c r="A18" i="51"/>
  <c r="B14" i="63" s="1"/>
  <c r="M20" i="46"/>
  <c r="C19" i="46" s="1"/>
  <c r="BA16" i="3"/>
  <c r="BA17" i="3"/>
  <c r="AZ17" i="3" s="1"/>
  <c r="F3" i="35"/>
  <c r="K1" i="43"/>
  <c r="K1" i="12"/>
  <c r="G1" i="44"/>
  <c r="I4" i="6"/>
  <c r="AZ15" i="3"/>
  <c r="BK5" i="3"/>
  <c r="BO5" i="3"/>
  <c r="BP5" i="3"/>
  <c r="BN5" i="3"/>
  <c r="BL18" i="3"/>
  <c r="AZ18" i="3" s="1"/>
  <c r="BC5" i="3"/>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4"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AA29" i="21"/>
  <c r="U27" i="21"/>
  <c r="W31" i="21"/>
  <c r="S27" i="21"/>
  <c r="W29" i="21"/>
  <c r="G96" i="40"/>
  <c r="J2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5" i="44"/>
  <c r="F43" i="44"/>
  <c r="M24" i="15"/>
  <c r="M31" i="44"/>
  <c r="D58" i="69" l="1"/>
  <c r="E58" i="69" s="1"/>
  <c r="F58" i="69" s="1"/>
  <c r="G58" i="69" s="1"/>
  <c r="H58" i="69" s="1"/>
  <c r="I58" i="69" s="1"/>
  <c r="J58" i="69" s="1"/>
  <c r="K58" i="69" s="1"/>
  <c r="L58" i="69" s="1"/>
  <c r="M58" i="69" s="1"/>
  <c r="N58" i="69" s="1"/>
  <c r="O58" i="69" s="1"/>
  <c r="H7" i="69"/>
  <c r="J7" i="69"/>
  <c r="F7" i="69"/>
  <c r="S11" i="36"/>
  <c r="AA11" i="36"/>
  <c r="W25" i="37"/>
  <c r="AC25" i="37"/>
  <c r="S26" i="33"/>
  <c r="W42" i="40"/>
  <c r="AC19" i="21"/>
  <c r="AZ47" i="3"/>
  <c r="AZ66" i="3"/>
  <c r="AZ28" i="3"/>
  <c r="AZ102" i="3"/>
  <c r="AZ291" i="3"/>
  <c r="AZ112" i="3"/>
  <c r="AZ535" i="3"/>
  <c r="AZ226" i="3"/>
  <c r="AZ369" i="3"/>
  <c r="AZ455" i="3"/>
  <c r="AZ439" i="3"/>
  <c r="AZ532" i="3"/>
  <c r="AZ120" i="3"/>
  <c r="AZ43" i="3"/>
  <c r="AZ100" i="3"/>
  <c r="AZ177" i="3"/>
  <c r="D58" i="70"/>
  <c r="E58" i="70" s="1"/>
  <c r="F58" i="70" s="1"/>
  <c r="G58" i="70" s="1"/>
  <c r="H58" i="70" s="1"/>
  <c r="I58" i="70" s="1"/>
  <c r="J58" i="70" s="1"/>
  <c r="K58" i="70" s="1"/>
  <c r="L58" i="70" s="1"/>
  <c r="M58" i="70" s="1"/>
  <c r="N58" i="70" s="1"/>
  <c r="O58" i="70" s="1"/>
  <c r="F7" i="70"/>
  <c r="J7" i="70"/>
  <c r="H7" i="70"/>
  <c r="AZ469" i="3"/>
  <c r="AZ446" i="3"/>
  <c r="U44" i="33"/>
  <c r="AB44" i="33"/>
  <c r="AB42" i="40"/>
  <c r="U42" i="40"/>
  <c r="U27" i="37"/>
  <c r="AB27" i="37"/>
  <c r="AB14" i="33"/>
  <c r="W11" i="35"/>
  <c r="AB15" i="39"/>
  <c r="AA31" i="21"/>
  <c r="S13" i="34"/>
  <c r="U9" i="35"/>
  <c r="G5" i="3"/>
  <c r="B3" i="3" s="1"/>
  <c r="E413" i="3" s="1"/>
  <c r="S23" i="39"/>
  <c r="AZ74" i="3"/>
  <c r="AZ71" i="3"/>
  <c r="AZ24" i="3"/>
  <c r="AZ93" i="3"/>
  <c r="AZ164" i="3"/>
  <c r="AZ110" i="3"/>
  <c r="AZ148" i="3"/>
  <c r="AZ258" i="3"/>
  <c r="AZ231" i="3"/>
  <c r="AZ473" i="3"/>
  <c r="AZ235" i="3"/>
  <c r="AZ388" i="3"/>
  <c r="AZ216" i="3"/>
  <c r="AZ414" i="3"/>
  <c r="AZ399" i="3"/>
  <c r="AZ546" i="3"/>
  <c r="AZ557" i="3"/>
  <c r="AZ438" i="3"/>
  <c r="U34" i="35"/>
  <c r="AZ504" i="3"/>
  <c r="AZ524" i="3"/>
  <c r="AZ556" i="3"/>
  <c r="AZ498" i="3"/>
  <c r="AZ502" i="3"/>
  <c r="AZ513" i="3"/>
  <c r="AZ549" i="3"/>
  <c r="AZ560" i="3"/>
  <c r="AZ565" i="3"/>
  <c r="U47" i="39"/>
  <c r="AZ570" i="3"/>
  <c r="W12" i="21"/>
  <c r="AZ59" i="3"/>
  <c r="AZ175" i="3"/>
  <c r="AZ282" i="3"/>
  <c r="W30" i="21"/>
  <c r="AC30" i="21"/>
  <c r="W13" i="33"/>
  <c r="AC13" i="33"/>
  <c r="AB11" i="36"/>
  <c r="U11" i="36"/>
  <c r="H75" i="46"/>
  <c r="AA15" i="21"/>
  <c r="AA34" i="36"/>
  <c r="H73" i="46"/>
  <c r="G3" i="46"/>
  <c r="H22" i="46" s="1"/>
  <c r="C11" i="70"/>
  <c r="C11" i="69"/>
  <c r="C11" i="21"/>
  <c r="S14" i="39"/>
  <c r="S16" i="40"/>
  <c r="AA35" i="35"/>
  <c r="AC25" i="36"/>
  <c r="AZ70" i="3"/>
  <c r="AZ44" i="3"/>
  <c r="AZ76" i="3"/>
  <c r="AZ159" i="3"/>
  <c r="AZ225" i="3"/>
  <c r="AZ249" i="3"/>
  <c r="AZ57" i="3"/>
  <c r="AZ418" i="3"/>
  <c r="AZ301" i="3"/>
  <c r="AZ548" i="3"/>
  <c r="AZ449" i="3"/>
  <c r="AZ384" i="3"/>
  <c r="AZ509" i="3"/>
  <c r="AZ552" i="3"/>
  <c r="AZ499" i="3"/>
  <c r="AZ521" i="3"/>
  <c r="AA33" i="39"/>
  <c r="S33" i="39"/>
  <c r="AC26" i="37"/>
  <c r="W26" i="37"/>
  <c r="AA41" i="40"/>
  <c r="S41" i="40"/>
  <c r="AA27" i="37"/>
  <c r="S27" i="37"/>
  <c r="AC41" i="40"/>
  <c r="W41" i="40"/>
  <c r="W11" i="36"/>
  <c r="AC11" i="36"/>
  <c r="U30" i="21"/>
  <c r="AB30" i="21"/>
  <c r="C16" i="46"/>
  <c r="C5" i="46" s="1"/>
  <c r="T8" i="46" s="1"/>
  <c r="V8" i="46" s="1"/>
  <c r="U44" i="21"/>
  <c r="AB44" i="21"/>
  <c r="S28" i="21"/>
  <c r="AA28" i="21"/>
  <c r="AA14" i="21"/>
  <c r="S14" i="21"/>
  <c r="F101" i="39"/>
  <c r="G101" i="39" s="1"/>
  <c r="J27" i="39"/>
  <c r="F27" i="39"/>
  <c r="U31" i="33"/>
  <c r="AB31" i="33"/>
  <c r="W27" i="34"/>
  <c r="AC27" i="34"/>
  <c r="AZ527" i="3"/>
  <c r="U34" i="36"/>
  <c r="AB34" i="36"/>
  <c r="AC25" i="35"/>
  <c r="W25" i="35"/>
  <c r="AB12" i="34"/>
  <c r="U12" i="34"/>
  <c r="H77" i="46"/>
  <c r="W34" i="39"/>
  <c r="W37" i="40"/>
  <c r="AC27" i="21"/>
  <c r="AC33" i="37"/>
  <c r="H69" i="46"/>
  <c r="H76" i="46"/>
  <c r="BL5" i="3"/>
  <c r="AC19" i="39"/>
  <c r="U35" i="40"/>
  <c r="S35" i="40"/>
  <c r="U25" i="33"/>
  <c r="AC45" i="34"/>
  <c r="S23" i="36"/>
  <c r="U19" i="39"/>
  <c r="AZ534" i="3"/>
  <c r="AZ411" i="3"/>
  <c r="AZ450" i="3"/>
  <c r="H27" i="39"/>
  <c r="AZ516" i="3"/>
  <c r="AZ544" i="3"/>
  <c r="AZ554" i="3"/>
  <c r="AZ561" i="3"/>
  <c r="W30" i="34"/>
  <c r="AC30" i="34"/>
  <c r="AZ497" i="3"/>
  <c r="AZ523" i="3"/>
  <c r="W33" i="36"/>
  <c r="AC33" i="36"/>
  <c r="AC12" i="36"/>
  <c r="W12" i="36"/>
  <c r="S36" i="35"/>
  <c r="AA36" i="35"/>
  <c r="U45" i="34"/>
  <c r="AB45" i="34"/>
  <c r="AZ491" i="3"/>
  <c r="S28" i="34"/>
  <c r="AA28" i="34"/>
  <c r="H71" i="46"/>
  <c r="C7" i="46"/>
  <c r="S45" i="33"/>
  <c r="AA45" i="33"/>
  <c r="AZ567" i="3"/>
  <c r="AA25" i="35"/>
  <c r="S25" i="35"/>
  <c r="AZ563" i="3"/>
  <c r="AC23" i="36"/>
  <c r="W23" i="36"/>
  <c r="AC12" i="34"/>
  <c r="W12" i="34"/>
  <c r="S17" i="40"/>
  <c r="AC25" i="33"/>
  <c r="F29" i="6"/>
  <c r="U27" i="34"/>
  <c r="W20" i="36"/>
  <c r="AZ61" i="3"/>
  <c r="AZ261" i="3"/>
  <c r="AZ236" i="3"/>
  <c r="AZ272" i="3"/>
  <c r="AZ217" i="3"/>
  <c r="AZ207" i="3"/>
  <c r="U45" i="33"/>
  <c r="AB45" i="33"/>
  <c r="W16" i="40"/>
  <c r="AC16" i="40"/>
  <c r="AC24" i="35"/>
  <c r="W24" i="35"/>
  <c r="AZ537" i="3"/>
  <c r="U33" i="36"/>
  <c r="AB33" i="36"/>
  <c r="AC36" i="35"/>
  <c r="W36" i="35"/>
  <c r="AB25" i="35"/>
  <c r="U25" i="35"/>
  <c r="AZ508" i="3"/>
  <c r="U46" i="39"/>
  <c r="AB46" i="39"/>
  <c r="AA46" i="34"/>
  <c r="S46" i="34"/>
  <c r="AZ572" i="3"/>
  <c r="S5" i="46"/>
  <c r="S2" i="46"/>
  <c r="AF11" i="46"/>
  <c r="AF13" i="46" s="1"/>
  <c r="AI11" i="46"/>
  <c r="AI13" i="46" s="1"/>
  <c r="E8" i="6"/>
  <c r="E53" i="40" s="1"/>
  <c r="E86" i="3"/>
  <c r="AJ11" i="46"/>
  <c r="AJ13" i="46" s="1"/>
  <c r="AB11" i="46"/>
  <c r="AB13" i="46" s="1"/>
  <c r="S6" i="46"/>
  <c r="T6" i="46" s="1"/>
  <c r="V6" i="46" s="1"/>
  <c r="AA11" i="46"/>
  <c r="AA13" i="46" s="1"/>
  <c r="E297" i="3"/>
  <c r="AO6" i="3"/>
  <c r="E561" i="3"/>
  <c r="E476" i="3"/>
  <c r="AE11" i="46"/>
  <c r="AE13" i="46" s="1"/>
  <c r="C23" i="46"/>
  <c r="C21" i="46" s="1"/>
  <c r="C29" i="46" s="1"/>
  <c r="E29" i="46" s="1"/>
  <c r="S3" i="46"/>
  <c r="T3" i="46" s="1"/>
  <c r="V3" i="46" s="1"/>
  <c r="S7" i="46"/>
  <c r="AH11" i="46"/>
  <c r="AH13" i="46" s="1"/>
  <c r="AD11" i="46"/>
  <c r="AD13" i="46" s="1"/>
  <c r="Z11" i="46"/>
  <c r="Z13" i="46" s="1"/>
  <c r="S4" i="46"/>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7"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C103" i="46"/>
  <c r="C105" i="46"/>
  <c r="C109" i="46"/>
  <c r="F104" i="46"/>
  <c r="F107" i="46"/>
  <c r="K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2" i="46"/>
  <c r="V12" i="46" s="1"/>
  <c r="T14" i="46"/>
  <c r="V14" i="46" s="1"/>
  <c r="T5" i="46"/>
  <c r="V5" i="46" s="1"/>
  <c r="T9" i="46"/>
  <c r="V9" i="46" s="1"/>
  <c r="T13" i="46"/>
  <c r="V13" i="46" s="1"/>
  <c r="T15" i="46"/>
  <c r="V15" i="46" s="1"/>
  <c r="T2" i="46"/>
  <c r="V2"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3" i="46"/>
  <c r="G33" i="46" s="1"/>
  <c r="I33" i="46" s="1"/>
  <c r="C37" i="46"/>
  <c r="G37" i="46" s="1"/>
  <c r="I37" i="46" s="1"/>
  <c r="Q16" i="1"/>
  <c r="F18" i="11" s="1"/>
  <c r="C18" i="11" s="1"/>
  <c r="C19" i="11" s="1"/>
  <c r="AP16" i="1"/>
  <c r="F22" i="11" s="1"/>
  <c r="E4" i="4"/>
  <c r="C4" i="4"/>
  <c r="G66" i="36"/>
  <c r="J18" i="36"/>
  <c r="AE8" i="1"/>
  <c r="AE6" i="1"/>
  <c r="F31" i="15"/>
  <c r="F58" i="15"/>
  <c r="F33" i="44"/>
  <c r="M17" i="15"/>
  <c r="M19" i="44"/>
  <c r="L48" i="15"/>
  <c r="M26" i="44"/>
  <c r="M29" i="15"/>
  <c r="F40" i="15"/>
  <c r="F46" i="44"/>
  <c r="F18" i="44"/>
  <c r="M8" i="15"/>
  <c r="F11" i="44"/>
  <c r="M22" i="15"/>
  <c r="M28" i="15"/>
  <c r="F38" i="15"/>
  <c r="F8" i="44"/>
  <c r="M25" i="44"/>
  <c r="F7" i="15"/>
  <c r="F38" i="44"/>
  <c r="M24" i="44"/>
  <c r="M6" i="15"/>
  <c r="F36" i="15"/>
  <c r="C35" i="44"/>
  <c r="F37" i="15"/>
  <c r="F8" i="15"/>
  <c r="F26" i="15"/>
  <c r="J17" i="44"/>
  <c r="J36" i="15"/>
  <c r="F43" i="15"/>
  <c r="M8" i="44"/>
  <c r="F9" i="15"/>
  <c r="M26" i="15"/>
  <c r="M29" i="44"/>
  <c r="M9" i="15"/>
  <c r="F42" i="15"/>
  <c r="J15" i="15"/>
  <c r="F39" i="44"/>
  <c r="F40" i="44"/>
  <c r="F28" i="44"/>
  <c r="M11" i="44"/>
  <c r="M27" i="15"/>
  <c r="F16" i="15"/>
  <c r="M28" i="44"/>
  <c r="F6" i="15"/>
  <c r="M23" i="15"/>
  <c r="L47" i="15"/>
  <c r="F9" i="44"/>
  <c r="F10" i="44"/>
  <c r="M10" i="44"/>
  <c r="M30" i="44"/>
  <c r="F15" i="44"/>
  <c r="F13" i="15"/>
  <c r="C10" i="15" l="1"/>
  <c r="F50" i="15"/>
  <c r="C27" i="15"/>
  <c r="F70" i="15"/>
  <c r="F65" i="15"/>
  <c r="F64" i="15"/>
  <c r="F63" i="15"/>
  <c r="F67" i="15"/>
  <c r="Q72" i="15"/>
  <c r="L56" i="15"/>
  <c r="K53" i="15"/>
  <c r="J53" i="15"/>
  <c r="F1" i="15" s="1"/>
  <c r="J57" i="15"/>
  <c r="J55" i="15" s="1"/>
  <c r="J58" i="15" s="1"/>
  <c r="Q51" i="15" s="1"/>
  <c r="AC7" i="70"/>
  <c r="W7" i="70"/>
  <c r="F11" i="69"/>
  <c r="J11" i="69"/>
  <c r="H11" i="69"/>
  <c r="S7" i="70"/>
  <c r="AA7" i="70"/>
  <c r="W7" i="69"/>
  <c r="AC7" i="69"/>
  <c r="C36" i="46"/>
  <c r="E36" i="46" s="1"/>
  <c r="F7" i="36"/>
  <c r="J7" i="34"/>
  <c r="C34" i="46"/>
  <c r="E34" i="46" s="1"/>
  <c r="T11" i="46"/>
  <c r="V11" i="46" s="1"/>
  <c r="T16" i="46"/>
  <c r="V16" i="46" s="1"/>
  <c r="E58" i="39"/>
  <c r="K102" i="46"/>
  <c r="K106" i="46"/>
  <c r="J102" i="46"/>
  <c r="J104" i="46"/>
  <c r="J11" i="70"/>
  <c r="H11" i="70"/>
  <c r="F11" i="70"/>
  <c r="AB7" i="69"/>
  <c r="U7" i="69"/>
  <c r="F11" i="21"/>
  <c r="J11" i="21"/>
  <c r="H11" i="21"/>
  <c r="AA7" i="69"/>
  <c r="S7" i="69"/>
  <c r="K105" i="46"/>
  <c r="K104" i="46"/>
  <c r="J109" i="46"/>
  <c r="J105" i="46"/>
  <c r="J103" i="46"/>
  <c r="K107" i="46"/>
  <c r="T4" i="46"/>
  <c r="V4" i="46" s="1"/>
  <c r="T7" i="46"/>
  <c r="V7" i="46" s="1"/>
  <c r="AB7" i="70"/>
  <c r="U7" i="70"/>
  <c r="C8" i="44"/>
  <c r="C7" i="44" s="1"/>
  <c r="C34" i="44" s="1"/>
  <c r="L59" i="15"/>
  <c r="Q75" i="15" s="1"/>
  <c r="L58" i="15"/>
  <c r="Q74" i="15" s="1"/>
  <c r="C6" i="15"/>
  <c r="C5" i="15" s="1"/>
  <c r="F49" i="15"/>
  <c r="C48" i="15" s="1"/>
  <c r="M7" i="15"/>
  <c r="J6" i="15" s="1"/>
  <c r="J5" i="15" s="1"/>
  <c r="J18" i="15" s="1"/>
  <c r="M9" i="44"/>
  <c r="J8" i="44" s="1"/>
  <c r="J7" i="44" s="1"/>
  <c r="C29" i="44"/>
  <c r="AA27" i="39"/>
  <c r="S27" i="39"/>
  <c r="H7" i="35"/>
  <c r="AB7" i="35" s="1"/>
  <c r="T38" i="35" s="1"/>
  <c r="G38" i="35" s="1"/>
  <c r="G42" i="35" s="1"/>
  <c r="H42" i="35" s="1"/>
  <c r="H7" i="34"/>
  <c r="AB7" i="34" s="1"/>
  <c r="T49" i="34" s="1"/>
  <c r="G49" i="34" s="1"/>
  <c r="G53" i="34" s="1"/>
  <c r="H53" i="34" s="1"/>
  <c r="H7" i="37"/>
  <c r="F103" i="46"/>
  <c r="F106" i="46"/>
  <c r="C107" i="46"/>
  <c r="C104" i="46"/>
  <c r="AC27" i="39"/>
  <c r="W27" i="39"/>
  <c r="J7" i="36"/>
  <c r="W7" i="36" s="1"/>
  <c r="H7" i="36"/>
  <c r="AB7" i="36" s="1"/>
  <c r="T36" i="36" s="1"/>
  <c r="G36" i="36" s="1"/>
  <c r="G40" i="36" s="1"/>
  <c r="H40" i="36" s="1"/>
  <c r="J7" i="35"/>
  <c r="AC7" i="35" s="1"/>
  <c r="V38" i="35" s="1"/>
  <c r="I38" i="35" s="1"/>
  <c r="G43" i="35" s="1"/>
  <c r="H43" i="35" s="1"/>
  <c r="F7" i="34"/>
  <c r="J7" i="37"/>
  <c r="F105" i="46"/>
  <c r="F102" i="46"/>
  <c r="C102" i="46"/>
  <c r="AB27" i="39"/>
  <c r="U27" i="39"/>
  <c r="N103" i="46"/>
  <c r="N102" i="46"/>
  <c r="H6" i="3"/>
  <c r="N105" i="46"/>
  <c r="G105" i="46"/>
  <c r="G118" i="46"/>
  <c r="H118" i="46" s="1"/>
  <c r="N104" i="46"/>
  <c r="N107" i="46"/>
  <c r="N106"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S7" i="37"/>
  <c r="U7" i="34"/>
  <c r="E48" i="33"/>
  <c r="E52" i="33" s="1"/>
  <c r="F52" i="33" s="1"/>
  <c r="D113" i="46"/>
  <c r="J22" i="46"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52" i="33"/>
  <c r="H52" i="33" s="1"/>
  <c r="G53" i="33"/>
  <c r="H53" i="33" s="1"/>
  <c r="E67" i="40"/>
  <c r="F65" i="40"/>
  <c r="E72" i="39"/>
  <c r="F70" i="39"/>
  <c r="E39" i="46"/>
  <c r="Q53" i="15"/>
  <c r="U12" i="40"/>
  <c r="C20" i="11"/>
  <c r="C21" i="11" s="1"/>
  <c r="C22" i="11" s="1"/>
  <c r="C23" i="11" s="1"/>
  <c r="B2" i="11" s="1"/>
  <c r="AC12" i="40"/>
  <c r="W12" i="40"/>
  <c r="E46" i="37"/>
  <c r="F46" i="37" s="1"/>
  <c r="C48" i="33"/>
  <c r="C49" i="33"/>
  <c r="B3" i="33" s="1"/>
  <c r="B2" i="33" s="1"/>
  <c r="C16" i="15"/>
  <c r="C18" i="44"/>
  <c r="AE9" i="1"/>
  <c r="C33" i="69" l="1"/>
  <c r="C33" i="21"/>
  <c r="C33" i="70"/>
  <c r="AB12" i="39"/>
  <c r="G36" i="46"/>
  <c r="I36" i="46" s="1"/>
  <c r="AC7" i="36"/>
  <c r="V36" i="36" s="1"/>
  <c r="I36" i="36" s="1"/>
  <c r="I40" i="36" s="1"/>
  <c r="J40" i="36" s="1"/>
  <c r="W11" i="21"/>
  <c r="AC11" i="21"/>
  <c r="AA11" i="70"/>
  <c r="S11" i="70"/>
  <c r="AA11" i="69"/>
  <c r="S11" i="69"/>
  <c r="S11" i="21"/>
  <c r="AA11" i="21"/>
  <c r="U11" i="70"/>
  <c r="AB11" i="70"/>
  <c r="I53" i="34"/>
  <c r="J53" i="34" s="1"/>
  <c r="AC11" i="70"/>
  <c r="W11" i="70"/>
  <c r="AB11" i="69"/>
  <c r="U11" i="69"/>
  <c r="U11" i="21"/>
  <c r="AB11" i="21"/>
  <c r="AC11" i="69"/>
  <c r="W11" i="69"/>
  <c r="Q61" i="15"/>
  <c r="Q62" i="15"/>
  <c r="C40" i="44"/>
  <c r="W7" i="35"/>
  <c r="U7" i="37"/>
  <c r="AB7" i="37"/>
  <c r="T42" i="37" s="1"/>
  <c r="G42" i="37" s="1"/>
  <c r="G47" i="37" s="1"/>
  <c r="H47" i="37" s="1"/>
  <c r="W12" i="39"/>
  <c r="I42" i="35"/>
  <c r="J42" i="35" s="1"/>
  <c r="G41" i="36"/>
  <c r="H41" i="36" s="1"/>
  <c r="S12" i="40"/>
  <c r="S12" i="39"/>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15"/>
  <c r="F41" i="15"/>
  <c r="F68" i="15" l="1"/>
  <c r="H33" i="70"/>
  <c r="F33" i="70"/>
  <c r="J33" i="70"/>
  <c r="J33" i="21"/>
  <c r="H33" i="21"/>
  <c r="F33" i="21"/>
  <c r="F33" i="69"/>
  <c r="J33" i="69"/>
  <c r="H33" i="69"/>
  <c r="G46" i="37"/>
  <c r="H46" i="37" s="1"/>
  <c r="E47" i="37"/>
  <c r="F47" i="37" s="1"/>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AB33" i="69" l="1"/>
  <c r="T48" i="69" s="1"/>
  <c r="G48" i="69" s="1"/>
  <c r="U33" i="69"/>
  <c r="W33" i="70"/>
  <c r="AC33" i="70"/>
  <c r="V48" i="70" s="1"/>
  <c r="I48" i="70" s="1"/>
  <c r="I52" i="70" s="1"/>
  <c r="J52" i="70" s="1"/>
  <c r="W33" i="69"/>
  <c r="AC33" i="69"/>
  <c r="V48" i="69" s="1"/>
  <c r="I48" i="69" s="1"/>
  <c r="I52" i="69" s="1"/>
  <c r="J52" i="69" s="1"/>
  <c r="AA33" i="70"/>
  <c r="R48" i="70" s="1"/>
  <c r="S33" i="70"/>
  <c r="AA33" i="69"/>
  <c r="R48" i="69" s="1"/>
  <c r="S33" i="69"/>
  <c r="W33" i="21"/>
  <c r="AC33" i="21"/>
  <c r="V48" i="21" s="1"/>
  <c r="I48" i="21" s="1"/>
  <c r="I52" i="21" s="1"/>
  <c r="J52" i="21" s="1"/>
  <c r="AB33" i="70"/>
  <c r="T48" i="70" s="1"/>
  <c r="G48" i="70" s="1"/>
  <c r="U33" i="70"/>
  <c r="S33" i="21"/>
  <c r="AA33" i="21"/>
  <c r="R48" i="21" s="1"/>
  <c r="U33" i="21"/>
  <c r="AB33" i="21"/>
  <c r="T48" i="21" s="1"/>
  <c r="G48" i="21" s="1"/>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E48" i="70" l="1"/>
  <c r="R49" i="70"/>
  <c r="G52" i="21"/>
  <c r="H52" i="21" s="1"/>
  <c r="G53" i="21"/>
  <c r="H53" i="21" s="1"/>
  <c r="E48" i="21"/>
  <c r="R49" i="21"/>
  <c r="I53" i="21"/>
  <c r="J53" i="21" s="1"/>
  <c r="G53" i="70"/>
  <c r="H53" i="70" s="1"/>
  <c r="G52" i="70"/>
  <c r="H52" i="70" s="1"/>
  <c r="E48" i="69"/>
  <c r="R49" i="69"/>
  <c r="G53" i="69"/>
  <c r="H53" i="69" s="1"/>
  <c r="G52" i="69"/>
  <c r="H52" i="69" s="1"/>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49" i="69" l="1"/>
  <c r="B3" i="69" s="1"/>
  <c r="B2" i="69" s="1"/>
  <c r="D10" i="12" s="1"/>
  <c r="C48" i="69"/>
  <c r="D8" i="12" s="1"/>
  <c r="I53" i="69"/>
  <c r="J53" i="69" s="1"/>
  <c r="E52" i="69"/>
  <c r="F52" i="69" s="1"/>
  <c r="E53" i="69"/>
  <c r="F53" i="69" s="1"/>
  <c r="C48" i="70"/>
  <c r="E8" i="12" s="1"/>
  <c r="C49" i="70"/>
  <c r="B3" i="70" s="1"/>
  <c r="B2" i="70" s="1"/>
  <c r="E10" i="12" s="1"/>
  <c r="C48" i="21"/>
  <c r="C8" i="12" s="1"/>
  <c r="C49" i="21"/>
  <c r="B3" i="21" s="1"/>
  <c r="B2" i="21" s="1"/>
  <c r="C10" i="12" s="1"/>
  <c r="E53" i="21"/>
  <c r="F53" i="21" s="1"/>
  <c r="E52" i="21"/>
  <c r="F52" i="21" s="1"/>
  <c r="I53" i="70"/>
  <c r="J53" i="70" s="1"/>
  <c r="E53" i="70"/>
  <c r="F53" i="70" s="1"/>
  <c r="E52" i="70"/>
  <c r="F52" i="70" s="1"/>
  <c r="C21" i="44"/>
  <c r="C22" i="44" s="1"/>
  <c r="C25" i="44" s="1"/>
  <c r="C19" i="15"/>
  <c r="C20" i="15" s="1"/>
  <c r="C23" i="15" s="1"/>
  <c r="J20" i="15"/>
  <c r="C36" i="44"/>
  <c r="C33" i="44" s="1"/>
  <c r="C34" i="15"/>
  <c r="F62" i="15"/>
  <c r="C61" i="15" s="1"/>
  <c r="J22" i="44"/>
  <c r="C18" i="12"/>
  <c r="R16" i="1"/>
  <c r="D31" i="6"/>
  <c r="I6" i="6" s="1"/>
  <c r="C13" i="39" s="1"/>
  <c r="R27" i="6"/>
  <c r="C18" i="43"/>
  <c r="K70" i="39"/>
  <c r="J72" i="39"/>
  <c r="K65" i="40"/>
  <c r="J67" i="40"/>
  <c r="C65" i="15"/>
  <c r="C59" i="15"/>
  <c r="F13" i="39" l="1"/>
  <c r="H13" i="39"/>
  <c r="J13" i="39"/>
  <c r="C28" i="44"/>
  <c r="C31" i="44" s="1"/>
  <c r="J21" i="44" s="1"/>
  <c r="J19" i="44" s="1"/>
  <c r="I5" i="6"/>
  <c r="C26" i="15"/>
  <c r="C29" i="15" s="1"/>
  <c r="J59" i="15" s="1"/>
  <c r="J60" i="15" s="1"/>
  <c r="Q49" i="15" s="1"/>
  <c r="C23" i="12"/>
  <c r="C19" i="43"/>
  <c r="C22" i="43" s="1"/>
  <c r="C21" i="43" s="1"/>
  <c r="K67" i="40"/>
  <c r="L65" i="40"/>
  <c r="K72" i="39"/>
  <c r="L70" i="39"/>
  <c r="AB13" i="39" l="1"/>
  <c r="U13" i="39"/>
  <c r="AC13" i="39"/>
  <c r="W13" i="39"/>
  <c r="AA13" i="39"/>
  <c r="S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F10" i="12" s="1"/>
  <c r="Q58" i="15"/>
  <c r="Q63" i="15" s="1"/>
  <c r="I48" i="40"/>
  <c r="J48" i="40" s="1"/>
  <c r="G48" i="40"/>
  <c r="H48" i="40" s="1"/>
  <c r="G49" i="40"/>
  <c r="H49" i="40" s="1"/>
  <c r="E44" i="40"/>
  <c r="R45" i="40"/>
  <c r="G53" i="39"/>
  <c r="H53" i="39" s="1"/>
  <c r="G54" i="39"/>
  <c r="H54" i="39" s="1"/>
  <c r="I53" i="39"/>
  <c r="J53" i="39" s="1"/>
  <c r="E49" i="39"/>
  <c r="R50" i="39"/>
  <c r="B3" i="15" l="1"/>
  <c r="F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1" i="9"/>
  <c r="C20" i="9"/>
  <c r="D19" i="9"/>
  <c r="L44" i="9" l="1"/>
  <c r="G19" i="9"/>
  <c r="C32" i="9" s="1"/>
  <c r="D22" i="9"/>
  <c r="B4" i="12"/>
  <c r="B5" i="12"/>
  <c r="B3" i="12"/>
  <c r="C45" i="9"/>
  <c r="H14" i="66" s="1"/>
  <c r="B7" i="66" s="1"/>
  <c r="D20" i="9"/>
  <c r="D21" i="9"/>
  <c r="G22" i="9" l="1"/>
  <c r="N43" i="9"/>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K34" i="9" s="1"/>
  <c r="O80" i="9"/>
  <c r="I14" i="66"/>
  <c r="B8" i="66" s="1"/>
  <c r="D8" i="66" s="1"/>
  <c r="E46" i="9"/>
  <c r="D46" i="9"/>
  <c r="O81" i="9"/>
  <c r="R8" i="54"/>
  <c r="B54" i="63"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<sst xmlns="http://schemas.openxmlformats.org/spreadsheetml/2006/main" count="7499" uniqueCount="3040">
  <si>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</si>
  <si>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</si>
  <si>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</si>
  <si>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</si>
  <si>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</si>
  <si>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</si>
  <si>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</si>
  <si>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</si>
  <si>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</si>
  <si>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</si>
  <si>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</si>
  <si>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</si>
  <si>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</si>
  <si>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</si>
  <si>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</si>
  <si>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</si>
  <si>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</si>
  <si>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</si>
  <si>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</si>
  <si>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</si>
  <si>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</si>
  <si>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</si>
  <si>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</si>
  <si>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</si>
  <si>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</si>
  <si>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</si>
  <si>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</si>
  <si>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</si>
  <si>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</si>
  <si>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</si>
  <si>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</si>
  <si>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</si>
  <si>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</si>
  <si>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</si>
  <si>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</si>
  <si>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</si>
  <si>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</si>
  <si>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</si>
  <si>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</si>
  <si>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</si>
  <si>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</si>
  <si>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</si>
  <si>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</si>
  <si>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</si>
  <si>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</si>
  <si>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</si>
  <si>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</si>
  <si>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</si>
  <si>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</si>
  <si>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</si>
  <si>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</si>
  <si>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</si>
  <si>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</si>
  <si>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</si>
  <si>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</si>
  <si>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</si>
  <si>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</si>
  <si>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</si>
  <si>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</si>
  <si>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</si>
  <si>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</si>
  <si>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</si>
  <si>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</si>
  <si>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</si>
  <si>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</si>
  <si>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</si>
  <si>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</si>
  <si>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</si>
  <si>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</si>
  <si>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</si>
  <si>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</si>
  <si>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</si>
  <si>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</si>
  <si>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</si>
  <si>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</si>
  <si>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</si>
  <si>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</si>
  <si>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</si>
  <si>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</si>
  <si>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</si>
  <si>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</si>
  <si>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</si>
  <si>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</si>
  <si>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</si>
  <si>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</si>
  <si>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</si>
  <si>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</si>
  <si>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</si>
  <si>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</si>
  <si>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</si>
  <si>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</si>
  <si>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</si>
  <si>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</si>
  <si>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</si>
  <si>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</si>
  <si>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</si>
  <si>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</si>
  <si>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</si>
  <si>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</si>
  <si>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</si>
  <si>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</si>
  <si>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</si>
  <si>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</si>
  <si>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</si>
  <si>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</si>
  <si>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</si>
  <si>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</si>
  <si>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</si>
  <si>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</si>
  <si>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</si>
  <si>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</si>
  <si>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</si>
  <si>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</si>
  <si>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</si>
  <si>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</si>
  <si>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</si>
  <si>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</si>
  <si>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</si>
  <si>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</si>
  <si>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</si>
  <si>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</si>
  <si>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</si>
  <si>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</si>
  <si>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</si>
  <si>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</si>
  <si>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</si>
  <si>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</si>
  <si>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</si>
  <si>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</si>
  <si>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</si>
  <si>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</si>
  <si>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</si>
  <si>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</si>
  <si>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</si>
  <si>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</si>
  <si>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</si>
  <si>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</si>
  <si>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</si>
  <si>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</si>
  <si>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</si>
  <si>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</si>
  <si>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</si>
  <si>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</si>
  <si>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</si>
  <si>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</si>
  <si>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</si>
  <si>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</si>
  <si>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</si>
  <si>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</si>
  <si>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</si>
  <si>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</si>
  <si>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</si>
  <si>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</si>
  <si>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</si>
  <si>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</si>
  <si>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</si>
  <si>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</si>
  <si>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</si>
  <si>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</si>
  <si>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</si>
  <si>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</si>
  <si>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</si>
  <si>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</si>
  <si>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</si>
  <si>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</si>
  <si>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</si>
  <si>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</si>
  <si>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</si>
  <si>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</si>
  <si>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</si>
  <si>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</si>
  <si>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</si>
  <si>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</si>
  <si>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</si>
  <si>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</si>
  <si>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</si>
  <si>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</si>
  <si>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</si>
  <si>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</si>
  <si>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</si>
  <si>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</si>
  <si>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</si>
  <si>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</si>
  <si>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</si>
  <si>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</si>
  <si>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</si>
  <si>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</si>
  <si>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</si>
  <si>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</si>
  <si>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</si>
  <si>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</si>
  <si>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</si>
  <si>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</si>
  <si>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</si>
  <si>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</si>
  <si>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</si>
  <si>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</si>
  <si>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</si>
  <si>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</si>
  <si>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</si>
  <si>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</si>
  <si>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</si>
  <si>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</si>
  <si>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</si>
  <si>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</si>
  <si>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</si>
  <si>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</si>
  <si>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</si>
  <si>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</si>
  <si>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</si>
  <si>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</si>
  <si>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</si>
  <si>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</si>
  <si>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</si>
  <si>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</si>
  <si>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</si>
  <si>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</si>
  <si>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</si>
  <si>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</si>
  <si>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</si>
  <si>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</si>
  <si>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</si>
  <si>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</si>
  <si>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</si>
  <si>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</si>
  <si>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</si>
  <si>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</si>
  <si>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</si>
  <si>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</si>
  <si>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</si>
  <si>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</si>
  <si>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</si>
  <si>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</si>
  <si>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</si>
  <si>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</si>
  <si>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</si>
  <si>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</si>
  <si>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</si>
  <si>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</si>
  <si>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</si>
  <si>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</si>
  <si>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</si>
  <si>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</si>
  <si>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</si>
  <si>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</si>
  <si>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</si>
  <si>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</si>
  <si>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</si>
  <si>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</si>
  <si>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</si>
  <si>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</si>
  <si>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</si>
  <si>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</si>
  <si>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</si>
  <si>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</si>
  <si>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</si>
  <si>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</si>
  <si>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</si>
  <si>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</si>
  <si>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</si>
  <si>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</si>
  <si>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</si>
  <si>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</si>
  <si>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</si>
  <si>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</si>
  <si>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</si>
  <si>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</si>
  <si>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</si>
  <si>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</si>
  <si>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</si>
  <si>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</si>
  <si>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</si>
  <si>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</si>
  <si>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</si>
  <si>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</si>
  <si>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</si>
  <si>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</si>
  <si>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</si>
  <si>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</si>
  <si>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</si>
  <si>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</si>
  <si>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</si>
  <si>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</si>
  <si>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</si>
  <si>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</si>
  <si>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</si>
  <si>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</si>
  <si>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</si>
  <si>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</si>
  <si>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</si>
  <si>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</si>
  <si>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</si>
  <si>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</si>
  <si>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</si>
  <si>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</si>
  <si>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</si>
  <si>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</si>
  <si>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</si>
  <si>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</si>
  <si>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</si>
  <si>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</si>
  <si>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</si>
  <si>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</si>
  <si>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</si>
  <si>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</si>
  <si>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</si>
  <si>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</si>
  <si>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</si>
  <si>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</si>
  <si>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</si>
  <si>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</si>
  <si>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</si>
  <si>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</si>
  <si>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</si>
  <si>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</si>
  <si>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</si>
  <si>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</si>
  <si>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</si>
  <si>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</si>
  <si>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</si>
  <si>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</si>
  <si>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</si>
  <si>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</si>
  <si>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</si>
  <si>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</si>
  <si>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</si>
  <si>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</si>
  <si>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</si>
  <si>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</si>
  <si>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</si>
  <si>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</si>
  <si>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</si>
  <si>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</si>
  <si>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</si>
  <si>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</si>
  <si>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</si>
  <si>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</si>
  <si>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</si>
  <si>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</si>
  <si>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</si>
  <si>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</si>
  <si>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</si>
  <si>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</si>
  <si>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</si>
  <si>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</si>
  <si>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</si>
  <si>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</si>
  <si>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</si>
  <si>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</si>
  <si>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</si>
  <si>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</si>
  <si>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</si>
  <si>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</si>
  <si>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</si>
  <si>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</si>
  <si>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</si>
  <si>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</si>
  <si>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</si>
  <si>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</si>
  <si>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</si>
  <si>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</si>
  <si>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</si>
  <si>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</si>
  <si>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</si>
  <si>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</si>
  <si>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</si>
  <si>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</si>
  <si>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</si>
  <si>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</si>
  <si>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</si>
  <si>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</si>
  <si>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</si>
  <si>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</si>
  <si>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</si>
  <si>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</si>
  <si>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</si>
  <si>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</si>
  <si>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</si>
  <si>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</si>
  <si>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</si>
  <si>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</si>
  <si>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</si>
  <si>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</si>
  <si>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</si>
  <si>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</si>
  <si>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</si>
  <si>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</si>
  <si>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</si>
  <si>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</si>
  <si>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</si>
  <si>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</si>
  <si>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</si>
  <si>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</si>
  <si>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</si>
  <si>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</si>
  <si>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</si>
  <si>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</si>
  <si>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</si>
  <si>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</si>
  <si>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</si>
  <si>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</si>
  <si>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</si>
  <si>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</si>
  <si>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</si>
  <si>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</si>
  <si>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</si>
  <si>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</si>
  <si>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</si>
  <si>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</si>
  <si>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</si>
  <si>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</si>
  <si>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</si>
  <si>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</si>
  <si>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</si>
  <si>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</si>
  <si>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</si>
  <si>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</si>
  <si>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</si>
  <si>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</si>
  <si>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</si>
  <si>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</si>
  <si>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</si>
  <si>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</si>
  <si>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</si>
  <si>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</si>
  <si>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</si>
  <si>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</si>
  <si>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</si>
  <si>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</si>
  <si>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</si>
  <si>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</si>
  <si>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</si>
  <si>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</si>
  <si>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</si>
  <si>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</si>
  <si>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</si>
  <si>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</si>
  <si>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</si>
  <si>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</si>
  <si>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</si>
  <si>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</si>
  <si>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</si>
  <si>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</si>
  <si>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</si>
  <si>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</si>
  <si>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</si>
  <si>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</si>
  <si>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</si>
  <si>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</si>
  <si>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</si>
  <si>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</si>
  <si>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</si>
  <si>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</si>
  <si>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</si>
  <si>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</si>
  <si>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</si>
  <si>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</si>
  <si>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</si>
  <si>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</si>
  <si>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</si>
  <si>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</si>
  <si>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</si>
  <si>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</si>
  <si>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</si>
  <si>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</si>
  <si>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</si>
  <si>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</si>
  <si>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</si>
  <si>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</si>
  <si>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</si>
  <si>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</si>
  <si>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</si>
  <si>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</si>
  <si>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</si>
  <si>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</si>
  <si>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</si>
  <si>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</si>
  <si>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</si>
  <si>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</si>
  <si>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</si>
  <si>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</si>
  <si>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</si>
  <si>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</si>
  <si>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</si>
  <si>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</si>
  <si>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</si>
  <si>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</si>
  <si>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</si>
  <si>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</si>
  <si>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</si>
  <si>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</si>
  <si>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</si>
  <si>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</si>
  <si>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</si>
  <si>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</si>
  <si>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</si>
  <si>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</si>
  <si>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</si>
  <si>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</si>
  <si>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</si>
  <si>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</si>
  <si>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</si>
  <si>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</si>
  <si>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</si>
  <si>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</si>
  <si>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</si>
  <si>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</si>
  <si>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</si>
  <si>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</si>
  <si>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</si>
  <si>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</si>
  <si>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</si>
  <si>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</si>
  <si>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</si>
  <si>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</si>
  <si>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</si>
  <si>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</si>
  <si>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</si>
  <si>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</si>
  <si>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</si>
  <si>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</si>
  <si>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</si>
  <si>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</si>
  <si>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</si>
  <si>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</si>
  <si>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</si>
  <si>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</si>
  <si>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</si>
  <si>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</si>
  <si>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</si>
  <si>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</si>
  <si>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</si>
  <si>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</si>
  <si>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</si>
  <si>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</si>
  <si>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</si>
  <si>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</si>
  <si>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</si>
  <si>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</si>
  <si>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</si>
  <si>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</si>
  <si>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</si>
  <si>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</si>
  <si>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</si>
  <si>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</si>
  <si>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</si>
  <si>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</si>
  <si>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</si>
  <si>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</si>
  <si>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</si>
  <si>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</si>
  <si>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</si>
  <si>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</si>
  <si>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</si>
  <si>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</si>
  <si>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</si>
  <si>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</si>
  <si>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</si>
  <si>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</si>
  <si>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</si>
  <si>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</si>
  <si>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</si>
  <si>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</si>
  <si>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</si>
  <si>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</si>
  <si>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</si>
  <si>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</si>
  <si>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</si>
  <si>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</si>
  <si>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</si>
  <si>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</si>
  <si>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</si>
  <si>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</si>
  <si>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</si>
  <si>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</si>
  <si>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</si>
  <si>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</si>
  <si>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</si>
  <si>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</si>
  <si>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</si>
  <si>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</si>
  <si>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</si>
  <si>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</si>
  <si>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</si>
  <si>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</si>
  <si>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</si>
  <si>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</si>
  <si>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</si>
  <si>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</si>
  <si>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</si>
  <si>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</si>
  <si>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</si>
  <si>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</si>
  <si>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</si>
  <si>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</si>
  <si>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</si>
  <si>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</si>
  <si>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</si>
  <si>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</si>
  <si>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</si>
  <si>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</si>
  <si>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</si>
  <si>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</si>
  <si>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</si>
  <si>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</si>
  <si>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</si>
  <si>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</si>
  <si>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</si>
  <si>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</si>
  <si>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</si>
  <si>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</si>
  <si>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</si>
  <si>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</si>
  <si>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</si>
  <si>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</si>
  <si>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</si>
  <si>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</si>
  <si>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</si>
  <si>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</si>
  <si>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</si>
  <si>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</si>
  <si>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</si>
  <si>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</si>
  <si>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</si>
  <si>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</si>
  <si>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</si>
  <si>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</si>
  <si>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</si>
  <si>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</si>
  <si>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</si>
  <si>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</si>
  <si>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</si>
  <si>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</si>
  <si>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</si>
  <si>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</si>
  <si>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</si>
  <si>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</si>
  <si>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</si>
  <si>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</si>
  <si>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</si>
  <si>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</si>
  <si>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</si>
  <si>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</si>
  <si>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</si>
  <si>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</si>
  <si>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</si>
  <si>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</si>
  <si>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</si>
  <si>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</si>
  <si>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</si>
  <si>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</si>
  <si>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</si>
  <si>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</si>
  <si>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</si>
  <si>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</si>
  <si>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</si>
  <si>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</si>
  <si>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</si>
  <si>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</si>
  <si>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</si>
  <si>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</si>
  <si>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</si>
  <si>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</si>
  <si>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</si>
  <si>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</si>
  <si>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</si>
  <si>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</si>
  <si>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</si>
  <si>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</si>
  <si>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</si>
  <si>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</si>
  <si>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</si>
  <si>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</si>
  <si>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</si>
  <si>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</si>
  <si>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</si>
  <si>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</si>
  <si>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</si>
  <si>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</si>
  <si>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</si>
  <si>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</si>
  <si>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</si>
  <si>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</si>
  <si>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</si>
  <si>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</si>
  <si>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</si>
  <si>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</si>
  <si>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</si>
  <si>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</si>
  <si>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</si>
  <si>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</si>
  <si>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</si>
  <si>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</si>
  <si>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</si>
  <si>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</si>
  <si>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</si>
  <si>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</si>
  <si>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</si>
  <si>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</si>
  <si>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</si>
  <si>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</si>
  <si>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</si>
  <si>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</si>
  <si>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</si>
  <si>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</si>
  <si>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</si>
  <si>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</si>
  <si>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</si>
  <si>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</si>
  <si>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</si>
  <si>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</si>
  <si>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</si>
  <si>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</si>
  <si>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</si>
  <si>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</si>
  <si>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</si>
  <si>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</si>
  <si>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</si>
  <si>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</si>
  <si>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</si>
  <si>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</si>
  <si>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</si>
  <si>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</si>
  <si>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</si>
  <si>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</si>
  <si>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</si>
  <si>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</si>
  <si>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</si>
  <si>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</si>
  <si>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</si>
  <si>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</si>
  <si>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</si>
  <si>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</si>
  <si>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</si>
  <si>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</si>
  <si>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</si>
  <si>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</si>
  <si>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</si>
  <si>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</si>
  <si>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</si>
  <si>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</si>
  <si>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</si>
  <si>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</si>
  <si>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</si>
  <si>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</si>
  <si>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</si>
  <si>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</si>
  <si>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</si>
  <si>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</si>
  <si>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</si>
  <si>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</si>
  <si>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</si>
  <si>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</si>
  <si>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</si>
  <si>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</si>
  <si>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</si>
  <si>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</si>
  <si>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</si>
  <si>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</si>
  <si>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</si>
  <si>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</si>
  <si>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</si>
  <si>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</si>
  <si>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</si>
  <si>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</si>
  <si>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</si>
  <si>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</si>
  <si>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</si>
  <si>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</si>
  <si>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</si>
  <si>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</si>
  <si>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</si>
  <si>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</si>
  <si>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</si>
  <si>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</si>
  <si>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</si>
  <si>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</si>
  <si>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</si>
  <si>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</si>
  <si>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</si>
  <si>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</si>
  <si>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</si>
  <si>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</si>
  <si>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</si>
  <si>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</si>
  <si>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</si>
  <si>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</si>
  <si>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</si>
  <si>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</si>
  <si>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</si>
  <si>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</si>
  <si>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</si>
  <si>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</si>
  <si>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</si>
  <si>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</si>
  <si>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</si>
  <si>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</si>
  <si>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</si>
  <si>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</si>
  <si>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</si>
  <si>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</si>
  <si>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</si>
  <si>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</si>
  <si>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</si>
  <si>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</si>
  <si>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</si>
  <si>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</si>
  <si>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</si>
  <si>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</si>
  <si>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</si>
  <si>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</si>
  <si>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</si>
  <si>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</si>
  <si>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</si>
  <si>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</si>
  <si>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</si>
  <si>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</si>
  <si>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</si>
  <si>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</si>
  <si>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</si>
  <si>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</si>
  <si>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</si>
  <si>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</si>
  <si>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</si>
  <si>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</si>
  <si>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</si>
  <si>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</si>
  <si>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</si>
  <si>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</si>
  <si>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</si>
  <si>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</si>
  <si>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</si>
  <si>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</si>
  <si>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</si>
  <si>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</si>
  <si>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</si>
  <si>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</si>
  <si>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</si>
  <si>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</si>
  <si>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</si>
  <si>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</si>
  <si>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</si>
  <si>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</si>
  <si>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</si>
  <si>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</si>
  <si>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</si>
  <si>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</si>
  <si>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</si>
  <si>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</si>
  <si>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</si>
  <si>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</si>
  <si>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</si>
  <si>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</si>
  <si>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</si>
  <si>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</si>
  <si>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</si>
  <si>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</si>
  <si>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</si>
  <si>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</si>
  <si>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</si>
  <si>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</si>
  <si>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</si>
  <si>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</si>
  <si>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</si>
  <si>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</si>
  <si>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</si>
  <si>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</si>
  <si>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</si>
  <si>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</si>
  <si>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</si>
  <si>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</si>
  <si>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</si>
  <si>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</si>
  <si>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</si>
  <si>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</si>
  <si>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</si>
  <si>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</si>
  <si>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</si>
  <si>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</si>
  <si>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</si>
  <si>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</si>
  <si>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</si>
  <si>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</si>
  <si>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</si>
  <si>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</si>
  <si>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</si>
  <si>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</si>
  <si>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</si>
  <si>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</si>
  <si>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</si>
  <si>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</si>
  <si>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</si>
  <si>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</si>
  <si>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</si>
  <si>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</si>
  <si>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</si>
  <si>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</si>
  <si>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</si>
  <si>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</si>
  <si>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</si>
  <si>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</si>
  <si>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</si>
  <si>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</si>
  <si>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</si>
  <si>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</si>
  <si>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</si>
  <si>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</si>
  <si>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</si>
  <si>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</si>
  <si>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</si>
  <si>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</si>
  <si>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</si>
  <si>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</si>
  <si>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</si>
  <si>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</si>
  <si>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</si>
  <si>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</si>
  <si>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</si>
  <si>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</si>
  <si>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</si>
  <si>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</si>
  <si>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</si>
  <si>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</si>
  <si>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</si>
  <si>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</si>
  <si>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</si>
  <si>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</si>
  <si>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</si>
  <si>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</si>
  <si>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</si>
  <si>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</si>
  <si>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</si>
  <si>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</si>
  <si>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</si>
  <si>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</si>
  <si>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</si>
  <si>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</si>
  <si>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</si>
  <si>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</si>
  <si>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</si>
  <si>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</si>
  <si>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</si>
  <si>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</si>
  <si>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</si>
  <si>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</si>
  <si>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</si>
  <si>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</si>
  <si>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</si>
  <si>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</si>
  <si>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</si>
  <si>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</si>
  <si>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</si>
  <si>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</si>
  <si>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</si>
  <si>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</si>
  <si>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</si>
  <si>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</si>
  <si>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</si>
  <si>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</si>
  <si>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</si>
  <si>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</si>
  <si>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</si>
  <si>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</si>
  <si>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</si>
  <si>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</si>
  <si>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</si>
  <si>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</si>
  <si>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</si>
  <si>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</si>
  <si>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</si>
  <si>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</si>
  <si>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</si>
  <si>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</si>
  <si>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</si>
  <si>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</si>
  <si>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</si>
  <si>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</si>
  <si>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</si>
  <si>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</si>
  <si>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</si>
  <si>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</si>
  <si>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</si>
  <si>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</si>
  <si>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</si>
  <si>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</si>
  <si>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</si>
  <si>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</si>
  <si>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</si>
  <si>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</si>
  <si>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</si>
  <si>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</si>
  <si>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</si>
  <si>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</si>
  <si>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</si>
  <si>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</si>
  <si>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</si>
  <si>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</si>
  <si>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</si>
  <si>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</si>
  <si>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</si>
  <si>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</si>
  <si>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</si>
  <si>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</si>
  <si>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</si>
  <si>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</si>
  <si>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</si>
  <si>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</si>
  <si>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</si>
  <si>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</si>
  <si>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</si>
  <si>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</si>
  <si>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</si>
  <si>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</si>
  <si>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</si>
  <si>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</si>
  <si>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</si>
  <si>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</si>
  <si>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</si>
  <si>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</si>
  <si>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</si>
  <si>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</si>
  <si>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</si>
  <si>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</si>
  <si>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</si>
  <si>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</si>
  <si>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</si>
  <si>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</si>
  <si>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</si>
  <si>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</si>
  <si>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</si>
  <si>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</si>
  <si>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</si>
  <si>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</si>
  <si>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</si>
  <si>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</si>
  <si>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</si>
  <si>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</si>
  <si>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</si>
  <si>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</si>
  <si>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</si>
  <si>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</si>
  <si>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</si>
  <si>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</si>
  <si>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</si>
  <si>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</si>
  <si>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</si>
  <si>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</si>
  <si>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</si>
  <si>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</si>
  <si>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</si>
  <si>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</si>
  <si>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</si>
  <si>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</si>
  <si>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</si>
  <si>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</si>
  <si>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</si>
  <si>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</si>
  <si>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</si>
  <si>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</si>
  <si>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</si>
  <si>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</si>
  <si>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</si>
  <si>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</si>
  <si>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</si>
  <si>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</si>
  <si>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</si>
  <si>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</si>
  <si>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</si>
  <si>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</si>
  <si>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</si>
  <si>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</si>
  <si>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</si>
  <si>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</si>
  <si>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</si>
  <si>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</si>
  <si>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</si>
  <si>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</si>
  <si>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</si>
  <si>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</si>
  <si>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</si>
  <si>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</si>
  <si>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</si>
  <si>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</si>
  <si>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</si>
  <si>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</si>
  <si>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</si>
  <si>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</si>
  <si>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</si>
  <si>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</si>
  <si>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</si>
  <si>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</si>
  <si>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</si>
  <si>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</si>
  <si>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</si>
  <si>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</si>
  <si>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</si>
  <si>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</si>
  <si>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</si>
  <si>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</si>
  <si>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</si>
  <si>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</si>
  <si>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</si>
  <si>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</si>
  <si>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</si>
  <si>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</si>
  <si>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</si>
  <si>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</si>
  <si>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</si>
  <si>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</si>
  <si>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</si>
  <si>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</si>
  <si>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</si>
  <si>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</si>
  <si>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</si>
  <si>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</si>
  <si>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</si>
  <si>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</si>
  <si>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</si>
  <si>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</si>
  <si>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</si>
  <si>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</si>
  <si>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</si>
  <si>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</si>
  <si>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</si>
  <si>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</si>
  <si>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</si>
  <si>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</si>
  <si>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</si>
  <si>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</si>
  <si>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</si>
  <si>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</si>
  <si>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</si>
  <si>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</si>
  <si>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</si>
  <si>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</si>
  <si>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</si>
  <si>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</si>
  <si>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</si>
  <si>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</si>
  <si>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</si>
  <si>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</si>
  <si>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</si>
  <si>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</si>
  <si>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</si>
  <si>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</si>
  <si>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</si>
  <si>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</si>
  <si>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</si>
  <si>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</si>
  <si>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</si>
  <si>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</si>
  <si>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</si>
  <si>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</si>
  <si>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</si>
  <si>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</si>
  <si>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</si>
  <si>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</si>
  <si>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</si>
  <si>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</si>
  <si>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</si>
  <si>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</si>
  <si>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</si>
  <si>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</si>
  <si>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</si>
  <si>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</si>
  <si>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</si>
  <si>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</si>
  <si>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</si>
  <si>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</si>
  <si>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</si>
  <si>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</si>
  <si>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</si>
  <si>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</si>
  <si>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</si>
  <si>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</si>
  <si>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</si>
  <si>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</si>
  <si>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</si>
  <si>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</si>
  <si>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</si>
  <si>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</si>
  <si>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</si>
  <si>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</si>
  <si>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</si>
  <si>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</si>
  <si>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</si>
  <si>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</si>
  <si>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</si>
  <si>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</si>
  <si>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</si>
  <si>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</si>
  <si>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</si>
  <si>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</si>
  <si>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</si>
  <si>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</si>
  <si>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</si>
  <si>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</si>
  <si>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</si>
  <si>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</si>
  <si>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</si>
  <si>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</si>
  <si>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</si>
  <si>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</si>
  <si>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</si>
  <si>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</si>
  <si>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</si>
  <si>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</si>
  <si>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</si>
  <si>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</si>
  <si>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</si>
  <si>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</si>
  <si>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</si>
  <si>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</si>
  <si>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</si>
  <si>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</si>
  <si>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</si>
  <si>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</si>
  <si>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</si>
  <si>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</si>
  <si>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</si>
  <si>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</si>
  <si>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</si>
  <si>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</si>
  <si>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</si>
  <si>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</si>
  <si>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</si>
  <si>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</si>
  <si>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</si>
  <si>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</si>
  <si>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</si>
  <si>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</si>
  <si>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</si>
  <si>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</si>
  <si>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</si>
  <si>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</si>
  <si>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</si>
  <si>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</si>
  <si>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</si>
  <si>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</si>
  <si>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</si>
  <si>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</si>
  <si>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</si>
  <si>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</si>
  <si>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</si>
  <si>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</si>
  <si>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</si>
  <si>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</si>
  <si>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</si>
  <si>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</si>
  <si>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</si>
  <si>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</si>
  <si>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</si>
  <si>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</si>
  <si>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</si>
  <si>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</si>
  <si>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</si>
  <si>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</si>
  <si>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</si>
  <si>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</si>
  <si>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</si>
  <si>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</si>
  <si>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</si>
  <si>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</si>
  <si>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</si>
  <si>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</si>
  <si>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</si>
  <si>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</si>
  <si>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</si>
  <si>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</si>
  <si>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</si>
  <si>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</si>
  <si>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</si>
  <si>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</si>
  <si>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</si>
  <si>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</si>
  <si>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</si>
  <si>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</si>
  <si>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</si>
  <si>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</si>
  <si>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</si>
  <si>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</si>
  <si>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</si>
  <si>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</si>
  <si>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</si>
  <si>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</si>
  <si>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</si>
  <si>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</si>
  <si>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</si>
  <si>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</si>
  <si>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</si>
  <si>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</si>
  <si>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</si>
  <si>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</si>
  <si>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</si>
  <si>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</si>
  <si>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</si>
  <si>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</si>
  <si>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</si>
  <si>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</si>
  <si>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</si>
  <si>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</si>
  <si>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</si>
  <si>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</si>
  <si>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</si>
  <si>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</si>
  <si>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</si>
  <si>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</si>
  <si>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</si>
  <si>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</si>
  <si>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</si>
  <si>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</si>
  <si>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</si>
  <si>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</si>
  <si>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</si>
  <si>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</si>
  <si>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</si>
  <si>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</si>
  <si>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</si>
  <si>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</si>
  <si>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</si>
  <si>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</si>
  <si>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</si>
  <si>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</si>
  <si>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</si>
  <si>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</si>
  <si>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</si>
  <si>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</si>
  <si>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</si>
  <si>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</si>
  <si>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</si>
  <si>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</si>
  <si>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</si>
  <si>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</si>
  <si>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</si>
  <si>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</si>
  <si>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</si>
  <si>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</si>
  <si>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</si>
  <si>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</si>
  <si>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</si>
  <si>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</si>
  <si>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</si>
  <si>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</si>
  <si>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</si>
  <si>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</si>
  <si>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</si>
  <si>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</si>
  <si>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</si>
  <si>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</si>
  <si>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</si>
  <si>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</si>
  <si>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</si>
  <si>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</si>
  <si>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</si>
  <si>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</si>
  <si>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</si>
  <si>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</si>
  <si>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</si>
  <si>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</si>
  <si>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</si>
  <si>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</si>
  <si>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</si>
  <si>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</si>
  <si>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</si>
  <si>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</si>
  <si>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</si>
  <si>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</si>
  <si>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</si>
  <si>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</si>
  <si>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</si>
  <si>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</si>
  <si>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</si>
  <si>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</si>
  <si>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</si>
  <si>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</si>
  <si>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</si>
  <si>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</si>
  <si>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</si>
  <si>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</si>
  <si>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</si>
  <si>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</si>
  <si>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</si>
  <si>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</si>
  <si>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</si>
  <si>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</si>
  <si>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</si>
  <si>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</si>
  <si>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</si>
  <si>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</si>
  <si>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</si>
  <si>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</si>
  <si>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</si>
  <si>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</si>
  <si>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</si>
  <si>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</si>
  <si>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</si>
  <si>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</si>
  <si>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</si>
  <si>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</si>
  <si>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</si>
  <si>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</si>
  <si>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</si>
  <si>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</si>
  <si>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</si>
  <si>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</si>
  <si>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</si>
  <si>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</si>
  <si>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</si>
  <si>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</si>
  <si>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</si>
  <si>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</si>
  <si>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</si>
  <si>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</si>
  <si>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</si>
  <si>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</si>
  <si>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</si>
  <si>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</si>
  <si>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</si>
  <si>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</si>
  <si>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</si>
  <si>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</si>
  <si>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</si>
  <si>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</si>
  <si>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</si>
  <si>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</si>
  <si>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</si>
  <si>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</si>
  <si>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</si>
  <si>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</si>
  <si>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</si>
  <si>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</si>
  <si>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</si>
  <si>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</si>
  <si>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</si>
  <si>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</si>
  <si>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</si>
  <si>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</si>
  <si>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</si>
  <si>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</si>
  <si>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</si>
  <si>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</si>
  <si>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</si>
  <si>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</si>
  <si>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</si>
  <si>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</si>
  <si>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</si>
  <si>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</si>
  <si>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</si>
  <si>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</si>
  <si>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</si>
  <si>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</si>
  <si>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</si>
  <si>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</si>
  <si>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</si>
  <si>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</si>
  <si>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</si>
  <si>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</si>
  <si>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</si>
  <si>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</si>
  <si>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</si>
  <si>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</si>
  <si>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</si>
  <si>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</si>
  <si>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</si>
  <si>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</si>
  <si>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</si>
  <si>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</si>
  <si>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</si>
  <si>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</si>
  <si>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</si>
  <si>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</si>
  <si>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</si>
  <si>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</si>
  <si>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</si>
  <si>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</si>
  <si>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</si>
  <si>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</si>
  <si>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</si>
  <si>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</si>
  <si>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</si>
  <si>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</si>
  <si>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</si>
  <si>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</si>
  <si>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</si>
  <si>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</si>
  <si>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</si>
  <si>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</si>
  <si>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</si>
  <si>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</si>
  <si>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</si>
  <si>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</si>
  <si>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</si>
  <si>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</si>
  <si>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</si>
  <si>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</si>
  <si>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</si>
  <si>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</si>
  <si>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</si>
  <si>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</si>
  <si>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</si>
  <si>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</si>
  <si>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</si>
  <si>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</si>
  <si>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</si>
  <si>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</si>
  <si>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</si>
  <si>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</si>
  <si>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</si>
  <si>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</si>
  <si>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</si>
  <si>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</si>
  <si>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</si>
  <si>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</si>
  <si>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</si>
  <si>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</si>
  <si>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</si>
  <si>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</si>
  <si>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</si>
  <si>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</si>
  <si>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</si>
  <si>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</si>
  <si>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</si>
  <si>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</si>
  <si>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</si>
  <si>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</si>
  <si>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</si>
  <si>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</si>
  <si>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</si>
  <si>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</si>
  <si>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</si>
  <si>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</si>
  <si>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</si>
  <si>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</si>
  <si>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</si>
  <si>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</si>
  <si>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</si>
  <si>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</si>
  <si>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</si>
  <si>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</si>
  <si>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</si>
  <si>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</si>
  <si>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</si>
  <si>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</si>
  <si>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</si>
  <si>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</si>
  <si>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</si>
  <si>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</si>
  <si>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</si>
  <si>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</si>
  <si>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</si>
  <si>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</si>
  <si>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</si>
  <si>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</si>
  <si>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</si>
  <si>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</si>
  <si>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</si>
  <si>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</si>
  <si>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</si>
  <si>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</si>
  <si>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</si>
  <si>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</si>
  <si>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</si>
  <si>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</si>
  <si>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</si>
  <si>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</si>
  <si>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</si>
  <si>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</si>
  <si>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</si>
  <si>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</si>
  <si>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</si>
  <si>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</si>
  <si>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</si>
  <si>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</si>
  <si>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</si>
  <si>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</si>
  <si>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</si>
  <si>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</si>
  <si>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</si>
  <si>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</si>
  <si>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</si>
  <si>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</si>
  <si>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</si>
  <si>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</si>
  <si>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</si>
  <si>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</si>
  <si>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</si>
  <si>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</si>
  <si>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</si>
  <si>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</si>
  <si>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</si>
  <si>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</si>
  <si>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</si>
  <si>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</si>
  <si>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</si>
  <si>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</si>
  <si>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</si>
  <si>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</si>
  <si>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</si>
  <si>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</si>
  <si>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</si>
  <si>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</si>
  <si>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</si>
  <si>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</si>
  <si>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</si>
  <si>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</si>
  <si>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</si>
  <si>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</si>
  <si>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</si>
  <si>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</si>
  <si>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</si>
  <si>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</si>
  <si>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</si>
  <si>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</si>
  <si>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</si>
  <si>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</si>
  <si>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</si>
  <si>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</si>
  <si>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</si>
  <si>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</si>
  <si>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</si>
  <si>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</si>
  <si>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</si>
  <si>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</si>
  <si>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</si>
  <si>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</si>
  <si>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</si>
  <si>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</si>
  <si>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</si>
  <si>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</si>
  <si>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</si>
  <si>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</si>
  <si>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</si>
  <si>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</si>
  <si>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</si>
  <si>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</si>
  <si>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</si>
  <si>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</si>
  <si>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</si>
  <si>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</si>
  <si>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</si>
  <si>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</si>
  <si>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</si>
  <si>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</si>
  <si>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</si>
  <si>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</si>
  <si>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</si>
  <si>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</si>
  <si>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</si>
  <si>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</si>
  <si>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</si>
  <si>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</si>
  <si>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</si>
  <si>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</si>
  <si>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</si>
  <si>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</si>
  <si>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</si>
  <si>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</si>
  <si>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</si>
  <si>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</si>
  <si>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</si>
  <si>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</si>
  <si>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</si>
  <si>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</si>
  <si>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</si>
  <si>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</si>
  <si>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</si>
  <si>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</si>
  <si>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</si>
  <si>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</si>
  <si>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</si>
  <si>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</si>
  <si>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</si>
  <si>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</si>
  <si>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</si>
  <si>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</si>
  <si>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</si>
  <si>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</si>
  <si>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</si>
  <si>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</si>
  <si>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</si>
  <si>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</si>
  <si>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</si>
  <si>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</si>
  <si>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</si>
  <si>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</si>
  <si>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</si>
  <si>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</si>
  <si>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</si>
  <si>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</si>
  <si>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</si>
  <si>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</si>
  <si>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</si>
  <si>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</si>
  <si>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</si>
  <si>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</si>
  <si>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</si>
  <si>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</si>
  <si>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</si>
  <si>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</si>
  <si>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</si>
  <si>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</si>
  <si>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</si>
  <si>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</si>
  <si>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</si>
  <si>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</si>
  <si>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</si>
  <si>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</si>
  <si>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</si>
  <si>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</si>
  <si>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</si>
  <si>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</si>
  <si>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</si>
  <si>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</si>
  <si>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</si>
  <si>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</si>
  <si>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</si>
  <si>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</si>
  <si>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</si>
  <si>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</si>
  <si>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</si>
  <si>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</si>
  <si>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</si>
  <si>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</si>
  <si>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</si>
  <si>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</si>
  <si>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</si>
  <si>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</si>
  <si>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</si>
  <si>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</si>
  <si>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</si>
  <si>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</si>
  <si>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</si>
  <si>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</si>
  <si>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</si>
  <si>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</si>
  <si>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</si>
  <si>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</si>
  <si>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</si>
  <si>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</si>
  <si>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</si>
  <si>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</si>
  <si>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</si>
  <si>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</si>
  <si>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</si>
  <si>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</si>
  <si>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</si>
  <si>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</si>
  <si>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</si>
  <si>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</si>
  <si>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</si>
  <si>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</si>
  <si>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</si>
  <si>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</si>
  <si>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</si>
  <si>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</si>
  <si>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</si>
  <si>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</si>
  <si>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</si>
  <si>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</si>
  <si>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</si>
  <si>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</si>
  <si>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</si>
  <si>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</si>
  <si>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</si>
  <si>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</si>
  <si>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</si>
  <si>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</si>
  <si>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</si>
  <si>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</si>
  <si>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</si>
  <si>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</si>
  <si>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</si>
  <si>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</si>
  <si>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</si>
  <si>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</si>
  <si>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</si>
  <si>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</si>
  <si>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</si>
  <si>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</si>
  <si>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</si>
  <si>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</si>
  <si>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</si>
  <si>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</si>
  <si>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</si>
  <si>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</si>
  <si>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</si>
  <si>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</si>
  <si>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</si>
  <si>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</si>
  <si>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</si>
  <si>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</si>
  <si>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</si>
  <si>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</si>
  <si>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</si>
  <si>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</si>
  <si>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</si>
  <si>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</si>
  <si>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</si>
  <si>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</si>
  <si>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</si>
  <si>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</si>
  <si>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</si>
  <si>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</si>
  <si>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</si>
  <si>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</si>
  <si>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</si>
  <si>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</si>
  <si>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</si>
  <si>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</si>
  <si>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</si>
  <si>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</si>
  <si>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</si>
  <si>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</si>
  <si>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</si>
  <si>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</si>
  <si>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</si>
  <si>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</si>
  <si>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</si>
  <si>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</si>
  <si>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</si>
  <si>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</si>
  <si>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</si>
  <si>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</si>
  <si>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</si>
  <si>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</si>
  <si>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</si>
  <si>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</si>
  <si>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</si>
  <si>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</si>
  <si>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</si>
  <si>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</si>
  <si>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</si>
  <si>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</si>
  <si>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</si>
  <si>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</si>
  <si>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</si>
  <si>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</si>
  <si>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</si>
  <si>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</si>
  <si>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</si>
  <si>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</si>
  <si>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</si>
  <si>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</si>
  <si>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</si>
  <si>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</si>
  <si>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</si>
  <si>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</si>
  <si>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</si>
  <si>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</si>
  <si>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</si>
  <si>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</si>
  <si>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</si>
  <si>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</si>
  <si>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</si>
  <si>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</si>
  <si>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</si>
  <si>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</si>
  <si>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</si>
  <si>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</si>
  <si>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</si>
  <si>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</si>
  <si>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</si>
  <si>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</si>
  <si>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</si>
  <si>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</si>
  <si>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</si>
  <si>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</si>
  <si>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</si>
  <si>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</si>
  <si>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</si>
  <si>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</si>
  <si>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</si>
  <si>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</si>
  <si>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</si>
  <si>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</si>
  <si>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</si>
  <si>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</si>
  <si>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</si>
  <si>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</si>
  <si>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</si>
  <si>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</si>
  <si>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</si>
  <si>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</si>
  <si>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</si>
  <si>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</si>
  <si>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</si>
  <si>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</si>
  <si>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</si>
  <si>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</si>
  <si>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</si>
  <si>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</si>
  <si>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</si>
  <si>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</si>
  <si>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</si>
  <si>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</si>
  <si>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</si>
  <si>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</si>
  <si>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</si>
  <si>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</si>
  <si>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</si>
  <si>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</si>
  <si>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</si>
  <si>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</si>
  <si>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</si>
  <si>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</si>
  <si>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</si>
  <si>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</si>
  <si>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</si>
  <si>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</si>
  <si>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</si>
  <si>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</si>
  <si>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</si>
  <si>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</si>
  <si>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</si>
  <si>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</si>
  <si>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</si>
  <si>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</si>
  <si>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</si>
  <si>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</si>
  <si>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</si>
  <si>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</si>
  <si>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</si>
  <si>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</si>
  <si>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</si>
  <si>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</si>
  <si>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</si>
  <si>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</si>
  <si>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</si>
  <si>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</si>
  <si>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</si>
  <si>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</si>
  <si>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</si>
  <si>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</si>
  <si>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</si>
  <si>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</si>
  <si>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</si>
  <si>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</si>
  <si>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</si>
  <si>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</si>
  <si>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</si>
  <si>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</si>
  <si>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</si>
  <si>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</si>
  <si>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</si>
  <si>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</si>
  <si>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</si>
  <si>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</si>
  <si>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</si>
  <si>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</si>
  <si>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</si>
  <si>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</si>
  <si>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</si>
  <si>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</si>
  <si>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</si>
  <si>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</si>
  <si>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</si>
  <si>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</si>
  <si>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</si>
  <si>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</si>
  <si>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</si>
  <si>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</si>
  <si>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</si>
  <si>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</si>
  <si>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</si>
  <si>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</si>
  <si>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</si>
  <si>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</si>
  <si>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</si>
  <si>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</si>
  <si>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</si>
  <si>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</si>
  <si>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</si>
  <si>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</si>
  <si>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</si>
  <si>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</si>
  <si>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</si>
  <si>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</si>
  <si>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</si>
  <si>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</si>
  <si>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</si>
  <si>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</si>
  <si>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</si>
  <si>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</si>
  <si>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</si>
  <si>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</si>
  <si>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</si>
  <si>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</si>
  <si>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</si>
  <si>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</si>
  <si>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</si>
  <si>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</si>
  <si>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</si>
  <si>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</si>
  <si>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</si>
  <si>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</si>
  <si>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</si>
  <si>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</si>
  <si>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</si>
  <si>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</si>
  <si>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</si>
  <si>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</si>
  <si>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</si>
  <si>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</si>
  <si>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</si>
  <si>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</si>
  <si>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</si>
  <si>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</si>
  <si>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</si>
  <si>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</si>
  <si>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</si>
  <si>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</si>
  <si>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</si>
  <si>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</si>
  <si>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</si>
  <si>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</si>
  <si>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</si>
  <si>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</si>
  <si>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</si>
  <si>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</si>
  <si>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</si>
  <si>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</si>
  <si>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</si>
  <si>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</si>
  <si>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</si>
  <si>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</si>
  <si>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</si>
  <si>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</si>
  <si>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</si>
  <si>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</si>
  <si>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</si>
  <si>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</si>
  <si>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</si>
  <si>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</si>
  <si>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</si>
  <si>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</si>
  <si>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</si>
  <si>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</si>
  <si>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</si>
  <si>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</si>
  <si>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</si>
  <si>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</si>
  <si>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</si>
  <si>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</si>
  <si>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</si>
  <si>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</si>
  <si>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</si>
  <si>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</si>
  <si>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</si>
  <si>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</si>
  <si>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</si>
  <si>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</si>
  <si>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</si>
  <si>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</si>
  <si>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</si>
  <si>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</si>
  <si>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</si>
  <si>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</si>
  <si>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</si>
  <si>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</si>
  <si>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</si>
  <si>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</si>
  <si>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</si>
  <si>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</si>
  <si>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</si>
  <si>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</si>
  <si>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</si>
  <si>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</si>
  <si>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</si>
  <si>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</si>
  <si>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</si>
  <si>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</si>
  <si>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</si>
  <si>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</si>
  <si>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</si>
  <si>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</si>
  <si>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</si>
  <si>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</si>
  <si>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</si>
  <si>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</si>
  <si>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</si>
  <si>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</si>
  <si>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</si>
  <si>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</si>
  <si>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</si>
  <si>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</si>
  <si>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</si>
  <si>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</si>
  <si>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</si>
  <si>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</si>
  <si>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</si>
  <si>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</si>
  <si>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</si>
  <si>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</si>
  <si>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</si>
  <si>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</si>
  <si>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</si>
  <si>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</si>
  <si>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</si>
  <si>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</si>
  <si>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</si>
  <si>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</si>
  <si>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</si>
  <si>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</si>
  <si>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</si>
  <si>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</si>
  <si>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</si>
  <si>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</si>
  <si>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</si>
  <si>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</si>
  <si>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</si>
  <si>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</si>
  <si>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</si>
  <si>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</si>
  <si>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</si>
  <si>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</si>
  <si>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</si>
  <si>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</si>
  <si>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</si>
  <si>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</si>
  <si>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</si>
  <si>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</si>
  <si>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</si>
  <si>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</si>
  <si>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</si>
  <si>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</si>
  <si>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</si>
  <si>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</si>
  <si>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</si>
  <si>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</si>
  <si>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</si>
  <si>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</si>
  <si>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</si>
  <si>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</si>
  <si>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</si>
  <si>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</si>
  <si>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</si>
  <si>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</si>
  <si>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</si>
  <si>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</si>
  <si>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</si>
  <si>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</si>
  <si>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</si>
  <si>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</si>
  <si>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</si>
  <si>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</si>
  <si>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</si>
  <si>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</si>
  <si>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</si>
  <si>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</si>
  <si>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</si>
  <si>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</si>
  <si>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</si>
  <si>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</si>
  <si>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</si>
  <si>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</si>
  <si>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</si>
  <si>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</si>
  <si>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</si>
  <si>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</si>
  <si>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</si>
  <si>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</si>
  <si>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</si>
  <si>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</si>
  <si>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</si>
  <si>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</si>
  <si>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</si>
  <si>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</si>
  <si>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</si>
  <si>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</si>
  <si>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</si>
  <si>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</si>
  <si>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</si>
  <si>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</si>
  <si>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</si>
  <si>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</si>
  <si>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</si>
  <si>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</si>
  <si>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</si>
  <si>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</si>
  <si>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</si>
  <si>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</si>
  <si>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</si>
  <si>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</si>
  <si>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</si>
  <si>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</si>
  <si>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</si>
  <si>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</si>
  <si>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</si>
  <si>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</si>
  <si>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</si>
  <si>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</si>
  <si>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</si>
  <si>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</si>
  <si>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</si>
  <si>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</si>
  <si>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</si>
  <si>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</si>
  <si>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</si>
  <si>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</si>
  <si>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</si>
  <si>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</si>
  <si>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</si>
  <si>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</si>
  <si>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</si>
  <si>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</si>
  <si>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</si>
  <si>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</si>
  <si>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</si>
  <si>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</si>
  <si>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</si>
  <si>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</si>
  <si>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</si>
  <si>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</si>
  <si>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</si>
  <si>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</si>
  <si>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</si>
  <si>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</si>
  <si>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</si>
  <si>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</si>
  <si>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</si>
  <si>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</si>
  <si>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</si>
  <si>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</si>
  <si>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</si>
  <si>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</si>
  <si>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</si>
  <si>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</si>
  <si>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</si>
  <si>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</si>
  <si>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</si>
  <si>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</si>
  <si>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</si>
  <si>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</si>
  <si>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</si>
  <si>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</si>
  <si>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</si>
  <si>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</si>
  <si>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</si>
  <si>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</si>
  <si>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</si>
  <si>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</si>
  <si>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</si>
  <si>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</si>
  <si>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</si>
  <si>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</si>
  <si>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</si>
  <si>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</si>
  <si>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</si>
  <si>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</si>
  <si>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</si>
  <si>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</si>
  <si>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</si>
  <si>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</si>
  <si>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</si>
  <si>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</si>
  <si>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</si>
  <si>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</si>
  <si>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</si>
  <si>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</si>
  <si>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</si>
  <si>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</si>
  <si>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</si>
  <si>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</si>
  <si>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</si>
  <si>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</si>
  <si>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</si>
  <si>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</si>
  <si>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</si>
  <si>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</si>
  <si>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</si>
  <si>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</si>
  <si>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</si>
  <si>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</si>
  <si>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</si>
  <si>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</si>
  <si>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</si>
  <si>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</si>
  <si>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</si>
  <si>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</si>
  <si>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</si>
  <si>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</si>
  <si>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</si>
  <si>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</si>
  <si>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</si>
  <si>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</si>
  <si>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</si>
  <si>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</si>
  <si>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</si>
  <si>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</si>
  <si>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</si>
  <si>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</si>
  <si>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</si>
  <si>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</si>
  <si>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</si>
  <si>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</si>
  <si>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</si>
  <si>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</si>
  <si>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</si>
  <si>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</si>
  <si>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</si>
  <si>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</si>
  <si>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</si>
  <si>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</si>
  <si>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</si>
  <si>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</si>
  <si>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</si>
  <si>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</si>
  <si>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</si>
  <si>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</si>
  <si>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</si>
  <si>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</si>
  <si>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</si>
  <si>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</si>
  <si>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</si>
  <si>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</si>
  <si>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</si>
  <si>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</si>
  <si>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</si>
  <si>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</si>
  <si>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</si>
  <si>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</si>
  <si>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</si>
  <si>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</si>
  <si>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</si>
  <si>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</si>
  <si>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</si>
  <si>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</si>
  <si>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</si>
  <si>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</si>
  <si>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</si>
  <si>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</si>
  <si>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</si>
  <si>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</si>
  <si>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</si>
  <si>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</si>
  <si>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</si>
  <si>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</si>
  <si>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</si>
  <si>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</si>
  <si>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</si>
  <si>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</si>
  <si>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</si>
  <si>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</si>
  <si>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</si>
  <si>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</si>
  <si>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</si>
  <si>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</si>
  <si>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</si>
  <si>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</si>
  <si>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</si>
  <si>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</si>
  <si>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</si>
  <si>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</si>
  <si>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</si>
  <si>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</si>
  <si>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</si>
  <si>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</si>
  <si>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</si>
  <si>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</si>
  <si>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</si>
  <si>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</si>
  <si>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</si>
  <si>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</si>
  <si>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</si>
  <si>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</si>
  <si>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</si>
  <si>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</si>
  <si>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</si>
  <si>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</si>
  <si>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</si>
  <si>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</si>
  <si>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</si>
  <si>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</si>
  <si>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</si>
  <si>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</si>
  <si>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</si>
  <si>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</si>
  <si>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</si>
  <si>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</si>
  <si>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</si>
  <si>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</si>
  <si>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</si>
  <si>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</si>
  <si>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</si>
  <si>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</si>
  <si>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</si>
  <si>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</si>
  <si>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</si>
  <si>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</si>
  <si>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</si>
  <si>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</si>
  <si>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</si>
  <si>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</si>
  <si>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</si>
  <si>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</si>
  <si>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</si>
  <si>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</si>
  <si>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</si>
  <si>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</si>
  <si>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</si>
  <si>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</si>
  <si>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</si>
  <si>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</si>
  <si>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</si>
  <si>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</si>
  <si>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</si>
  <si>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</si>
  <si>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</si>
  <si>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</si>
  <si>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</si>
  <si>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</si>
  <si>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</si>
  <si>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</si>
  <si>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</si>
  <si>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</si>
  <si>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</si>
  <si>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</si>
  <si>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</si>
  <si>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</si>
  <si>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</si>
  <si>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</si>
  <si>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</si>
  <si>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</si>
  <si>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</si>
  <si>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</si>
  <si>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</si>
  <si>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</si>
  <si>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</si>
  <si>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</si>
  <si>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</si>
  <si>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</si>
  <si>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</si>
  <si>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</si>
  <si>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</si>
  <si>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</si>
  <si>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</si>
  <si>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</si>
  <si>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</si>
  <si>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</si>
  <si>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</si>
  <si>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</si>
  <si>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</si>
  <si>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</si>
  <si>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</si>
  <si>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</si>
  <si>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</si>
  <si>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</si>
  <si>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</si>
  <si>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</si>
  <si>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</si>
  <si>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</si>
  <si>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</si>
  <si>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</si>
  <si>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</si>
  <si>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</si>
  <si>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</si>
  <si>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</si>
  <si>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</si>
  <si>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</si>
  <si>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</si>
  <si>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</si>
  <si>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</si>
  <si>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</si>
  <si>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</si>
  <si>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</si>
  <si>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</si>
  <si>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</si>
  <si>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</si>
  <si>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</si>
  <si>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</si>
  <si>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</si>
  <si>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</si>
  <si>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</si>
  <si>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</si>
  <si>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</si>
  <si>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</si>
  <si>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</si>
  <si>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</si>
  <si>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</si>
  <si>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</si>
  <si>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</si>
  <si>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</si>
  <si>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</si>
  <si>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</si>
  <si>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</si>
  <si>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</si>
  <si>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</si>
  <si>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</si>
  <si>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</si>
  <si>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</si>
  <si>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</si>
  <si>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</si>
  <si>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</si>
  <si>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</si>
  <si>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</si>
  <si>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</si>
  <si>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</si>
  <si>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</si>
  <si>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</si>
  <si>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</si>
  <si>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</si>
  <si>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</si>
  <si>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</si>
  <si>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</si>
  <si>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</si>
  <si>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</si>
  <si>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</si>
  <si>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</si>
  <si>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</si>
  <si>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</si>
  <si>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</si>
  <si>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</si>
  <si>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</si>
  <si>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</si>
  <si>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</si>
  <si>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</si>
  <si>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</si>
  <si>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</si>
  <si>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</si>
  <si>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</si>
  <si>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</si>
  <si>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</si>
  <si>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</si>
  <si>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</si>
  <si>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</si>
  <si>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</si>
  <si>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</si>
  <si>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</si>
  <si>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</si>
  <si>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</si>
  <si>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</si>
  <si>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</si>
  <si>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</si>
  <si>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</si>
  <si>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</si>
  <si>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</si>
  <si>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</si>
  <si>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</si>
  <si>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</si>
  <si>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</si>
  <si>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</si>
  <si>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</si>
  <si>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</si>
  <si>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</si>
  <si>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</si>
  <si>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</si>
  <si>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</si>
  <si>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</si>
  <si>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</si>
  <si>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</si>
  <si>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</si>
  <si>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</si>
  <si>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</si>
  <si>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</si>
  <si>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</si>
  <si>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</si>
  <si>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</si>
  <si>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</si>
  <si>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</si>
  <si>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</si>
  <si>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</si>
  <si>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</si>
  <si>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</si>
  <si>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</si>
  <si>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</si>
  <si>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</si>
  <si>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</si>
  <si>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</si>
  <si>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</si>
  <si>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</si>
  <si>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</si>
  <si>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</si>
  <si>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</si>
  <si>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</si>
  <si>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</si>
  <si>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</si>
  <si>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</si>
  <si>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</si>
  <si>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</si>
  <si>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</si>
  <si>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</si>
  <si>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</si>
  <si>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</si>
  <si>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</si>
  <si>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</si>
  <si>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</si>
  <si>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</si>
  <si>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</si>
  <si>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</si>
  <si>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</si>
  <si>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</si>
  <si>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</si>
  <si>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</si>
  <si>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</si>
  <si>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</si>
  <si>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</si>
  <si>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</si>
  <si>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</si>
  <si>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</si>
  <si>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</si>
  <si>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</si>
  <si>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</si>
  <si>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</si>
  <si>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</si>
  <si>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</si>
  <si>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</si>
  <si>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</si>
  <si>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</si>
  <si>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</si>
  <si>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</si>
  <si>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</si>
  <si>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</si>
  <si>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</si>
  <si>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</si>
  <si>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</si>
  <si>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</si>
  <si>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</si>
  <si>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</si>
  <si>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</si>
  <si>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</si>
  <si>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</si>
  <si>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</si>
  <si>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</si>
  <si>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</si>
  <si>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</si>
  <si>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</si>
  <si>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</si>
  <si>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</si>
  <si>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</si>
  <si>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</si>
  <si>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</si>
  <si>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</si>
  <si>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</si>
  <si>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</si>
  <si>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</si>
  <si>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</si>
  <si>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</si>
  <si>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</si>
  <si>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</si>
  <si>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</si>
  <si>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</si>
  <si>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</si>
  <si>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</si>
  <si>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</si>
  <si>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</si>
  <si>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</si>
  <si>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</si>
  <si>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</si>
  <si>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</si>
  <si>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</si>
  <si>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</si>
  <si>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</si>
  <si>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</si>
  <si>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</si>
  <si>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</si>
  <si>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</si>
  <si>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</si>
  <si>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</si>
  <si>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</si>
  <si>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</si>
  <si>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</si>
  <si>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</si>
  <si>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</si>
  <si>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</si>
  <si>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</si>
  <si>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</si>
  <si>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</si>
  <si>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</si>
  <si>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</si>
  <si>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</si>
  <si>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</si>
  <si>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</si>
  <si>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</si>
  <si>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</si>
  <si>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</si>
  <si>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</si>
  <si>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</si>
  <si>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</si>
  <si>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</si>
  <si>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</si>
  <si>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</si>
  <si>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</si>
  <si>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</si>
  <si>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</si>
  <si>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</si>
  <si>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</si>
  <si>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</si>
  <si>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</si>
  <si>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</si>
  <si>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</si>
  <si>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</si>
  <si>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</si>
  <si>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</si>
  <si>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</si>
  <si>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</si>
  <si>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</si>
  <si>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</si>
  <si>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</si>
  <si>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</si>
  <si>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</si>
  <si>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</si>
  <si>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</si>
  <si>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</si>
  <si>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</si>
  <si>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</si>
  <si>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</si>
  <si>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</si>
  <si>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</si>
  <si>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</si>
  <si>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</si>
  <si>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</si>
  <si>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</si>
  <si>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</si>
  <si>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</si>
  <si>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</si>
  <si>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</si>
  <si>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</si>
  <si>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</si>
  <si>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</si>
  <si>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</si>
  <si>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</si>
  <si>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</si>
  <si>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</si>
  <si>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</si>
  <si>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</si>
  <si>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</si>
  <si>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</si>
  <si>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</si>
  <si>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</si>
  <si>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</si>
  <si>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</si>
  <si>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</si>
  <si>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</si>
  <si>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</si>
  <si>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</si>
  <si>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</si>
  <si>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</si>
  <si>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</si>
  <si>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</si>
  <si>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</si>
  <si>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</si>
  <si>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</si>
  <si>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</si>
  <si>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</si>
  <si>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</si>
  <si>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</si>
  <si>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</si>
  <si>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</si>
  <si>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</si>
  <si>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</si>
  <si>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</si>
  <si>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</si>
  <si>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</si>
  <si>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</si>
  <si>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</si>
  <si>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</si>
  <si>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</si>
  <si>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</si>
  <si>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</si>
  <si>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</si>
  <si>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</si>
  <si>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</si>
  <si>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</si>
  <si>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</si>
  <si>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</si>
  <si>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</si>
  <si>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</si>
  <si>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</si>
  <si>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</si>
  <si>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</si>
  <si>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</si>
  <si>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</si>
  <si>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</si>
  <si>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</si>
  <si>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</si>
  <si>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</si>
  <si>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</si>
  <si>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</si>
  <si>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</si>
  <si>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</si>
  <si>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</si>
  <si>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</si>
  <si>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</si>
  <si>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</si>
  <si>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</si>
  <si>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</si>
  <si>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</si>
  <si>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</si>
  <si>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</si>
  <si>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</si>
  <si>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</si>
  <si>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</si>
  <si>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</si>
  <si>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</si>
  <si>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</si>
  <si>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</si>
  <si>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</si>
  <si>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</si>
  <si>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</si>
  <si>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</si>
  <si>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</si>
  <si>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</si>
  <si>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</si>
  <si>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</si>
  <si>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</si>
  <si>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</si>
  <si>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</si>
  <si>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</si>
  <si>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</si>
  <si>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</si>
  <si>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</si>
  <si>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</si>
  <si>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</si>
  <si>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</si>
  <si>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</si>
  <si>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</si>
  <si>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</si>
  <si>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</si>
  <si>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</si>
  <si>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</si>
  <si>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</si>
  <si>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</si>
  <si>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</si>
  <si>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</si>
  <si>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</si>
  <si>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</si>
  <si>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</si>
  <si>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</si>
  <si>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</si>
  <si>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</si>
  <si>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</si>
  <si>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</si>
  <si>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</si>
  <si>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</si>
  <si>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</si>
  <si>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</si>
  <si>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</si>
  <si>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</si>
  <si>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</si>
  <si>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</si>
  <si>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</si>
  <si>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</si>
  <si>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</si>
  <si>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</si>
  <si>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</si>
  <si>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</si>
  <si>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</si>
  <si>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</si>
  <si>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</si>
  <si>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</si>
  <si>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</si>
  <si>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</si>
  <si>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</si>
  <si>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</si>
  <si>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</si>
  <si>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</si>
  <si>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</si>
  <si>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</si>
  <si>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</si>
  <si>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</si>
  <si>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</si>
  <si>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</si>
  <si>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</si>
  <si>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</si>
  <si>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</si>
  <si>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</si>
  <si>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</si>
  <si>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</si>
  <si>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</si>
  <si>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</si>
  <si>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</si>
  <si>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</si>
  <si>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</si>
  <si>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</si>
  <si>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</si>
  <si>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</si>
  <si>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</si>
  <si>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</si>
  <si>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</si>
  <si>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</si>
  <si>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</si>
  <si>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</si>
  <si>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</si>
  <si>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</si>
  <si>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</si>
  <si>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</si>
  <si>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</si>
  <si>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</si>
  <si>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</si>
  <si>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</si>
  <si>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</si>
  <si>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</si>
  <si>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</si>
  <si>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</si>
  <si>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</si>
  <si>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</si>
  <si>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</si>
  <si>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</si>
  <si>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</si>
  <si>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</si>
  <si>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</si>
  <si>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</si>
  <si>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</si>
  <si>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</si>
  <si>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</si>
  <si>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</si>
  <si>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</si>
  <si>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</si>
  <si>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</si>
  <si>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</si>
  <si>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</si>
  <si>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</si>
  <si>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</si>
  <si>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</si>
  <si>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</si>
  <si>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</si>
  <si>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</si>
  <si>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</si>
  <si>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</si>
  <si>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</si>
  <si>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</si>
  <si>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</si>
  <si>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</si>
  <si>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</si>
  <si>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</si>
  <si>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</si>
  <si>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</si>
  <si>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</si>
  <si>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</si>
  <si>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</si>
  <si>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</si>
  <si>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</si>
  <si>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</si>
  <si>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</si>
  <si>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</si>
  <si>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</si>
  <si>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</si>
  <si>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</si>
  <si>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</si>
  <si>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</si>
  <si>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</si>
  <si>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</si>
  <si>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</si>
  <si>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</si>
  <si>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</si>
  <si>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</si>
  <si>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</si>
  <si>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</si>
  <si>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</si>
  <si>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</si>
  <si>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</si>
  <si>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</si>
  <si>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</si>
  <si>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</si>
  <si>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</si>
  <si>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</si>
  <si>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</si>
  <si>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</si>
  <si>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</si>
  <si>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</si>
  <si>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</si>
  <si>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王鹏</t>
  </si>
  <si>
    <t>大业信托</t>
    <phoneticPr fontId="6" type="noConversion"/>
  </si>
  <si>
    <t>常州绿城置业有限公司</t>
    <phoneticPr fontId="6" type="noConversion"/>
  </si>
  <si>
    <t>抵押</t>
  </si>
  <si>
    <t>市场价格</t>
  </si>
  <si>
    <t>其他：</t>
  </si>
  <si>
    <t>江苏省常州市</t>
    <phoneticPr fontId="6" type="noConversion"/>
  </si>
  <si>
    <t>企业</t>
  </si>
  <si>
    <t>商业</t>
  </si>
  <si>
    <t>出让</t>
  </si>
  <si>
    <t>湖塘镇武宜路西侧</t>
    <phoneticPr fontId="6" type="noConversion"/>
  </si>
  <si>
    <t>出让合同、规划指标</t>
    <phoneticPr fontId="3" type="noConversion"/>
  </si>
  <si>
    <t>地上</t>
  </si>
  <si>
    <t>平层住宅</t>
  </si>
  <si>
    <t>洋房</t>
  </si>
  <si>
    <t>联排</t>
  </si>
  <si>
    <t>底商</t>
  </si>
  <si>
    <t>否</t>
  </si>
  <si>
    <t>高层</t>
  </si>
  <si>
    <t>高层</t>
    <phoneticPr fontId="7" type="noConversion"/>
  </si>
  <si>
    <t>洋房</t>
    <phoneticPr fontId="7" type="noConversion"/>
  </si>
  <si>
    <t>别墅</t>
  </si>
  <si>
    <t>别墅</t>
    <phoneticPr fontId="7" type="noConversion"/>
  </si>
  <si>
    <t>商业</t>
    <phoneticPr fontId="7" type="noConversion"/>
  </si>
  <si>
    <t>不动产收益法</t>
  </si>
  <si>
    <t>钢混</t>
  </si>
  <si>
    <t>正常</t>
  </si>
  <si>
    <t>住宅</t>
    <phoneticPr fontId="26" type="noConversion"/>
  </si>
  <si>
    <t>单位面积地价</t>
  </si>
  <si>
    <t>武进区经发区腾龙路东侧、环湖北路南侧地块</t>
    <phoneticPr fontId="3" type="noConversion"/>
  </si>
  <si>
    <t>西太湖环湖北路北侧、云杉路以东地块</t>
    <phoneticPr fontId="3" type="noConversion"/>
  </si>
  <si>
    <t>西太湖同舟路南侧、夏雨路西侧地块</t>
    <phoneticPr fontId="3" type="noConversion"/>
  </si>
  <si>
    <t>项目全部</t>
  </si>
  <si>
    <t>土地</t>
  </si>
  <si>
    <t>比较法-住宅、综合</t>
  </si>
  <si>
    <t>剩余法-待开发</t>
  </si>
  <si>
    <t>六通</t>
  </si>
  <si>
    <t>六通</t>
    <phoneticPr fontId="26" type="noConversion"/>
  </si>
  <si>
    <t>较好</t>
  </si>
  <si>
    <t>较好</t>
    <phoneticPr fontId="26" type="noConversion"/>
  </si>
  <si>
    <t>较规则</t>
  </si>
  <si>
    <t>较规则</t>
    <phoneticPr fontId="26" type="noConversion"/>
  </si>
  <si>
    <t>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</si>
  <si>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</si>
  <si>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</si>
  <si>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</si>
  <si>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</si>
  <si>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</si>
  <si>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一般</t>
  </si>
  <si>
    <t>城市支路</t>
  </si>
  <si>
    <t>郡未来</t>
    <phoneticPr fontId="3" type="noConversion"/>
  </si>
  <si>
    <t>路劲城</t>
    <phoneticPr fontId="3" type="noConversion"/>
  </si>
  <si>
    <t>武进广电路与火炬路交汇处</t>
    <phoneticPr fontId="3" type="noConversion"/>
  </si>
  <si>
    <t>星河湾国际</t>
    <phoneticPr fontId="3" type="noConversion"/>
  </si>
  <si>
    <t>武进长虹路和武宜路十字路口</t>
    <phoneticPr fontId="3" type="noConversion"/>
  </si>
  <si>
    <t>武进湖塘人民路和星火路交汇处</t>
    <phoneticPr fontId="3" type="noConversion"/>
  </si>
  <si>
    <t>住宅</t>
    <phoneticPr fontId="21" type="noConversion"/>
  </si>
  <si>
    <t>高层</t>
    <phoneticPr fontId="21" type="noConversion"/>
  </si>
  <si>
    <t>钢混</t>
    <phoneticPr fontId="21" type="noConversion"/>
  </si>
  <si>
    <t>较好</t>
    <phoneticPr fontId="21" type="noConversion"/>
  </si>
  <si>
    <t>精装修</t>
  </si>
  <si>
    <t>精装修</t>
    <phoneticPr fontId="21" type="noConversion"/>
  </si>
  <si>
    <t>专业</t>
  </si>
  <si>
    <t>专业</t>
    <phoneticPr fontId="21" type="noConversion"/>
  </si>
  <si>
    <t>六通</t>
    <phoneticPr fontId="21" type="noConversion"/>
  </si>
  <si>
    <t>毛坯</t>
  </si>
  <si>
    <t>毛坯</t>
    <phoneticPr fontId="21" type="noConversion"/>
  </si>
  <si>
    <t>售价</t>
  </si>
  <si>
    <t>常州市武进区稻香西路</t>
    <phoneticPr fontId="3" type="noConversion"/>
  </si>
  <si>
    <t>洋房</t>
    <phoneticPr fontId="21" type="noConversion"/>
  </si>
  <si>
    <t>武进延政路与西太湖大道交汇处南</t>
    <phoneticPr fontId="3" type="noConversion"/>
  </si>
  <si>
    <t>武进湖塘人民路与玉塘路交接处</t>
    <phoneticPr fontId="3" type="noConversion"/>
  </si>
  <si>
    <t>天安别墅</t>
    <phoneticPr fontId="3" type="noConversion"/>
  </si>
  <si>
    <t>武进生态休闲区凤苑路2号</t>
    <phoneticPr fontId="3" type="noConversion"/>
  </si>
  <si>
    <t>联排</t>
    <phoneticPr fontId="21" type="noConversion"/>
  </si>
  <si>
    <t>津通雅苑</t>
    <phoneticPr fontId="3" type="noConversion"/>
  </si>
  <si>
    <t>星河丹堤</t>
    <phoneticPr fontId="3" type="noConversion"/>
  </si>
  <si>
    <t>常发御龙山</t>
    <phoneticPr fontId="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</si>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</sst>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181" fontId="85" fillId="9" borderId="25"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6" fontId="71" fillId="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18</xdr:col>
      <xdr:colOff>522525</xdr:colOff>
      <xdr:row>47</xdr:row>
      <xdr:rowOff>46741</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2057400" y="1028700"/>
          <a:ext cx="10809525" cy="7076191"/>
        </a:xfrm>
        <a:prstGeom prst="rect">
          <a:avLst/>
        </a:prstGeom>
      </xdr:spPr>
    </xdr:pic>
    <xdr:clientData/>
  </xdr:twoCellAnchor>
  <xdr:twoCellAnchor editAs="oneCell">
    <xdr:from>
      <xdr:col>3</xdr:col>
      <xdr:colOff>0</xdr:colOff>
      <xdr:row>49</xdr:row>
      <xdr:rowOff>0</xdr:rowOff>
    </xdr:from>
    <xdr:to>
      <xdr:col>14</xdr:col>
      <xdr:colOff>332391</xdr:colOff>
      <xdr:row>95</xdr:row>
      <xdr:rowOff>170443</xdr:rowOff>
    </xdr:to>
    <xdr:pic>
      <xdr:nvPicPr>
        <xdr:cNvPr id="3" name="图片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2057400" y="8401050"/>
          <a:ext cx="7876191" cy="8057143"/>
        </a:xfrm>
        <a:prstGeom prst="rect">
          <a:avLst/>
        </a:prstGeom>
      </xdr:spPr>
    </xdr:pic>
    <xdr:clientData/>
  </xdr:twoCellAnchor>
  <xdr:twoCellAnchor editAs="oneCell">
    <xdr:from>
      <xdr:col>1</xdr:col>
      <xdr:colOff>0</xdr:colOff>
      <xdr:row>97</xdr:row>
      <xdr:rowOff>0</xdr:rowOff>
    </xdr:from>
    <xdr:to>
      <xdr:col>16</xdr:col>
      <xdr:colOff>598714</xdr:colOff>
      <xdr:row>125</xdr:row>
      <xdr:rowOff>85114</xdr:rowOff>
    </xdr:to>
    <xdr:pic>
      <xdr:nvPicPr>
        <xdr:cNvPr id="5" name="图片 4">
          <a:extLst>
            <a:ext uri="{FF2B5EF4-FFF2-40B4-BE49-F238E27FC236}">
              <a16:creationId xmlns:a16="http://schemas.microsoft.com/office/drawing/2014/main" xmlns="" id="{92895D59-B5F3-4279-B4B2-FE7720B57556}"/>
            </a:ext>
          </a:extLst>
        </xdr:cNvPr>
        <xdr:cNvPicPr>
          <a:picLocks noChangeAspect="1"/>
        </xdr:cNvPicPr>
      </xdr:nvPicPr>
      <xdr:blipFill>
        <a:blip xmlns:r="http://schemas.openxmlformats.org/officeDocument/2006/relationships" r:embed="rId3"/>
        <a:stretch>
          <a:fillRect/>
        </a:stretch>
      </xdr:blipFill>
      <xdr:spPr>
        <a:xfrm>
          <a:off x="685800" y="16630650"/>
          <a:ext cx="10885714" cy="4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503562</xdr:colOff>
      <xdr:row>30</xdr:row>
      <xdr:rowOff>27993</xdr:rowOff>
    </xdr:to>
    <xdr:pic>
      <xdr:nvPicPr>
        <xdr:cNvPr id="2" name="图片 1">
          <a:extLst>
            <a:ext uri="{FF2B5EF4-FFF2-40B4-BE49-F238E27FC236}">
              <a16:creationId xmlns:a16="http://schemas.microsoft.com/office/drawing/2014/main" xmlns="" id="{3B4543CF-3DB8-4EA0-9012-80D47A6DE750}"/>
            </a:ext>
          </a:extLst>
        </xdr:cNvPr>
        <xdr:cNvPicPr>
          <a:picLocks noChangeAspect="1"/>
        </xdr:cNvPicPr>
      </xdr:nvPicPr>
      <xdr:blipFill>
        <a:blip xmlns:r="http://schemas.openxmlformats.org/officeDocument/2006/relationships" r:embed="rId1"/>
        <a:stretch>
          <a:fillRect/>
        </a:stretch>
      </xdr:blipFill>
      <xdr:spPr>
        <a:xfrm>
          <a:off x="685800" y="514350"/>
          <a:ext cx="10104762" cy="4657143"/>
        </a:xfrm>
        <a:prstGeom prst="rect">
          <a:avLst/>
        </a:prstGeom>
      </xdr:spPr>
    </xdr:pic>
    <xdr:clientData/>
  </xdr:twoCellAnchor>
  <xdr:twoCellAnchor editAs="oneCell">
    <xdr:from>
      <xdr:col>1</xdr:col>
      <xdr:colOff>0</xdr:colOff>
      <xdr:row>31</xdr:row>
      <xdr:rowOff>0</xdr:rowOff>
    </xdr:from>
    <xdr:to>
      <xdr:col>15</xdr:col>
      <xdr:colOff>294038</xdr:colOff>
      <xdr:row>56</xdr:row>
      <xdr:rowOff>151845</xdr:rowOff>
    </xdr:to>
    <xdr:pic>
      <xdr:nvPicPr>
        <xdr:cNvPr id="3" name="图片 2">
          <a:extLst>
            <a:ext uri="{FF2B5EF4-FFF2-40B4-BE49-F238E27FC236}">
              <a16:creationId xmlns:a16="http://schemas.microsoft.com/office/drawing/2014/main" xmlns="" id="{5F7B7800-6D9E-42CE-8449-D1616787DBAF}"/>
            </a:ext>
          </a:extLst>
        </xdr:cNvPr>
        <xdr:cNvPicPr>
          <a:picLocks noChangeAspect="1"/>
        </xdr:cNvPicPr>
      </xdr:nvPicPr>
      <xdr:blipFill>
        <a:blip xmlns:r="http://schemas.openxmlformats.org/officeDocument/2006/relationships" r:embed="rId2"/>
        <a:stretch>
          <a:fillRect/>
        </a:stretch>
      </xdr:blipFill>
      <xdr:spPr>
        <a:xfrm>
          <a:off x="685800" y="5314950"/>
          <a:ext cx="9895238" cy="4438095"/>
        </a:xfrm>
        <a:prstGeom prst="rect">
          <a:avLst/>
        </a:prstGeom>
      </xdr:spPr>
    </xdr:pic>
    <xdr:clientData/>
  </xdr:twoCellAnchor>
  <xdr:twoCellAnchor editAs="oneCell">
    <xdr:from>
      <xdr:col>1</xdr:col>
      <xdr:colOff>0</xdr:colOff>
      <xdr:row>59</xdr:row>
      <xdr:rowOff>0</xdr:rowOff>
    </xdr:from>
    <xdr:to>
      <xdr:col>15</xdr:col>
      <xdr:colOff>446419</xdr:colOff>
      <xdr:row>87</xdr:row>
      <xdr:rowOff>132733</xdr:rowOff>
    </xdr:to>
    <xdr:pic>
      <xdr:nvPicPr>
        <xdr:cNvPr id="4" name="图片 3">
          <a:extLst>
            <a:ext uri="{FF2B5EF4-FFF2-40B4-BE49-F238E27FC236}">
              <a16:creationId xmlns:a16="http://schemas.microsoft.com/office/drawing/2014/main" xmlns="" id="{7C427952-1B47-4D7F-8334-8D06FDB80BF6}"/>
            </a:ext>
          </a:extLst>
        </xdr:cNvPr>
        <xdr:cNvPicPr>
          <a:picLocks noChangeAspect="1"/>
        </xdr:cNvPicPr>
      </xdr:nvPicPr>
      <xdr:blipFill>
        <a:blip xmlns:r="http://schemas.openxmlformats.org/officeDocument/2006/relationships" r:embed="rId3"/>
        <a:stretch>
          <a:fillRect/>
        </a:stretch>
      </xdr:blipFill>
      <xdr:spPr>
        <a:xfrm>
          <a:off x="685800" y="10115550"/>
          <a:ext cx="10047619" cy="4933333"/>
        </a:xfrm>
        <a:prstGeom prst="rect">
          <a:avLst/>
        </a:prstGeom>
      </xdr:spPr>
    </xdr:pic>
    <xdr:clientData/>
  </xdr:twoCellAnchor>
  <xdr:twoCellAnchor editAs="oneCell">
    <xdr:from>
      <xdr:col>1</xdr:col>
      <xdr:colOff>0</xdr:colOff>
      <xdr:row>90</xdr:row>
      <xdr:rowOff>0</xdr:rowOff>
    </xdr:from>
    <xdr:to>
      <xdr:col>15</xdr:col>
      <xdr:colOff>436895</xdr:colOff>
      <xdr:row>115</xdr:row>
      <xdr:rowOff>113750</xdr:rowOff>
    </xdr:to>
    <xdr:pic>
      <xdr:nvPicPr>
        <xdr:cNvPr id="5" name="图片 4">
          <a:extLst>
            <a:ext uri="{FF2B5EF4-FFF2-40B4-BE49-F238E27FC236}">
              <a16:creationId xmlns:a16="http://schemas.microsoft.com/office/drawing/2014/main" xmlns="" id="{1D67FFED-A585-4205-BF69-AA1755BE4D40}"/>
            </a:ext>
          </a:extLst>
        </xdr:cNvPr>
        <xdr:cNvPicPr>
          <a:picLocks noChangeAspect="1"/>
        </xdr:cNvPicPr>
      </xdr:nvPicPr>
      <xdr:blipFill>
        <a:blip xmlns:r="http://schemas.openxmlformats.org/officeDocument/2006/relationships" r:embed="rId4"/>
        <a:stretch>
          <a:fillRect/>
        </a:stretch>
      </xdr:blipFill>
      <xdr:spPr>
        <a:xfrm>
          <a:off x="685800" y="15430500"/>
          <a:ext cx="10038095" cy="4400000"/>
        </a:xfrm>
        <a:prstGeom prst="rect">
          <a:avLst/>
        </a:prstGeom>
      </xdr:spPr>
    </xdr:pic>
    <xdr:clientData/>
  </xdr:twoCellAnchor>
  <xdr:twoCellAnchor editAs="oneCell">
    <xdr:from>
      <xdr:col>1</xdr:col>
      <xdr:colOff>0</xdr:colOff>
      <xdr:row>117</xdr:row>
      <xdr:rowOff>0</xdr:rowOff>
    </xdr:from>
    <xdr:to>
      <xdr:col>15</xdr:col>
      <xdr:colOff>522609</xdr:colOff>
      <xdr:row>144</xdr:row>
      <xdr:rowOff>94659</xdr:rowOff>
    </xdr:to>
    <xdr:pic>
      <xdr:nvPicPr>
        <xdr:cNvPr id="6" name="图片 5">
          <a:extLst>
            <a:ext uri="{FF2B5EF4-FFF2-40B4-BE49-F238E27FC236}">
              <a16:creationId xmlns:a16="http://schemas.microsoft.com/office/drawing/2014/main" xmlns="" id="{9CDF59DA-3523-4CE2-91DC-E4F118B1EADA}"/>
            </a:ext>
          </a:extLst>
        </xdr:cNvPr>
        <xdr:cNvPicPr>
          <a:picLocks noChangeAspect="1"/>
        </xdr:cNvPicPr>
      </xdr:nvPicPr>
      <xdr:blipFill>
        <a:blip xmlns:r="http://schemas.openxmlformats.org/officeDocument/2006/relationships" r:embed="rId5"/>
        <a:stretch>
          <a:fillRect/>
        </a:stretch>
      </xdr:blipFill>
      <xdr:spPr>
        <a:xfrm>
          <a:off x="685800" y="20059650"/>
          <a:ext cx="10123809" cy="47238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2673</v>
      </c>
      <c r="B1" s="2930" t="s">
        <v>2770</v>
      </c>
    </row>
    <row r="2" spans="1:55" s="2934" customFormat="1" ht="15" thickTop="1">
      <c r="A2" s="2932" t="s">
        <v>2677</v>
      </c>
      <c r="B2" s="2933" t="str">
        <f>'预评函-封皮'!B37</f>
        <v>江苏省常州市湖塘镇武宜路西侧出让国有建设用地使用权市场价格预评估</v>
      </c>
      <c r="AX2" s="2935"/>
      <c r="AZ2" s="2935"/>
      <c r="BA2" s="2936"/>
      <c r="BC2" s="2936"/>
    </row>
    <row r="3" spans="1:55" s="2937" customFormat="1">
      <c r="A3" s="2916" t="s">
        <v>2678</v>
      </c>
      <c r="B3" s="2919" t="str">
        <f>'预评函-封皮'!B40</f>
        <v>常州绿城置业有限公司</v>
      </c>
    </row>
    <row r="4" spans="1:55" s="2918" customFormat="1">
      <c r="A4" s="2916" t="s">
        <v>2679</v>
      </c>
      <c r="B4" s="2917" t="str">
        <f>'预评函-封皮'!B46</f>
        <v>梁津、王鹏</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2680</v>
      </c>
      <c r="B5" s="2939" t="str">
        <f>'预评函-封皮'!B49</f>
        <v>康正预评字号</v>
      </c>
    </row>
    <row r="6" spans="1:55" s="2940" customFormat="1" ht="15" thickTop="1">
      <c r="A6" s="2932" t="s">
        <v>2722</v>
      </c>
      <c r="B6" s="2933" t="str">
        <f>'预评函-1'!A4</f>
        <v>受贵公司委托，我公司对江苏省常州市湖塘镇武宜路西侧出让国有建设用地使用权市场价格进行了预评估。</v>
      </c>
      <c r="AM6" s="2941"/>
    </row>
    <row r="7" spans="1:55" s="2915" customFormat="1">
      <c r="A7" s="2916" t="s">
        <v>2674</v>
      </c>
      <c r="B7" s="2917" t="str">
        <f>'预评函-1'!A6</f>
        <v>估价对象为常州绿城置业有限公司使用的、位于江苏省常州市湖塘镇武宜路西侧出让国有建设用地使用权。根据，估价对象（分摊）出让国有建设用地使用权面积为100574平方米。根据出让合同、规划指标，估价对象规划建筑面积为289959.03平方米。</v>
      </c>
    </row>
    <row r="8" spans="1:55" s="2915" customFormat="1">
      <c r="A8" s="2916" t="s">
        <v>2675</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2725</v>
      </c>
      <c r="B9" s="2917"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15" customFormat="1">
      <c r="A10" s="2916" t="s">
        <v>2676</v>
      </c>
      <c r="B10" s="2917" t="str">
        <f>'预评函-1'!A11</f>
        <v>2017年7月5日（评估专业人员勘察现场之日）</v>
      </c>
    </row>
    <row r="11" spans="1:55" s="2915" customFormat="1">
      <c r="A11" s="2916" t="s">
        <v>2682</v>
      </c>
      <c r="B11" s="2917" t="str">
        <f>'预评函-1'!A14</f>
        <v>根据，本次评估估价对象证载（地类）用途为。</v>
      </c>
    </row>
    <row r="12" spans="1:55" s="2915" customFormat="1">
      <c r="A12" s="2916" t="s">
        <v>2683</v>
      </c>
      <c r="B12" s="2917" t="str">
        <f>'预评函-1'!A15</f>
        <v>本次评估设定用途即为证载用途。</v>
      </c>
    </row>
    <row r="13" spans="1:55" s="2915" customFormat="1">
      <c r="A13" s="2916" t="s">
        <v>2684</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2685</v>
      </c>
      <c r="B14" s="2917" t="str">
        <f>'预评函-1'!A18</f>
        <v>。本次评估设定土地开发程度为红线外市政基础设施达“七通”、宗地红线内场地平整。</v>
      </c>
    </row>
    <row r="15" spans="1:55" s="2915" customFormat="1">
      <c r="A15" s="2916" t="s">
        <v>2681</v>
      </c>
      <c r="B15" s="2917" t="str">
        <f>'预评函-1'!A20</f>
        <v>根据，估价对象（分摊）出让国有建设用地使用权面积为100574平方米。根据出让合同、规划指标，估价对象规划建筑面积为289959.03平方米。</v>
      </c>
    </row>
    <row r="16" spans="1:55" s="2915" customFormat="1">
      <c r="A16" s="2916" t="s">
        <v>2686</v>
      </c>
      <c r="B16" s="2917" t="str">
        <f>'预评函-1'!A22</f>
        <v>本次估价对象为出让国有建设用地使用权，依据、，土地终止日期为住宅2081年8月10日、商业2051年8月10日。截至估价期日，出让国有建设用地使用权剩余土地使用年限为。</v>
      </c>
    </row>
    <row r="17" spans="1:48" s="2915" customFormat="1">
      <c r="A17" s="2916" t="s">
        <v>2687</v>
      </c>
      <c r="B17" s="2917" t="str">
        <f>'预评函-1'!A23</f>
        <v>本次评估设定估价对象剩余土地使用年限为。</v>
      </c>
    </row>
    <row r="18" spans="1:48" s="2915" customFormat="1">
      <c r="A18" s="2916" t="s">
        <v>2688</v>
      </c>
      <c r="B18" s="2917" t="str">
        <f>'预评函-1'!A25</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19" spans="1:48" s="2915" customFormat="1">
      <c r="A19" s="2916" t="s">
        <v>2689</v>
      </c>
      <c r="B19" s="29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5" customFormat="1">
      <c r="A20" s="2916" t="s">
        <v>2690</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2691</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2692</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2693</v>
      </c>
      <c r="B23" s="2917" t="str">
        <f>'预评函-2'!K2</f>
        <v>估价期日：2017年7月5日</v>
      </c>
    </row>
    <row r="24" spans="1:48">
      <c r="A24" s="2916" t="s">
        <v>2694</v>
      </c>
      <c r="B24" s="2917" t="str">
        <f>'预评函-2'!R2</f>
        <v>估价期日的国有建设用地使用权性质：出让</v>
      </c>
    </row>
    <row r="25" spans="1:48">
      <c r="A25" s="2916" t="s">
        <v>2750</v>
      </c>
      <c r="B25" s="2917" t="str">
        <f>'预评函-2'!A3</f>
        <v>估价期日土地使用者</v>
      </c>
    </row>
    <row r="26" spans="1:48">
      <c r="A26" s="2916" t="s">
        <v>2726</v>
      </c>
      <c r="B26" s="2917" t="str">
        <f>'预评函-2'!A5</f>
        <v>中信开发</v>
      </c>
    </row>
    <row r="27" spans="1:48">
      <c r="A27" s="2916" t="s">
        <v>2751</v>
      </c>
      <c r="B27" s="2917" t="str">
        <f>'预评函-2'!B3</f>
        <v>宗地编号/不动产单元号</v>
      </c>
    </row>
    <row r="28" spans="1:48">
      <c r="A28" s="2916" t="s">
        <v>2727</v>
      </c>
      <c r="B28" s="2917" t="str">
        <f>'预评函-2'!B5</f>
        <v>11111111111</v>
      </c>
    </row>
    <row r="29" spans="1:48">
      <c r="A29" s="2916" t="s">
        <v>2753</v>
      </c>
      <c r="B29" s="2917">
        <f>'预评函-2'!C5</f>
        <v>22</v>
      </c>
    </row>
    <row r="30" spans="1:48">
      <c r="A30" s="2916" t="s">
        <v>2754</v>
      </c>
      <c r="B30" s="2917" t="str">
        <f>'预评函-2'!D3</f>
        <v>土地使用证编号/不动产权证书编号</v>
      </c>
    </row>
    <row r="31" spans="1:48">
      <c r="A31" s="2916" t="s">
        <v>2728</v>
      </c>
      <c r="B31" s="2917" t="str">
        <f>'预评函-2'!D5</f>
        <v>京国土字第111号</v>
      </c>
    </row>
    <row r="32" spans="1:48">
      <c r="A32" s="2916" t="s">
        <v>2729</v>
      </c>
      <c r="B32" s="2917">
        <f>'预评函-2'!E5</f>
        <v>0</v>
      </c>
      <c r="AV32" s="2921"/>
    </row>
    <row r="33" spans="1:2">
      <c r="A33" s="2916" t="s">
        <v>2730</v>
      </c>
      <c r="B33" s="2917">
        <f>'预评函-2'!F5</f>
        <v>258</v>
      </c>
    </row>
    <row r="34" spans="1:2">
      <c r="A34" s="2916" t="s">
        <v>2731</v>
      </c>
      <c r="B34" s="2917">
        <f>'预评函-2'!G5</f>
        <v>0</v>
      </c>
    </row>
    <row r="35" spans="1:2">
      <c r="A35" s="2916" t="s">
        <v>2732</v>
      </c>
      <c r="B35" s="2917">
        <f>'预评函-2'!H5</f>
        <v>1.5</v>
      </c>
    </row>
    <row r="36" spans="1:2">
      <c r="A36" s="2916" t="s">
        <v>2733</v>
      </c>
      <c r="B36" s="2917">
        <f>'预评函-2'!I5</f>
        <v>1.5</v>
      </c>
    </row>
    <row r="37" spans="1:2">
      <c r="A37" s="2916" t="s">
        <v>2734</v>
      </c>
      <c r="B37" s="2917">
        <f>'预评函-2'!J5</f>
        <v>1.5</v>
      </c>
    </row>
    <row r="38" spans="1:2">
      <c r="A38" s="2916" t="s">
        <v>2735</v>
      </c>
      <c r="B38" s="2917" t="str">
        <f>'预评函-2'!K5</f>
        <v>红线外七通、宗地红线内</v>
      </c>
    </row>
    <row r="39" spans="1:2">
      <c r="A39" s="2916" t="s">
        <v>2736</v>
      </c>
      <c r="B39" s="2917" t="str">
        <f>'预评函-2'!L5</f>
        <v>红线外七通、宗地红线内场地</v>
      </c>
    </row>
    <row r="40" spans="1:2">
      <c r="A40" s="2916" t="s">
        <v>2755</v>
      </c>
      <c r="B40" s="2917" t="str">
        <f>'预评函-2'!M3</f>
        <v>（剩余）土地使用年限/年</v>
      </c>
    </row>
    <row r="41" spans="1:2">
      <c r="A41" s="2916" t="s">
        <v>2737</v>
      </c>
      <c r="B41" s="2917">
        <f>'预评函-2'!M5</f>
        <v>0</v>
      </c>
    </row>
    <row r="42" spans="1:2">
      <c r="A42" s="2916" t="s">
        <v>2756</v>
      </c>
      <c r="B42" s="2917" t="str">
        <f>'预评函-2'!N3</f>
        <v>（分摊）出让国有建设用地使用权面积/㎡</v>
      </c>
    </row>
    <row r="43" spans="1:2">
      <c r="A43" s="2916" t="s">
        <v>2738</v>
      </c>
      <c r="B43" s="2917">
        <f>'预评函-2'!N5</f>
        <v>100574</v>
      </c>
    </row>
    <row r="44" spans="1:2">
      <c r="A44" s="2916" t="s">
        <v>2757</v>
      </c>
      <c r="B44" s="2917" t="str">
        <f>'预评函-2'!O3</f>
        <v>规划建筑面积/㎡</v>
      </c>
    </row>
    <row r="45" spans="1:2">
      <c r="A45" s="2916" t="s">
        <v>2739</v>
      </c>
      <c r="B45" s="2917">
        <f>'预评函-2'!O5</f>
        <v>289959.02999999997</v>
      </c>
    </row>
    <row r="46" spans="1:2">
      <c r="A46" s="2916" t="s">
        <v>2740</v>
      </c>
      <c r="B46" s="2917">
        <f ca="1">'预评函-2'!P5</f>
        <v>11946</v>
      </c>
    </row>
    <row r="47" spans="1:2">
      <c r="A47" s="2916" t="s">
        <v>2741</v>
      </c>
      <c r="B47" s="2917">
        <f ca="1">'预评函-2'!Q5</f>
        <v>4144</v>
      </c>
    </row>
    <row r="48" spans="1:2">
      <c r="A48" s="2916" t="s">
        <v>2742</v>
      </c>
      <c r="B48" s="2917">
        <f ca="1">'预评函-2'!R5</f>
        <v>120147</v>
      </c>
    </row>
    <row r="49" spans="1:2">
      <c r="A49" s="2916" t="s">
        <v>2758</v>
      </c>
      <c r="B49" s="2917" t="str">
        <f>'预评函-2'!A6</f>
        <v>抵押价格</v>
      </c>
    </row>
    <row r="50" spans="1:2">
      <c r="A50" s="2916" t="s">
        <v>2743</v>
      </c>
      <c r="B50" s="2917" t="str">
        <f>'预评函-2'!R6</f>
        <v>——</v>
      </c>
    </row>
    <row r="51" spans="1:2">
      <c r="A51" s="2916" t="s">
        <v>2759</v>
      </c>
      <c r="B51" s="2917" t="str">
        <f>'预评函-2'!A7</f>
        <v>——</v>
      </c>
    </row>
    <row r="52" spans="1:2">
      <c r="A52" s="2916" t="s">
        <v>2744</v>
      </c>
      <c r="B52" s="2917" t="str">
        <f>'预评函-2'!R7</f>
        <v>——</v>
      </c>
    </row>
    <row r="53" spans="1:2">
      <c r="A53" s="2916" t="s">
        <v>2760</v>
      </c>
      <c r="B53" s="2917">
        <f>'预评函-2'!A8</f>
        <v>0</v>
      </c>
    </row>
    <row r="54" spans="1:2" s="2931" customFormat="1" ht="15" thickBot="1">
      <c r="A54" s="2938" t="s">
        <v>2745</v>
      </c>
      <c r="B54" s="2939" t="str">
        <f>'预评函-2'!R8</f>
        <v>——</v>
      </c>
    </row>
    <row r="55" spans="1:2" ht="15" thickTop="1">
      <c r="A55" s="2927" t="s">
        <v>2695</v>
      </c>
      <c r="B55" s="2928" t="str">
        <f>'预评函-3'!A2</f>
        <v>1.权利限制：根据估价对象《不动产权证书》原件、《国有土地使用权》复印件，截至估价期日，估价对象抵押权未见登记。未设定租赁等其他他项权利。</v>
      </c>
    </row>
    <row r="56" spans="1:2">
      <c r="A56" s="2916" t="s">
        <v>2696</v>
      </c>
      <c r="B56" s="2917" t="str">
        <f>'预评函-3'!A3</f>
        <v>2.基础设施条件：估价对象实际开发程度为红线外七通、宗地红线内；本次评估设定开发程度为红线外七通、宗地红线内场地。</v>
      </c>
    </row>
    <row r="57" spans="1:2">
      <c r="A57" s="2916" t="s">
        <v>2697</v>
      </c>
      <c r="B57" s="2917" t="str">
        <f>'预评函-3'!A4</f>
        <v>3.估价规划限制条件：详见出让合同、规划指标。</v>
      </c>
    </row>
    <row r="58" spans="1:2" s="2931" customFormat="1" ht="15" thickBot="1">
      <c r="A58" s="2938" t="s">
        <v>2746</v>
      </c>
      <c r="B58" s="2939" t="str">
        <f>'预评函-3'!A5</f>
        <v>4.影响价格的其他限定条件：无。</v>
      </c>
    </row>
    <row r="59" spans="1:2" ht="15" thickTop="1">
      <c r="A59" s="2927" t="s">
        <v>2698</v>
      </c>
      <c r="B59" s="2928" t="str">
        <f>'预评函-3'!A8</f>
        <v>2.本《评估意见函》仅供金融机构进行内部审核使用，不做其他目的之用。</v>
      </c>
    </row>
    <row r="60" spans="1:2">
      <c r="A60" s="2916" t="s">
        <v>2699</v>
      </c>
      <c r="B60" s="2917" t="str">
        <f>'预评函-3'!A9</f>
        <v>3.抵押双方在办理抵押登记手续时，应使用本公司出具的正式《土地估价报告》，特提请报告使用者注意。</v>
      </c>
    </row>
    <row r="61" spans="1:2">
      <c r="A61" s="2916" t="s">
        <v>2701</v>
      </c>
      <c r="B61" s="2917" t="str">
        <f>'预评函-3'!A10</f>
        <v>4.估价师所知悉的法定优先受偿款情况为：</v>
      </c>
    </row>
    <row r="62" spans="1:2">
      <c r="A62" s="2916" t="s">
        <v>2700</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2702</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2703</v>
      </c>
      <c r="B64" s="2922" t="str">
        <f>'预评函-3'!A13</f>
        <v>（3）。</v>
      </c>
    </row>
    <row r="65" spans="1:2">
      <c r="A65" s="2916" t="s">
        <v>2704</v>
      </c>
      <c r="B65" s="2923" t="str">
        <f>'预评函-3'!A14</f>
        <v>综上，本次评估不存在估价师知悉的法定优先受偿款</v>
      </c>
    </row>
    <row r="66" spans="1:2">
      <c r="A66" s="2916" t="s">
        <v>2705</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2706</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2709</v>
      </c>
      <c r="B68" s="2942">
        <f>'预评函-3'!D30</f>
        <v>42558</v>
      </c>
    </row>
    <row r="69" spans="1:2" ht="15" thickTop="1">
      <c r="A69" s="2927" t="s">
        <v>2707</v>
      </c>
      <c r="B69" s="2928" t="str">
        <f>'预评函-3'!A20</f>
        <v>梁津</v>
      </c>
    </row>
    <row r="70" spans="1:2">
      <c r="A70" s="2916" t="s">
        <v>2707</v>
      </c>
      <c r="B70" s="2923">
        <f ca="1">'预评函-3'!B20</f>
        <v>96010014</v>
      </c>
    </row>
    <row r="71" spans="1:2">
      <c r="A71" s="2916" t="s">
        <v>2708</v>
      </c>
      <c r="B71" s="2917" t="str">
        <f>'预评函-3'!A21</f>
        <v>王鹏</v>
      </c>
    </row>
    <row r="72" spans="1:2" s="2931" customFormat="1" ht="15" thickBot="1">
      <c r="A72" s="2938" t="s">
        <v>2708</v>
      </c>
      <c r="B72" s="2944">
        <f ca="1">'预评函-3'!B21</f>
        <v>2002110030</v>
      </c>
    </row>
    <row r="73" spans="1:2" ht="15" thickTop="1">
      <c r="A73" s="2927" t="s">
        <v>2767</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2768</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2769</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2804</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5" sqref="F25"/>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04" t="str">
        <f>IF(B10="北京市","北京市",C10)&amp;F10&amp;B16&amp;"国有建设用地使用权"&amp;B9&amp;"预评估"</f>
        <v>江苏省常州市湖塘镇武宜路西侧出让国有建设用地使用权市场价格预评估</v>
      </c>
      <c r="C1" s="3205"/>
      <c r="D1" s="3205"/>
      <c r="E1" s="3205"/>
      <c r="F1" s="3205"/>
      <c r="G1" s="3205"/>
      <c r="H1" s="3205"/>
      <c r="I1" s="3206"/>
      <c r="J1" s="1698"/>
      <c r="K1" s="2489" t="str">
        <f>IF(B10="北京市","北京市",C10)&amp;F10&amp;B16&amp;"国有建设用地使用权"&amp;B9</f>
        <v>江苏省常州市湖塘镇武宜路西侧出让国有建设用地使用权市场价格</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江苏省常州市湖塘镇武宜路西侧出让国有建设用地使用权</v>
      </c>
      <c r="L2" s="1727"/>
      <c r="M2" s="1727"/>
      <c r="N2" s="1698"/>
      <c r="O2" s="1699"/>
      <c r="P2" s="1698"/>
      <c r="Q2" s="1698"/>
      <c r="R2" s="1698"/>
      <c r="S2" s="1698"/>
      <c r="T2" s="1698"/>
      <c r="U2" s="1698"/>
    </row>
    <row r="3" spans="1:21">
      <c r="A3" s="1665" t="s">
        <v>1949</v>
      </c>
      <c r="B3" s="1666">
        <v>42921</v>
      </c>
      <c r="C3" s="1667" t="s">
        <v>2005</v>
      </c>
      <c r="D3" s="1666">
        <v>42921</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2960</v>
      </c>
      <c r="C4" s="1850">
        <f ca="1">SUMIF(土地估价师,B4,估价师及机构信息!E3:E24)</f>
        <v>96010014</v>
      </c>
      <c r="D4" s="1847" t="s">
        <v>2961</v>
      </c>
      <c r="E4" s="1850">
        <f ca="1">SUMIF(土地估价师,D4,估价师及机构信息!E3:E24)</f>
        <v>2002110030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梁津、王鹏</v>
      </c>
      <c r="L4" s="1727"/>
      <c r="M4" s="1727"/>
      <c r="N4" s="1698"/>
      <c r="O4" s="1699"/>
      <c r="P4" s="1698"/>
      <c r="Q4" s="1698"/>
      <c r="R4" s="1698"/>
      <c r="S4" s="1698"/>
      <c r="T4" s="1698"/>
      <c r="U4" s="1698"/>
    </row>
    <row r="5" spans="1:21" ht="15" thickTop="1">
      <c r="A5" s="1669" t="s">
        <v>1951</v>
      </c>
      <c r="B5" s="1793" t="s">
        <v>2963</v>
      </c>
      <c r="C5" s="1670"/>
      <c r="D5" s="1671"/>
      <c r="E5" s="1698"/>
      <c r="F5" s="1698"/>
      <c r="G5" s="1698"/>
      <c r="H5" s="1664"/>
      <c r="I5" s="1699"/>
      <c r="J5" s="1698"/>
      <c r="K5" s="1778"/>
      <c r="L5" s="1727"/>
      <c r="M5" s="1727"/>
      <c r="N5" s="1698"/>
      <c r="O5" s="1699"/>
      <c r="P5" s="1698"/>
      <c r="Q5" s="1698"/>
      <c r="R5" s="1698"/>
      <c r="S5" s="1698"/>
      <c r="T5" s="1698"/>
      <c r="U5" s="1698"/>
    </row>
    <row r="6" spans="1:21" ht="26.25">
      <c r="A6" s="1667" t="s">
        <v>2723</v>
      </c>
      <c r="B6" s="1793" t="s">
        <v>2962</v>
      </c>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2724</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2964</v>
      </c>
      <c r="C8" s="1675"/>
      <c r="D8" s="3210" t="s">
        <v>1954</v>
      </c>
      <c r="E8" s="1848"/>
      <c r="F8" s="1676"/>
      <c r="G8" s="1664"/>
      <c r="H8" s="1664"/>
      <c r="I8" s="1711"/>
      <c r="J8" s="1698"/>
      <c r="K8" s="1778"/>
      <c r="L8" s="1727"/>
      <c r="M8" s="1727"/>
      <c r="N8" s="1698"/>
      <c r="O8" s="1699"/>
      <c r="P8" s="1698"/>
      <c r="Q8" s="1698"/>
      <c r="R8" s="1698"/>
      <c r="S8" s="1698"/>
      <c r="T8" s="1698"/>
      <c r="U8" s="1698"/>
    </row>
    <row r="9" spans="1:21" ht="15" thickBot="1">
      <c r="A9" s="1677" t="s">
        <v>1953</v>
      </c>
      <c r="B9" s="1678" t="s">
        <v>2965</v>
      </c>
      <c r="C9" s="1679"/>
      <c r="D9" s="3211"/>
      <c r="E9" s="1678"/>
      <c r="F9" s="1751"/>
      <c r="G9" s="1746"/>
      <c r="H9" s="1746"/>
      <c r="I9" s="1747"/>
      <c r="J9" s="1698"/>
      <c r="K9" s="1778"/>
      <c r="L9" s="1727"/>
      <c r="M9" s="1727"/>
      <c r="N9" s="1698"/>
      <c r="O9" s="1699"/>
      <c r="P9" s="1698"/>
      <c r="Q9" s="1698"/>
      <c r="R9" s="1698"/>
      <c r="S9" s="1698"/>
      <c r="T9" s="1698"/>
      <c r="U9" s="1698"/>
    </row>
    <row r="10" spans="1:21" ht="15" thickTop="1">
      <c r="A10" s="1748" t="s">
        <v>2009</v>
      </c>
      <c r="B10" s="1723" t="s">
        <v>2966</v>
      </c>
      <c r="C10" s="1680" t="s">
        <v>2967</v>
      </c>
      <c r="D10" s="1671"/>
      <c r="E10" s="1681" t="s">
        <v>1956</v>
      </c>
      <c r="F10" s="1682" t="s">
        <v>2971</v>
      </c>
      <c r="G10" s="1749"/>
      <c r="H10" s="1750"/>
      <c r="I10" s="1671"/>
      <c r="J10" s="1698"/>
      <c r="K10" s="1778"/>
      <c r="L10" s="1727"/>
      <c r="M10" s="1727"/>
      <c r="N10" s="1698"/>
      <c r="O10" s="1699"/>
      <c r="P10" s="1698"/>
      <c r="Q10" s="1698"/>
      <c r="R10" s="1698"/>
      <c r="S10" s="1698"/>
      <c r="T10" s="1698"/>
      <c r="U10" s="1698"/>
    </row>
    <row r="11" spans="1:21" ht="28.5">
      <c r="A11" s="1701" t="s">
        <v>2010</v>
      </c>
      <c r="B11" s="1702" t="s">
        <v>2968</v>
      </c>
      <c r="C11" s="1683" t="s">
        <v>2963</v>
      </c>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07"/>
      <c r="C12" s="3208"/>
      <c r="D12" s="3209"/>
      <c r="E12" s="1703" t="s">
        <v>2071</v>
      </c>
      <c r="F12" s="3225"/>
      <c r="G12" s="3226"/>
      <c r="H12" s="3226"/>
      <c r="I12" s="3227"/>
      <c r="J12" s="1698"/>
      <c r="K12" s="1778"/>
      <c r="L12" s="1727"/>
      <c r="M12" s="1727"/>
      <c r="N12" s="1698"/>
      <c r="O12" s="1699"/>
      <c r="P12" s="1698"/>
      <c r="Q12" s="1698"/>
      <c r="R12" s="1698"/>
      <c r="S12" s="1698"/>
      <c r="T12" s="1698"/>
      <c r="U12" s="1698"/>
    </row>
    <row r="13" spans="1:21">
      <c r="A13" s="1691" t="s">
        <v>2069</v>
      </c>
      <c r="B13" s="3207"/>
      <c r="C13" s="3208"/>
      <c r="D13" s="3209"/>
      <c r="E13" s="1703" t="s">
        <v>2071</v>
      </c>
      <c r="F13" s="3225"/>
      <c r="G13" s="3226"/>
      <c r="H13" s="3226"/>
      <c r="I13" s="3227"/>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28.5">
      <c r="A16" s="1684" t="s">
        <v>1957</v>
      </c>
      <c r="B16" s="1685" t="s">
        <v>2970</v>
      </c>
      <c r="C16" s="1703" t="s">
        <v>1958</v>
      </c>
      <c r="D16" s="2681" t="s">
        <v>1959</v>
      </c>
      <c r="E16" s="1726" t="s">
        <v>2969</v>
      </c>
      <c r="F16" s="1726"/>
      <c r="G16" s="1726"/>
      <c r="H16" s="1726"/>
      <c r="I16" s="1690" t="s">
        <v>1964</v>
      </c>
      <c r="J16" s="1698"/>
      <c r="K16" s="2490" t="str">
        <f>IF(D17="","",D16&amp;TEXT(D17,"yyyy年m月d日;;"))</f>
        <v>住宅2081年8月10日</v>
      </c>
      <c r="L16" s="1703" t="str">
        <f>IF(OR(K16="",M16=""),"","、")</f>
        <v>、</v>
      </c>
      <c r="M16" s="2490" t="str">
        <f>IF(E17="","",E16&amp;TEXT(E17,"yyyy年m月d日;;"))</f>
        <v>商业2051年8月10日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1704">
        <v>66333</v>
      </c>
      <c r="E17" s="1704">
        <v>55375</v>
      </c>
      <c r="F17" s="1704"/>
      <c r="G17" s="1704"/>
      <c r="H17" s="1704"/>
      <c r="I17" s="1704"/>
      <c r="J17" s="1698"/>
      <c r="K17" s="2489" t="str">
        <f>CONCATENATE(K16,L16,M16,N16,O16,P16,Q16,R16,S16,T16,,U16)</f>
        <v>住宅2081年8月10日、商业2051年8月10日</v>
      </c>
      <c r="L17" s="1727"/>
      <c r="M17" s="1727"/>
      <c r="N17" s="1698"/>
      <c r="O17" s="1699"/>
      <c r="P17" s="1698"/>
      <c r="Q17" s="1698"/>
      <c r="R17" s="1698"/>
      <c r="S17" s="1698"/>
      <c r="T17" s="1698"/>
      <c r="U17" s="1698"/>
    </row>
    <row r="18" spans="1:21">
      <c r="A18" s="1767"/>
      <c r="B18" s="1686"/>
      <c r="C18" s="1687" t="s">
        <v>1966</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64.14</v>
      </c>
      <c r="E19" s="1689">
        <f>IF(B16="出让",IF(E17="","",ROUNDDOWN(MIN((E17-$D$3)/365,E18),2)),E18)</f>
        <v>34.119999999999997</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22"/>
      <c r="E20" s="3223"/>
      <c r="F20" s="3223"/>
      <c r="G20" s="3223"/>
      <c r="H20" s="3223"/>
      <c r="I20" s="3224"/>
      <c r="J20" s="1698"/>
      <c r="K20" s="1778"/>
      <c r="L20" s="1727"/>
      <c r="M20" s="1727"/>
      <c r="N20" s="1698"/>
      <c r="O20" s="1699"/>
      <c r="P20" s="1698"/>
      <c r="Q20" s="1698"/>
      <c r="R20" s="1698"/>
      <c r="S20" s="1698"/>
      <c r="T20" s="1698"/>
      <c r="U20" s="1698"/>
    </row>
    <row r="21" spans="1:21">
      <c r="A21" s="1767" t="s">
        <v>1968</v>
      </c>
      <c r="B21" s="1768" t="s">
        <v>1969</v>
      </c>
      <c r="C21" s="1763">
        <f>'数据-汇总表'!E3</f>
        <v>289959.02999999997</v>
      </c>
      <c r="D21" s="1764" t="s">
        <v>1970</v>
      </c>
      <c r="E21" s="3212" t="s">
        <v>2972</v>
      </c>
      <c r="F21" s="3213"/>
      <c r="G21" s="3213"/>
      <c r="H21" s="3213"/>
      <c r="I21" s="3214"/>
      <c r="J21" s="1698"/>
      <c r="K21" s="1778"/>
      <c r="L21" s="1727"/>
      <c r="M21" s="1727"/>
      <c r="N21" s="1698"/>
      <c r="O21" s="1699"/>
      <c r="P21" s="1698"/>
      <c r="Q21" s="1698"/>
      <c r="R21" s="1698"/>
      <c r="S21" s="1698"/>
      <c r="T21" s="1698"/>
      <c r="U21" s="1698"/>
    </row>
    <row r="22" spans="1:21">
      <c r="A22" s="2672" t="s">
        <v>955</v>
      </c>
      <c r="B22" s="1665" t="s">
        <v>1971</v>
      </c>
      <c r="C22" s="1690">
        <f>'数据-汇总表'!D3</f>
        <v>100574</v>
      </c>
      <c r="D22" s="1691" t="s">
        <v>1970</v>
      </c>
      <c r="E22" s="3212"/>
      <c r="F22" s="3213"/>
      <c r="G22" s="3213"/>
      <c r="H22" s="3213"/>
      <c r="I22" s="3214"/>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15" t="s">
        <v>1976</v>
      </c>
      <c r="C24" s="3216"/>
      <c r="D24" s="3217" t="s">
        <v>1977</v>
      </c>
      <c r="E24" s="3218"/>
      <c r="F24" s="1712" t="s">
        <v>1978</v>
      </c>
      <c r="G24" s="1698"/>
      <c r="H24" s="1698"/>
      <c r="I24" s="1711"/>
      <c r="J24" s="1698"/>
      <c r="K24" s="3203"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2336</v>
      </c>
      <c r="C25" s="1713" t="s">
        <v>1980</v>
      </c>
      <c r="D25" s="1714"/>
      <c r="E25" s="1715" t="s">
        <v>955</v>
      </c>
      <c r="F25" s="1716"/>
      <c r="G25" s="1698"/>
      <c r="H25" s="1698"/>
      <c r="I25" s="1711"/>
      <c r="J25" s="1698"/>
      <c r="K25" s="3203"/>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2337</v>
      </c>
      <c r="D26" s="1664"/>
      <c r="E26" s="1664"/>
      <c r="F26" s="1692"/>
      <c r="G26" s="1698"/>
      <c r="H26" s="1698"/>
      <c r="I26" s="1711"/>
      <c r="J26" s="1698"/>
      <c r="K26" s="3203"/>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189" t="s">
        <v>2011</v>
      </c>
      <c r="B31" s="1768" t="s">
        <v>2012</v>
      </c>
      <c r="C31" s="3228"/>
      <c r="D31" s="3229"/>
      <c r="E31" s="1698"/>
      <c r="F31" s="1698"/>
      <c r="G31" s="1698"/>
      <c r="H31" s="1698"/>
      <c r="I31" s="1711"/>
      <c r="J31" s="1698"/>
      <c r="K31" s="2492"/>
      <c r="L31" s="1698"/>
      <c r="M31" s="1698"/>
      <c r="N31" s="1698"/>
      <c r="O31" s="1698"/>
      <c r="P31" s="1698"/>
      <c r="Q31" s="1698"/>
      <c r="R31" s="1698"/>
      <c r="S31" s="1698"/>
      <c r="T31" s="1698"/>
      <c r="U31" s="1698"/>
    </row>
    <row r="32" spans="1:21">
      <c r="A32" s="3189"/>
      <c r="B32" s="1665"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189"/>
      <c r="B33" s="1665"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190"/>
      <c r="B34" s="1665" t="s">
        <v>2015</v>
      </c>
      <c r="C34" s="3191"/>
      <c r="D34" s="3192"/>
      <c r="E34" s="1698"/>
      <c r="F34" s="1698"/>
      <c r="G34" s="1698"/>
      <c r="H34" s="1698"/>
      <c r="I34" s="1711"/>
      <c r="J34" s="1698"/>
      <c r="K34" s="2492"/>
      <c r="L34" s="1698"/>
      <c r="M34" s="1698"/>
      <c r="N34" s="1698"/>
      <c r="O34" s="1698"/>
      <c r="P34" s="1698"/>
      <c r="Q34" s="1698"/>
      <c r="R34" s="1698"/>
      <c r="S34" s="1698"/>
      <c r="T34" s="1698"/>
      <c r="U34" s="1698"/>
    </row>
    <row r="35" spans="1:21">
      <c r="A35" s="3193" t="s">
        <v>850</v>
      </c>
      <c r="B35" s="1726"/>
      <c r="C35" s="1780" t="str">
        <f>IF(B35="场地平整","——","具体情况：")</f>
        <v>具体情况：</v>
      </c>
      <c r="D35" s="3195"/>
      <c r="E35" s="3196"/>
      <c r="F35" s="3196"/>
      <c r="G35" s="3196"/>
      <c r="H35" s="3196"/>
      <c r="I35" s="3197"/>
      <c r="J35" s="1698"/>
      <c r="K35" s="1779"/>
      <c r="L35" s="1727"/>
      <c r="M35" s="1727"/>
      <c r="N35" s="1698"/>
      <c r="O35" s="1699"/>
      <c r="P35" s="1698"/>
      <c r="Q35" s="1698"/>
      <c r="R35" s="1698"/>
      <c r="S35" s="1698"/>
      <c r="T35" s="1698"/>
      <c r="U35" s="1698"/>
    </row>
    <row r="36" spans="1:21">
      <c r="A36" s="3189"/>
      <c r="B36" s="3198" t="s">
        <v>2064</v>
      </c>
      <c r="C36" s="3199"/>
      <c r="D36" s="1796"/>
      <c r="E36" s="3200"/>
      <c r="F36" s="3200"/>
      <c r="G36" s="1691" t="str">
        <f>IF(B35="场地未平整","估价结果处理","")</f>
        <v/>
      </c>
      <c r="H36" s="3201"/>
      <c r="I36" s="3201"/>
      <c r="J36" s="1698"/>
      <c r="K36" s="1779"/>
      <c r="L36" s="1727"/>
      <c r="M36" s="1727"/>
      <c r="N36" s="1698"/>
      <c r="O36" s="1699"/>
      <c r="P36" s="1698"/>
      <c r="Q36" s="1698"/>
      <c r="R36" s="1698"/>
      <c r="S36" s="1698"/>
      <c r="T36" s="1698"/>
      <c r="U36" s="1698"/>
    </row>
    <row r="37" spans="1:21" ht="28.5">
      <c r="A37" s="3189"/>
      <c r="B37" s="3219"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89"/>
      <c r="B38" s="3220"/>
      <c r="C38" s="1673" t="s">
        <v>853</v>
      </c>
      <c r="D38" s="1795">
        <f>ROUNDDOWN(MIN(('数据-取费表'!$B$2-D37)/365,D34),1)</f>
        <v>117.5</v>
      </c>
      <c r="E38" s="1731" t="s">
        <v>854</v>
      </c>
      <c r="F38" s="1698"/>
      <c r="G38" s="1698"/>
      <c r="H38" s="1698"/>
      <c r="I38" s="1711"/>
      <c r="J38" s="1698"/>
      <c r="K38" s="1779"/>
      <c r="L38" s="1698"/>
      <c r="M38" s="1698"/>
      <c r="N38" s="1698"/>
      <c r="O38" s="1698"/>
      <c r="P38" s="1698"/>
      <c r="Q38" s="1698"/>
      <c r="R38" s="1698"/>
      <c r="S38" s="1698"/>
      <c r="T38" s="1698"/>
      <c r="U38" s="1698"/>
    </row>
    <row r="39" spans="1:21">
      <c r="A39" s="3190"/>
      <c r="B39" s="3221"/>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202" t="s">
        <v>1995</v>
      </c>
      <c r="T40" s="1735" t="str">
        <f>NUMBERSTRING(7-K40,1)&amp;"通"</f>
        <v>七通</v>
      </c>
      <c r="U40" s="1698"/>
    </row>
    <row r="41" spans="1:21" ht="28.5">
      <c r="A41" s="1667"/>
      <c r="B41" s="3194" t="s">
        <v>1725</v>
      </c>
      <c r="C41" s="3194"/>
      <c r="D41" s="3194"/>
      <c r="E41" s="3194"/>
      <c r="F41" s="1736" t="str">
        <f>C10</f>
        <v>江苏省常州市</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2"/>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588" sqref="H58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2344</v>
      </c>
      <c r="BA2" s="2370" t="s">
        <v>2343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100574</v>
      </c>
      <c r="B3" s="22">
        <f>IF(C3="否",G5-AT5,G5)</f>
        <v>289959.02999999997</v>
      </c>
      <c r="C3" s="23" t="s">
        <v>2978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315237.17</v>
      </c>
      <c r="H5" s="27">
        <f t="shared" ref="H5:AT5" si="0">SUM(H13:H641)</f>
        <v>226459.38999999998</v>
      </c>
      <c r="I5" s="27">
        <f t="shared" si="0"/>
        <v>184249</v>
      </c>
      <c r="J5" s="27">
        <f t="shared" si="0"/>
        <v>0</v>
      </c>
      <c r="K5" s="27">
        <f t="shared" si="0"/>
        <v>30950</v>
      </c>
      <c r="L5" s="27">
        <f t="shared" si="0"/>
        <v>0</v>
      </c>
      <c r="M5" s="27">
        <f t="shared" si="0"/>
        <v>1309.3</v>
      </c>
      <c r="N5" s="27">
        <f t="shared" si="0"/>
        <v>0</v>
      </c>
      <c r="O5" s="27">
        <f t="shared" si="0"/>
        <v>9951.09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63499.64</v>
      </c>
      <c r="AD5" s="27">
        <f t="shared" si="0"/>
        <v>3302.25</v>
      </c>
      <c r="AE5" s="27">
        <f t="shared" si="0"/>
        <v>0</v>
      </c>
      <c r="AF5" s="27">
        <f t="shared" si="0"/>
        <v>0</v>
      </c>
      <c r="AG5" s="27">
        <f t="shared" si="0"/>
        <v>0</v>
      </c>
      <c r="AH5" s="27">
        <f t="shared" si="0"/>
        <v>2206.66</v>
      </c>
      <c r="AI5" s="27">
        <f t="shared" si="0"/>
        <v>0</v>
      </c>
      <c r="AJ5" s="27">
        <f t="shared" si="0"/>
        <v>0</v>
      </c>
      <c r="AK5" s="27">
        <f t="shared" si="0"/>
        <v>0</v>
      </c>
      <c r="AL5" s="27">
        <f t="shared" si="0"/>
        <v>0</v>
      </c>
      <c r="AM5" s="27">
        <f t="shared" si="0"/>
        <v>0</v>
      </c>
      <c r="AN5" s="27">
        <f t="shared" si="0"/>
        <v>57990.73</v>
      </c>
      <c r="AO5" s="27">
        <f t="shared" si="0"/>
        <v>0</v>
      </c>
      <c r="AP5" s="27">
        <f t="shared" si="0"/>
        <v>0</v>
      </c>
      <c r="AQ5" s="27">
        <f t="shared" si="0"/>
        <v>0</v>
      </c>
      <c r="AR5" s="27">
        <f t="shared" si="0"/>
        <v>0</v>
      </c>
      <c r="AS5" s="27">
        <f t="shared" si="0"/>
        <v>0</v>
      </c>
      <c r="AT5" s="27">
        <f t="shared" si="0"/>
        <v>25278.14</v>
      </c>
      <c r="AU5" s="991"/>
      <c r="AV5" s="26" t="s">
        <v>168</v>
      </c>
      <c r="AW5" s="992"/>
      <c r="AX5" s="992"/>
      <c r="AY5" s="28" t="s">
        <v>3</v>
      </c>
      <c r="AZ5" s="29">
        <f t="shared" ref="AZ5:BT5" si="1">SUM(AZ13:AZ641)</f>
        <v>289959.02999999997</v>
      </c>
      <c r="BA5" s="29">
        <f t="shared" si="1"/>
        <v>226459.38999999998</v>
      </c>
      <c r="BB5" s="29">
        <f t="shared" si="1"/>
        <v>184249</v>
      </c>
      <c r="BC5" s="29">
        <f t="shared" si="1"/>
        <v>30950</v>
      </c>
      <c r="BD5" s="29">
        <f t="shared" si="1"/>
        <v>1309.3</v>
      </c>
      <c r="BE5" s="29">
        <f t="shared" si="1"/>
        <v>9951.09</v>
      </c>
      <c r="BF5" s="29">
        <f t="shared" si="1"/>
        <v>0</v>
      </c>
      <c r="BG5" s="29">
        <f t="shared" si="1"/>
        <v>0</v>
      </c>
      <c r="BH5" s="29">
        <f t="shared" si="1"/>
        <v>0</v>
      </c>
      <c r="BI5" s="29">
        <f t="shared" si="1"/>
        <v>0</v>
      </c>
      <c r="BJ5" s="29">
        <f t="shared" si="1"/>
        <v>0</v>
      </c>
      <c r="BK5" s="29">
        <f t="shared" si="1"/>
        <v>0</v>
      </c>
      <c r="BL5" s="29">
        <f t="shared" si="1"/>
        <v>63499.64</v>
      </c>
      <c r="BM5" s="29">
        <f t="shared" si="1"/>
        <v>3302.25</v>
      </c>
      <c r="BN5" s="29">
        <f t="shared" si="1"/>
        <v>0</v>
      </c>
      <c r="BO5" s="29">
        <f t="shared" si="1"/>
        <v>2206.66</v>
      </c>
      <c r="BP5" s="29">
        <f t="shared" si="1"/>
        <v>0</v>
      </c>
      <c r="BQ5" s="29">
        <f t="shared" si="1"/>
        <v>0</v>
      </c>
      <c r="BR5" s="29">
        <f t="shared" si="1"/>
        <v>57990.73</v>
      </c>
      <c r="BS5" s="29">
        <f t="shared" si="1"/>
        <v>0</v>
      </c>
      <c r="BT5" s="30">
        <f t="shared" si="1"/>
        <v>0</v>
      </c>
    </row>
    <row r="6" spans="1:72" s="37" customFormat="1" ht="12.75">
      <c r="A6" s="26" t="s">
        <v>169</v>
      </c>
      <c r="B6" s="31"/>
      <c r="C6" s="31"/>
      <c r="D6" s="32"/>
      <c r="E6" s="27">
        <f>H6+AC6+AT6</f>
        <v>100573.98999999999</v>
      </c>
      <c r="F6" s="27" t="s">
        <v>1</v>
      </c>
      <c r="G6" s="27" t="s">
        <v>2</v>
      </c>
      <c r="H6" s="33">
        <f>SUMIF(I$12:AB$12,"总值",I6:AB6)</f>
        <v>78548.76999999999</v>
      </c>
      <c r="I6" s="27">
        <f t="shared" ref="I6:AB6" si="2">ROUND($A$3*I5/$B$3,2)</f>
        <v>63907.85</v>
      </c>
      <c r="J6" s="27">
        <f t="shared" si="2"/>
        <v>0</v>
      </c>
      <c r="K6" s="27">
        <f t="shared" si="2"/>
        <v>10735.19</v>
      </c>
      <c r="L6" s="27">
        <f t="shared" si="2"/>
        <v>0</v>
      </c>
      <c r="M6" s="27">
        <f t="shared" si="2"/>
        <v>454.14</v>
      </c>
      <c r="N6" s="27">
        <f t="shared" si="2"/>
        <v>0</v>
      </c>
      <c r="O6" s="27">
        <f t="shared" si="2"/>
        <v>3451.59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22025.22</v>
      </c>
      <c r="AD6" s="27">
        <f t="shared" ref="AD6:AS6" si="3">ROUND($A$3*AD5/$B$3,2)</f>
        <v>1145.4000000000001</v>
      </c>
      <c r="AE6" s="27">
        <f t="shared" si="3"/>
        <v>0</v>
      </c>
      <c r="AF6" s="27">
        <f t="shared" si="3"/>
        <v>0</v>
      </c>
      <c r="AG6" s="27">
        <f t="shared" si="3"/>
        <v>0</v>
      </c>
      <c r="AH6" s="27">
        <f t="shared" si="3"/>
        <v>765.39</v>
      </c>
      <c r="AI6" s="27">
        <f t="shared" si="3"/>
        <v>0</v>
      </c>
      <c r="AJ6" s="27">
        <f t="shared" si="3"/>
        <v>0</v>
      </c>
      <c r="AK6" s="27">
        <f t="shared" si="3"/>
        <v>0</v>
      </c>
      <c r="AL6" s="27">
        <f t="shared" si="3"/>
        <v>0</v>
      </c>
      <c r="AM6" s="27">
        <f t="shared" si="3"/>
        <v>0</v>
      </c>
      <c r="AN6" s="27">
        <f t="shared" si="3"/>
        <v>20114.43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100574</v>
      </c>
      <c r="AZ6" s="27" t="s">
        <v>3</v>
      </c>
      <c r="BA6" s="27">
        <f>ROUND($AY$6*BA5/$AZ$5,2)</f>
        <v>78548.78</v>
      </c>
      <c r="BB6" s="27">
        <f>ROUND($AY$6*BB5/$AZ$5,2)</f>
        <v>63907.85</v>
      </c>
      <c r="BC6" s="27">
        <f t="shared" ref="BC6:BH6" si="4">ROUND($AY$6*BC5/$AZ$5,2)</f>
        <v>10735.19</v>
      </c>
      <c r="BD6" s="27">
        <f t="shared" si="4"/>
        <v>454.14</v>
      </c>
      <c r="BE6" s="27">
        <f t="shared" si="4"/>
        <v>3451.59</v>
      </c>
      <c r="BF6" s="27">
        <f t="shared" si="4"/>
        <v>0</v>
      </c>
      <c r="BG6" s="27">
        <f t="shared" si="4"/>
        <v>0</v>
      </c>
      <c r="BH6" s="27">
        <f t="shared" si="4"/>
        <v>0</v>
      </c>
      <c r="BI6" s="27">
        <f t="shared" ref="BI6:BT6" si="5">ROUND($AY$6*BI5/$AZ$5,2)</f>
        <v>0</v>
      </c>
      <c r="BJ6" s="27">
        <f t="shared" si="5"/>
        <v>0</v>
      </c>
      <c r="BK6" s="27">
        <f t="shared" si="5"/>
        <v>0</v>
      </c>
      <c r="BL6" s="27">
        <f t="shared" si="5"/>
        <v>22025.22</v>
      </c>
      <c r="BM6" s="27">
        <f t="shared" si="5"/>
        <v>1145.4000000000001</v>
      </c>
      <c r="BN6" s="27">
        <f t="shared" si="5"/>
        <v>0</v>
      </c>
      <c r="BO6" s="27">
        <f t="shared" si="5"/>
        <v>765.39</v>
      </c>
      <c r="BP6" s="27">
        <f t="shared" si="5"/>
        <v>0</v>
      </c>
      <c r="BQ6" s="27">
        <f t="shared" si="5"/>
        <v>0</v>
      </c>
      <c r="BR6" s="27">
        <f t="shared" si="5"/>
        <v>20114.43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2973</v>
      </c>
      <c r="J9" s="51"/>
      <c r="K9" s="3057" t="s">
        <v>2973</v>
      </c>
      <c r="L9" s="51"/>
      <c r="M9" s="3057" t="s">
        <v>2973</v>
      </c>
      <c r="N9" s="51"/>
      <c r="O9" s="59" t="s">
        <v>2973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t="s">
        <v>926</v>
      </c>
      <c r="L10" s="51"/>
      <c r="M10" s="3059" t="s">
        <v>926</v>
      </c>
      <c r="N10" s="51"/>
      <c r="O10" s="66" t="s">
        <v>2969</v>
      </c>
      <c r="P10" s="51"/>
      <c r="Q10" s="66"/>
      <c r="R10" s="51"/>
      <c r="S10" s="66"/>
      <c r="T10" s="51"/>
      <c r="U10" s="66"/>
      <c r="V10" s="51"/>
      <c r="W10" s="66"/>
      <c r="X10" s="51"/>
      <c r="Y10" s="66"/>
      <c r="Z10" s="51"/>
      <c r="AA10" s="66"/>
      <c r="AB10" s="51"/>
      <c r="AC10" s="55"/>
      <c r="AD10" s="2323" t="s">
        <v>2328</v>
      </c>
      <c r="AE10" s="2345"/>
      <c r="AF10" s="2323" t="s">
        <v>2328</v>
      </c>
      <c r="AG10" s="2345"/>
      <c r="AH10" s="2323" t="s">
        <v>2329</v>
      </c>
      <c r="AI10" s="2345"/>
      <c r="AJ10" s="26" t="s">
        <v>2342</v>
      </c>
      <c r="AK10" s="2342"/>
      <c r="AL10" s="2323" t="s">
        <v>2330</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2974</v>
      </c>
      <c r="J11" s="71"/>
      <c r="K11" s="3058" t="s">
        <v>2975</v>
      </c>
      <c r="L11" s="71"/>
      <c r="M11" s="70" t="s">
        <v>2976</v>
      </c>
      <c r="N11" s="71"/>
      <c r="O11" s="70" t="s">
        <v>2977</v>
      </c>
      <c r="P11" s="71"/>
      <c r="Q11" s="70"/>
      <c r="R11" s="71"/>
      <c r="S11" s="70"/>
      <c r="T11" s="71"/>
      <c r="U11" s="70"/>
      <c r="V11" s="71"/>
      <c r="W11" s="70"/>
      <c r="X11" s="71"/>
      <c r="Y11" s="70"/>
      <c r="Z11" s="71"/>
      <c r="AA11" s="70"/>
      <c r="AB11" s="71"/>
      <c r="AC11" s="55"/>
      <c r="AD11" s="2343" t="s">
        <v>2341</v>
      </c>
      <c r="AE11" s="1005"/>
      <c r="AF11" s="2343" t="s">
        <v>2341</v>
      </c>
      <c r="AG11" s="1005"/>
      <c r="AH11" s="2343" t="s">
        <v>2340</v>
      </c>
      <c r="AI11" s="2344"/>
      <c r="AJ11" s="2343" t="s">
        <v>2340</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洋房</v>
      </c>
      <c r="BD12" s="79" t="str">
        <f>M11</f>
        <v>联排</v>
      </c>
      <c r="BE12" s="50" t="str">
        <f>O11</f>
        <v>底商</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100574</v>
      </c>
      <c r="F13" s="81"/>
      <c r="G13" s="82">
        <f t="shared" ref="G13:G20" si="7">H13+AC13+AT13</f>
        <v>315237.17</v>
      </c>
      <c r="H13" s="33">
        <f t="shared" ref="H13:H20" si="8">SUMIF(I$12:AB$12,"总值",I13:AB13)</f>
        <v>226459.38999999998</v>
      </c>
      <c r="I13" s="3056">
        <v>184249</v>
      </c>
      <c r="J13" s="3056"/>
      <c r="K13" s="3056">
        <v>30950</v>
      </c>
      <c r="L13" s="3056"/>
      <c r="M13" s="3056">
        <v>1309.3</v>
      </c>
      <c r="N13" s="83"/>
      <c r="O13" s="83">
        <v>9951.09</v>
      </c>
      <c r="P13" s="83"/>
      <c r="Q13" s="83"/>
      <c r="R13" s="83"/>
      <c r="S13" s="83"/>
      <c r="T13" s="83"/>
      <c r="U13" s="83"/>
      <c r="V13" s="83"/>
      <c r="W13" s="83"/>
      <c r="X13" s="83"/>
      <c r="Y13" s="83"/>
      <c r="Z13" s="83"/>
      <c r="AA13" s="83"/>
      <c r="AB13" s="83"/>
      <c r="AC13" s="27">
        <f t="shared" ref="AC13:AC20" si="9">SUMIF(AD$12:AS$12,"总值",AD13:AS13)</f>
        <v>63499.64</v>
      </c>
      <c r="AD13" s="3060">
        <f>239.5+1772.75+100+1090+100</f>
        <v>3302.25</v>
      </c>
      <c r="AE13" s="3060"/>
      <c r="AF13" s="3060"/>
      <c r="AG13" s="3060"/>
      <c r="AH13" s="3060">
        <v>2206.66</v>
      </c>
      <c r="AI13" s="3060"/>
      <c r="AJ13" s="3060"/>
      <c r="AK13" s="3060"/>
      <c r="AL13" s="3060"/>
      <c r="AM13" s="3060"/>
      <c r="AN13" s="3060">
        <f>60643.47-AT13+21037.52+1587.88</f>
        <v>57990.73</v>
      </c>
      <c r="AO13" s="3060"/>
      <c r="AP13" s="3060"/>
      <c r="AQ13" s="3060"/>
      <c r="AR13" s="3060"/>
      <c r="AS13" s="3060"/>
      <c r="AT13" s="3061">
        <v>25278.14</v>
      </c>
      <c r="AU13" s="3062"/>
      <c r="AV13" s="17">
        <f t="shared" ref="AV13:AX20" si="10">A13</f>
        <v>0</v>
      </c>
      <c r="AW13" s="17">
        <f t="shared" si="10"/>
        <v>0</v>
      </c>
      <c r="AX13" s="17">
        <f t="shared" si="10"/>
        <v>0</v>
      </c>
      <c r="AY13" s="999">
        <f t="shared" ref="AY13:AY20" si="11">ROUND($AY$6*AZ13/$AZ$5,2)</f>
        <v>100574</v>
      </c>
      <c r="AZ13" s="27">
        <f t="shared" ref="AZ13:AZ20" si="12">BA13+BL13</f>
        <v>289959.02999999997</v>
      </c>
      <c r="BA13" s="27">
        <f t="shared" ref="BA13:BA20" si="13">SUM(BB13:BK13)</f>
        <v>226459.38999999998</v>
      </c>
      <c r="BB13" s="27">
        <f t="shared" ref="BB13:BB20" si="14">IF($D13="是",I13-J13,0)</f>
        <v>184249</v>
      </c>
      <c r="BC13" s="27">
        <f t="shared" ref="BC13:BC20" si="15">IF($D13="是",K13-L13,0)</f>
        <v>30950</v>
      </c>
      <c r="BD13" s="27">
        <f t="shared" ref="BD13:BD20" si="16">IF($D13="是",M13-N13,0)</f>
        <v>1309.3</v>
      </c>
      <c r="BE13" s="27">
        <f t="shared" ref="BE13:BE20" si="17">IF($D13="是",O13-P13,0)</f>
        <v>9951.09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63499.64</v>
      </c>
      <c r="BM13" s="27">
        <f t="shared" ref="BM13:BM20" si="25">IF($D13="是",AD13-AE13,0)</f>
        <v>3302.25</v>
      </c>
      <c r="BN13" s="27">
        <f t="shared" ref="BN13:BN20" si="26">IF($D13="是",AF13-AG13,0)</f>
        <v>0</v>
      </c>
      <c r="BO13" s="27">
        <f t="shared" ref="BO13:BO20" si="27">IF($D13="是",AH13-AI13,0)</f>
        <v>2206.66</v>
      </c>
      <c r="BP13" s="27">
        <f t="shared" ref="BP13:BP20" si="28">IF($D13="是",AJ13-AK13,0)</f>
        <v>0</v>
      </c>
      <c r="BQ13" s="27">
        <f t="shared" ref="BQ13:BQ20" si="29">IF($D13="是",AL13-AM13,0)</f>
        <v>0</v>
      </c>
      <c r="BR13" s="27">
        <f t="shared" ref="BR13:BR20" si="30">IF($D13="是",AN13-AO13,0)</f>
        <v>57990.73</v>
      </c>
      <c r="BS13" s="27">
        <f t="shared" ref="BS13:BS20" si="31">IF($D13="是",AP13-AQ13,0)</f>
        <v>0</v>
      </c>
      <c r="BT13" s="36">
        <f t="shared" ref="BT13:BT20" si="32">IF($D13="是",AR13-AS13,0)</f>
        <v>0</v>
      </c>
    </row>
    <row r="14" spans="1:72" s="18" customFormat="1" ht="12.75" hidden="1">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hidden="1">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hidden="1">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idden="1">
      <c r="A18" s="84"/>
      <c r="B18" s="85"/>
      <c r="C18" s="8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idden="1">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idden="1">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idden="1">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idden="1">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idden="1">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idden="1">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idden="1">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idden="1">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idden="1">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idden="1">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idden="1">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idden="1">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idden="1">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idden="1">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idden="1">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idden="1">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idden="1">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idden="1">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idden="1">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idden="1">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idden="1">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idden="1">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idden="1">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idden="1">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idden="1">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idden="1">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idden="1">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idden="1">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idden="1">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idden="1">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idden="1">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idden="1">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idden="1">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idden="1">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idden="1">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idden="1">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idden="1">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hidden="1">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hidden="1">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hidden="1">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hidden="1">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hidden="1">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hidden="1">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hidden="1">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hidden="1">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hidden="1">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hidden="1">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hidden="1">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hidden="1">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hidden="1">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hidden="1">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hidden="1">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hidden="1">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hidden="1">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hidden="1">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hidden="1">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hidden="1">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hidden="1">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hidden="1">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hidden="1">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hidden="1">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hidden="1">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hidden="1">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hidden="1">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hidden="1">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hidden="1">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hidden="1">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hidden="1">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hidden="1">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idden="1">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idden="1">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hidden="1">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hidden="1">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hidden="1">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hidden="1">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hidden="1">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hidden="1">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hidden="1">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hidden="1">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hidden="1">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hidden="1">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hidden="1">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hidden="1">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hidden="1">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hidden="1">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hidden="1">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hidden="1">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hidden="1">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hidden="1">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hidden="1">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hidden="1">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hidden="1">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hidden="1">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hidden="1">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idden="1">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idden="1">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idden="1">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idden="1">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idden="1">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idden="1">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idden="1">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idden="1">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idden="1">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idden="1">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idden="1">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idden="1">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idden="1">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idden="1">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idden="1">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idden="1">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idden="1">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idden="1">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idden="1">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idden="1">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idden="1">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idden="1">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idden="1">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idden="1">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idden="1">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idden="1">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idden="1">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idden="1">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idden="1">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idden="1">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idden="1">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idden="1">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idden="1">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idden="1">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idden="1">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hidden="1">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hidden="1">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hidden="1">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hidden="1">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hidden="1">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hidden="1">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hidden="1">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hidden="1">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hidden="1">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hidden="1">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hidden="1">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hidden="1">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hidden="1">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hidden="1">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hidden="1">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hidden="1">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hidden="1">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hidden="1">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hidden="1">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hidden="1">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hidden="1">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hidden="1">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hidden="1">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hidden="1">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hidden="1">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hidden="1">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hidden="1">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hidden="1">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hidden="1">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hidden="1">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hidden="1">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hidden="1">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hidden="1">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hidden="1">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hidden="1">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hidden="1">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hidden="1">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hidden="1">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hidden="1">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hidden="1">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hidden="1">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hidden="1">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hidden="1">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hidden="1">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hidden="1">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hidden="1">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hidden="1">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hidden="1">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hidden="1">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hidden="1">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hidden="1">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hidden="1">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hidden="1">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hidden="1">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hidden="1">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hidden="1">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hidden="1">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idden="1">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idden="1">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idden="1">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idden="1">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idden="1">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idden="1">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idden="1">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idden="1">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idden="1">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idden="1">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idden="1">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idden="1">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idden="1">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idden="1">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idden="1">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idden="1">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idden="1">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idden="1">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idden="1">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idden="1">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idden="1">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idden="1">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idden="1">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idden="1">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idden="1">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idden="1">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idden="1">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idden="1">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idden="1">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idden="1">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idden="1">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idden="1">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idden="1">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idden="1">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idden="1">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hidden="1">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hidden="1">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hidden="1">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hidden="1">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hidden="1">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hidden="1">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hidden="1">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hidden="1">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hidden="1">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hidden="1">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hidden="1">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hidden="1">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hidden="1">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hidden="1">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hidden="1">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hidden="1">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hidden="1">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hidden="1">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hidden="1">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hidden="1">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hidden="1">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hidden="1">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hidden="1">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hidden="1">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hidden="1">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hidden="1">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hidden="1">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hidden="1">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hidden="1">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hidden="1">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hidden="1">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hidden="1">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hidden="1">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hidden="1">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hidden="1">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hidden="1">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hidden="1">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hidden="1">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hidden="1">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hidden="1">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hidden="1">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hidden="1">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hidden="1">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hidden="1">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hidden="1">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hidden="1">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hidden="1">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hidden="1">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hidden="1">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hidden="1">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hidden="1">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hidden="1">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hidden="1">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hidden="1">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hidden="1">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hidden="1">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hidden="1">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idden="1">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idden="1">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idden="1">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idden="1">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idden="1">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idden="1">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idden="1">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idden="1">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idden="1">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idden="1">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idden="1">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idden="1">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idden="1">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idden="1">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idden="1">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idden="1">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idden="1">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idden="1">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idden="1">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idden="1">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idden="1">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idden="1">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idden="1">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idden="1">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idden="1">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idden="1">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idden="1">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idden="1">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idden="1">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idden="1">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idden="1">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idden="1">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idden="1">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idden="1">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idden="1">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hidden="1">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hidden="1">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hidden="1">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hidden="1">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hidden="1">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hidden="1">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hidden="1">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hidden="1">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hidden="1">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hidden="1">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hidden="1">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hidden="1">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hidden="1">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hidden="1">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hidden="1">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hidden="1">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hidden="1">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hidden="1">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hidden="1">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hidden="1">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hidden="1">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hidden="1">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hidden="1">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hidden="1">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hidden="1">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hidden="1">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hidden="1">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hidden="1">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hidden="1">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hidden="1">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hidden="1">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hidden="1">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hidden="1">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hidden="1">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hidden="1">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hidden="1">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hidden="1">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hidden="1">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hidden="1">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hidden="1">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hidden="1">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hidden="1">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hidden="1">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hidden="1">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hidden="1">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hidden="1">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hidden="1">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hidden="1">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hidden="1">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hidden="1">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hidden="1">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hidden="1">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hidden="1">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hidden="1">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hidden="1">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hidden="1">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hidden="1">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idden="1">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idden="1">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idden="1">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idden="1">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idden="1">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idden="1">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idden="1">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idden="1">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idden="1">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idden="1">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idden="1">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idden="1">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idden="1">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idden="1">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idden="1">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idden="1">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idden="1">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idden="1">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idden="1">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idden="1">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idden="1">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idden="1">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idden="1">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idden="1">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idden="1">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idden="1">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idden="1">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idden="1">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idden="1">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idden="1">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idden="1">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idden="1">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idden="1">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idden="1">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idden="1">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hidden="1">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hidden="1">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hidden="1">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hidden="1">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hidden="1">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hidden="1">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hidden="1">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hidden="1">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hidden="1">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hidden="1">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hidden="1">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hidden="1">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hidden="1">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hidden="1">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hidden="1">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hidden="1">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hidden="1">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hidden="1">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hidden="1">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hidden="1">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hidden="1">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hidden="1">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hidden="1">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hidden="1">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hidden="1">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hidden="1">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hidden="1">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hidden="1">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hidden="1">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hidden="1">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hidden="1">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hidden="1">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hidden="1">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hidden="1">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hidden="1">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hidden="1">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hidden="1">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hidden="1">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hidden="1">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hidden="1">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hidden="1">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hidden="1">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hidden="1">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hidden="1">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hidden="1">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hidden="1">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hidden="1">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hidden="1">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hidden="1">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hidden="1">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hidden="1">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hidden="1">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hidden="1">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hidden="1">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hidden="1">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hidden="1">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hidden="1">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idden="1">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idden="1">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idden="1">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idden="1">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idden="1">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idden="1">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idden="1">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idden="1">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idden="1">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idden="1">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idden="1">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idden="1">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idden="1">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idden="1">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idden="1">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idden="1">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idden="1">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idden="1">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idden="1">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idden="1">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idden="1">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idden="1">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idden="1">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idden="1">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idden="1">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idden="1">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idden="1">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idden="1">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idden="1">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idden="1">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idden="1">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idden="1">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idden="1">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idden="1">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idden="1">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hidden="1">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hidden="1">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hidden="1">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hidden="1">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hidden="1">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hidden="1">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hidden="1">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hidden="1">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hidden="1">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hidden="1">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hidden="1">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hidden="1">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hidden="1">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hidden="1">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hidden="1">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hidden="1">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hidden="1">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hidden="1">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hidden="1">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hidden="1">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hidden="1">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hidden="1">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hidden="1">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hidden="1">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hidden="1">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hidden="1">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hidden="1">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hidden="1">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hidden="1">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hidden="1">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hidden="1">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hidden="1">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hidden="1">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hidden="1">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hidden="1">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hidden="1">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hidden="1">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hidden="1">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hidden="1">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hidden="1">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hidden="1">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hidden="1">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hidden="1">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hidden="1">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hidden="1">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hidden="1">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hidden="1">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hidden="1">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hidden="1">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hidden="1">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hidden="1">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hidden="1">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hidden="1">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hidden="1">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hidden="1">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hidden="1">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hidden="1">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0" t="s">
        <v>0</v>
      </c>
      <c r="B1" s="3230" t="s">
        <v>4</v>
      </c>
      <c r="C1" s="3230" t="s">
        <v>5</v>
      </c>
      <c r="D1" s="3231" t="s">
        <v>40</v>
      </c>
      <c r="E1" s="3231" t="s">
        <v>41</v>
      </c>
      <c r="F1" s="3231"/>
      <c r="G1" s="3231"/>
      <c r="H1" s="3231"/>
      <c r="I1" s="3231"/>
      <c r="J1" s="3231"/>
      <c r="K1" s="3231"/>
      <c r="L1" s="3231"/>
      <c r="M1" s="3231"/>
    </row>
    <row r="2" spans="1:13" ht="27" customHeight="1">
      <c r="A2" s="3230"/>
      <c r="B2" s="3230"/>
      <c r="C2" s="3230"/>
      <c r="D2" s="3231"/>
      <c r="E2" s="3231" t="s">
        <v>24</v>
      </c>
      <c r="F2" s="3231" t="s">
        <v>25</v>
      </c>
      <c r="G2" s="3231"/>
      <c r="H2" s="3231"/>
      <c r="I2" s="3231"/>
      <c r="J2" s="3231" t="s">
        <v>26</v>
      </c>
      <c r="K2" s="3231"/>
      <c r="L2" s="3231"/>
      <c r="M2" s="3231"/>
    </row>
    <row r="3" spans="1:13" ht="28.5">
      <c r="A3" s="3230"/>
      <c r="B3" s="3230"/>
      <c r="C3" s="3230"/>
      <c r="D3" s="3231"/>
      <c r="E3" s="32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1" t="s">
        <v>42</v>
      </c>
      <c r="B9" s="3231"/>
      <c r="C9" s="32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9" sqref="H39"/>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41" t="s">
        <v>203</v>
      </c>
      <c r="B2" s="3241"/>
      <c r="C2" s="3241"/>
      <c r="D2" s="1980" t="s">
        <v>204</v>
      </c>
      <c r="E2" s="106" t="s">
        <v>205</v>
      </c>
      <c r="F2" s="1989"/>
      <c r="G2" s="1201"/>
      <c r="H2" s="1202"/>
      <c r="I2" s="1203" t="s">
        <v>860</v>
      </c>
      <c r="J2" s="1989"/>
      <c r="K2" s="1989"/>
      <c r="L2" s="1989"/>
    </row>
    <row r="3" spans="1:16" ht="15.75" thickBot="1">
      <c r="A3" s="3242" t="s">
        <v>206</v>
      </c>
      <c r="B3" s="3242"/>
      <c r="C3" s="3242"/>
      <c r="D3" s="107">
        <f>'数据-基础表'!AY6</f>
        <v>100574</v>
      </c>
      <c r="E3" s="107">
        <f>'数据-基础表'!AZ5</f>
        <v>289959.02999999997</v>
      </c>
      <c r="F3" s="1989"/>
      <c r="G3" s="280" t="s">
        <v>861</v>
      </c>
      <c r="H3" s="275" t="s">
        <v>862</v>
      </c>
      <c r="I3" s="1981">
        <f>ROUND('数据-基础表'!B3/'数据-基础表'!A3,2)</f>
        <v>2.88</v>
      </c>
      <c r="J3" s="1989"/>
      <c r="K3" s="1989"/>
      <c r="L3" s="1989"/>
    </row>
    <row r="4" spans="1:16" ht="15">
      <c r="A4" s="3243"/>
      <c r="B4" s="3244"/>
      <c r="C4" s="3245"/>
      <c r="D4" s="108" t="s">
        <v>204</v>
      </c>
      <c r="E4" s="109" t="s">
        <v>205</v>
      </c>
      <c r="F4" s="1989"/>
      <c r="G4" s="1204"/>
      <c r="H4" s="275" t="s">
        <v>863</v>
      </c>
      <c r="I4" s="1981">
        <f>ROUND(SUMIF('数据-基础表'!I9:AS9,"地上",'数据-基础表'!I5:AS5)/'数据-基础表'!A3,2)</f>
        <v>2.31</v>
      </c>
      <c r="J4" s="1989"/>
      <c r="K4" s="1989"/>
      <c r="L4" s="1989"/>
    </row>
    <row r="5" spans="1:16">
      <c r="A5" s="110" t="s">
        <v>207</v>
      </c>
      <c r="B5" s="3246" t="s">
        <v>230</v>
      </c>
      <c r="C5" s="3246"/>
      <c r="D5" s="111">
        <f>ROUND($D$3*E5/$E$3,2)</f>
        <v>75097.179999999993</v>
      </c>
      <c r="E5" s="112">
        <f>SUMIF('数据-基础表'!$11:$11,"住宅",'数据-基础表'!$5:$5)</f>
        <v>216508.3</v>
      </c>
      <c r="F5" s="1989"/>
      <c r="G5" s="280" t="s">
        <v>864</v>
      </c>
      <c r="H5" s="275" t="s">
        <v>862</v>
      </c>
      <c r="I5" s="1981">
        <f>ROUND(E31/D31,2)</f>
        <v>2.88</v>
      </c>
      <c r="J5" s="1989"/>
      <c r="K5" s="1989"/>
      <c r="L5" s="1989"/>
    </row>
    <row r="6" spans="1:16" ht="15" thickBot="1">
      <c r="A6" s="113"/>
      <c r="B6" s="3246" t="s">
        <v>208</v>
      </c>
      <c r="C6" s="3246"/>
      <c r="D6" s="111">
        <f>ROUND($D$3*E6/$E$3,2)</f>
        <v>25476.82</v>
      </c>
      <c r="E6" s="112">
        <f>E3-E5</f>
        <v>73450.729999999981</v>
      </c>
      <c r="F6" s="1989"/>
      <c r="G6" s="1204"/>
      <c r="H6" s="275" t="s">
        <v>863</v>
      </c>
      <c r="I6" s="1981">
        <f>ROUND(F31/D31,2)</f>
        <v>2.31</v>
      </c>
      <c r="J6" s="1989"/>
      <c r="K6" s="1989"/>
      <c r="L6" s="1989"/>
    </row>
    <row r="7" spans="1:16" ht="15">
      <c r="A7" s="3238"/>
      <c r="B7" s="3239"/>
      <c r="C7" s="3240"/>
      <c r="D7" s="108" t="s">
        <v>204</v>
      </c>
      <c r="E7" s="114" t="s">
        <v>231</v>
      </c>
      <c r="F7" s="1989"/>
      <c r="G7" s="1159" t="s">
        <v>1649</v>
      </c>
      <c r="H7" s="1160"/>
      <c r="I7" s="1851"/>
      <c r="J7" s="1989"/>
      <c r="K7" s="1989"/>
      <c r="L7" s="1989"/>
    </row>
    <row r="8" spans="1:16">
      <c r="A8" s="110" t="s">
        <v>209</v>
      </c>
      <c r="B8" s="115" t="s">
        <v>210</v>
      </c>
      <c r="C8" s="111" t="s">
        <v>211</v>
      </c>
      <c r="D8" s="111">
        <f t="shared" ref="D8:D15" si="0">ROUND($D$3*E8/$E$3,2)</f>
        <v>78548.78</v>
      </c>
      <c r="E8" s="116">
        <f>SUMIF('数据-基础表'!BB10:BK10,"地上",'数据-基础表'!BB5:BK5)</f>
        <v>226459.38999999998</v>
      </c>
      <c r="F8" s="1989"/>
      <c r="G8" s="1991"/>
      <c r="H8" s="1991"/>
      <c r="I8" s="1989"/>
      <c r="J8" s="1989"/>
      <c r="K8" s="1989"/>
      <c r="L8" s="1989"/>
    </row>
    <row r="9" spans="1:16">
      <c r="A9" s="117"/>
      <c r="B9" s="118"/>
      <c r="C9" s="111" t="s">
        <v>212</v>
      </c>
      <c r="D9" s="111">
        <f t="shared" si="0"/>
        <v>1910.8</v>
      </c>
      <c r="E9" s="119">
        <f>'数据-基础表'!AD13+'数据-基础表'!AH13</f>
        <v>5508.91</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2338</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2345</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80459.58</v>
      </c>
      <c r="E16" s="120">
        <f>SUM(E8:E15)</f>
        <v>231968.3</v>
      </c>
      <c r="F16" s="1989"/>
      <c r="G16" s="1991"/>
      <c r="H16" s="971" t="s">
        <v>219</v>
      </c>
      <c r="I16" s="972"/>
      <c r="J16" s="1989"/>
      <c r="K16" s="3232" t="s">
        <v>2580</v>
      </c>
      <c r="L16" s="3233"/>
      <c r="M16" s="3233"/>
      <c r="N16" s="3233"/>
      <c r="O16" s="3233"/>
      <c r="P16" s="3234"/>
    </row>
    <row r="17" spans="1:19" ht="15">
      <c r="A17" s="121" t="s">
        <v>216</v>
      </c>
      <c r="B17" s="122" t="s">
        <v>217</v>
      </c>
      <c r="C17" s="2307" t="s">
        <v>2324</v>
      </c>
      <c r="D17" s="108" t="s">
        <v>204</v>
      </c>
      <c r="E17" s="124" t="s">
        <v>205</v>
      </c>
      <c r="F17" s="125"/>
      <c r="G17" s="1369"/>
      <c r="H17" s="973" t="s">
        <v>218</v>
      </c>
      <c r="I17" s="974" t="s">
        <v>2323</v>
      </c>
      <c r="J17" s="1989"/>
      <c r="K17" s="3235" t="s">
        <v>2581</v>
      </c>
      <c r="L17" s="3236"/>
      <c r="M17" s="3237"/>
      <c r="N17" s="3235" t="s">
        <v>2582</v>
      </c>
      <c r="O17" s="3236"/>
      <c r="P17" s="3237"/>
      <c r="R17" s="2308" t="s">
        <v>2322</v>
      </c>
      <c r="S17" s="144"/>
    </row>
    <row r="18" spans="1:19" ht="15">
      <c r="A18" s="117"/>
      <c r="B18" s="128"/>
      <c r="C18" s="129"/>
      <c r="D18" s="2677"/>
      <c r="E18" s="130" t="s">
        <v>220</v>
      </c>
      <c r="F18" s="131" t="s">
        <v>221</v>
      </c>
      <c r="G18" s="1370" t="s">
        <v>222</v>
      </c>
      <c r="H18" s="975" t="s">
        <v>223</v>
      </c>
      <c r="I18" s="976" t="s">
        <v>224</v>
      </c>
      <c r="J18" s="1989"/>
      <c r="K18" s="2639" t="s">
        <v>2583</v>
      </c>
      <c r="L18" s="2640" t="s">
        <v>2584</v>
      </c>
      <c r="M18" s="2641" t="s">
        <v>2585</v>
      </c>
      <c r="N18" s="2639" t="s">
        <v>2583</v>
      </c>
      <c r="O18" s="2640" t="s">
        <v>2584</v>
      </c>
      <c r="P18" s="2641" t="s">
        <v>2585</v>
      </c>
      <c r="R18" s="2309" t="s">
        <v>2320</v>
      </c>
      <c r="S18" s="2309" t="s">
        <v>2321</v>
      </c>
    </row>
    <row r="19" spans="1:19">
      <c r="A19" s="133"/>
      <c r="B19" s="115" t="s">
        <v>225</v>
      </c>
      <c r="C19" s="3063" t="s">
        <v>2980</v>
      </c>
      <c r="D19" s="111">
        <f t="shared" ref="D19:D26" si="1">ROUND($D$3*E19/$E$3,2)</f>
        <v>63907.85</v>
      </c>
      <c r="E19" s="134">
        <f t="shared" ref="E19:E26" si="2">SUM(F19:G19)</f>
        <v>184249</v>
      </c>
      <c r="F19" s="135">
        <f>'数据-基础表'!I13</f>
        <v>184249</v>
      </c>
      <c r="G19" s="1371"/>
      <c r="H19" s="977">
        <f>ROUND($D$3*I19/$E$3,2)</f>
        <v>16365.24</v>
      </c>
      <c r="I19" s="116">
        <f>IF($I$17="自定义",P19,M19)</f>
        <v>47181.68</v>
      </c>
      <c r="J19" s="1989"/>
      <c r="K19" s="2642">
        <f t="shared" ref="K19:K26" si="3">ROUND(E$28*E19/E$27,2)</f>
        <v>47181.68</v>
      </c>
      <c r="L19" s="275">
        <f t="shared" ref="L19:L26" si="4">ROUND(IF(COUNTIF(C19,"*住宅*")&gt;0,E$29*E19/E$32,0),2)</f>
        <v>0</v>
      </c>
      <c r="M19" s="2643">
        <f>K19+L19</f>
        <v>47181.68</v>
      </c>
      <c r="N19" s="2644"/>
      <c r="O19" s="2645"/>
      <c r="P19" s="2646">
        <f>N19+O19</f>
        <v>0</v>
      </c>
      <c r="R19" s="275">
        <f t="shared" ref="R19:S26" si="5">D19+H19</f>
        <v>80273.09</v>
      </c>
      <c r="S19" s="2310">
        <f t="shared" si="5"/>
        <v>231430.68</v>
      </c>
    </row>
    <row r="20" spans="1:19">
      <c r="A20" s="138"/>
      <c r="B20" s="115" t="s">
        <v>226</v>
      </c>
      <c r="C20" s="3063" t="s">
        <v>2981</v>
      </c>
      <c r="D20" s="111">
        <f t="shared" si="1"/>
        <v>10735.19</v>
      </c>
      <c r="E20" s="134">
        <f t="shared" si="2"/>
        <v>30950</v>
      </c>
      <c r="F20" s="135">
        <f>'数据-基础表'!K13</f>
        <v>30950</v>
      </c>
      <c r="G20" s="1371"/>
      <c r="H20" s="977">
        <f t="shared" ref="H20:H26" si="6">ROUND($D$3*I20/$E$3,2)</f>
        <v>2749.02</v>
      </c>
      <c r="I20" s="116">
        <f t="shared" ref="I20:I26" si="7">IF($I$17="自定义",P20,M20)</f>
        <v>7925.54</v>
      </c>
      <c r="J20" s="1989"/>
      <c r="K20" s="2642">
        <f t="shared" si="3"/>
        <v>7925.54</v>
      </c>
      <c r="L20" s="275">
        <f t="shared" si="4"/>
        <v>0</v>
      </c>
      <c r="M20" s="2643">
        <f t="shared" ref="M20:M26" si="8">K20+L20</f>
        <v>7925.54</v>
      </c>
      <c r="N20" s="2644"/>
      <c r="O20" s="2645"/>
      <c r="P20" s="2646">
        <f t="shared" ref="P20:P26" si="9">N20+O20</f>
        <v>0</v>
      </c>
      <c r="R20" s="275">
        <f t="shared" si="5"/>
        <v>13484.210000000001</v>
      </c>
      <c r="S20" s="2310">
        <f t="shared" si="5"/>
        <v>38875.54</v>
      </c>
    </row>
    <row r="21" spans="1:19">
      <c r="A21" s="138"/>
      <c r="B21" s="115" t="s">
        <v>226</v>
      </c>
      <c r="C21" s="3063" t="s">
        <v>2983</v>
      </c>
      <c r="D21" s="111">
        <f t="shared" si="1"/>
        <v>454.14</v>
      </c>
      <c r="E21" s="134">
        <f t="shared" si="2"/>
        <v>1309.3</v>
      </c>
      <c r="F21" s="135">
        <f>'数据-基础表'!M13</f>
        <v>1309.3</v>
      </c>
      <c r="G21" s="1371"/>
      <c r="H21" s="977">
        <f t="shared" si="6"/>
        <v>116.29</v>
      </c>
      <c r="I21" s="116">
        <f t="shared" si="7"/>
        <v>335.28</v>
      </c>
      <c r="J21" s="1989"/>
      <c r="K21" s="2642">
        <f t="shared" si="3"/>
        <v>335.28</v>
      </c>
      <c r="L21" s="275">
        <f t="shared" si="4"/>
        <v>0</v>
      </c>
      <c r="M21" s="2643">
        <f t="shared" si="8"/>
        <v>335.28</v>
      </c>
      <c r="N21" s="2644"/>
      <c r="O21" s="2645"/>
      <c r="P21" s="2646">
        <f t="shared" si="9"/>
        <v>0</v>
      </c>
      <c r="R21" s="275">
        <f t="shared" si="5"/>
        <v>570.42999999999995</v>
      </c>
      <c r="S21" s="2310">
        <f t="shared" si="5"/>
        <v>1644.58</v>
      </c>
    </row>
    <row r="22" spans="1:19">
      <c r="A22" s="138"/>
      <c r="B22" s="115" t="s">
        <v>226</v>
      </c>
      <c r="C22" s="3063" t="s">
        <v>2984</v>
      </c>
      <c r="D22" s="111">
        <f t="shared" si="1"/>
        <v>3451.59</v>
      </c>
      <c r="E22" s="134">
        <f t="shared" si="2"/>
        <v>9951.09</v>
      </c>
      <c r="F22" s="140">
        <f>'数据-基础表'!O13</f>
        <v>9951.09</v>
      </c>
      <c r="G22" s="1372"/>
      <c r="H22" s="977">
        <f t="shared" si="6"/>
        <v>883.87</v>
      </c>
      <c r="I22" s="116">
        <f t="shared" si="7"/>
        <v>2548.23</v>
      </c>
      <c r="J22" s="1989"/>
      <c r="K22" s="2642">
        <f t="shared" si="3"/>
        <v>2548.23</v>
      </c>
      <c r="L22" s="275">
        <f t="shared" si="4"/>
        <v>0</v>
      </c>
      <c r="M22" s="2643">
        <f t="shared" si="8"/>
        <v>2548.23</v>
      </c>
      <c r="N22" s="2644"/>
      <c r="O22" s="2645"/>
      <c r="P22" s="2646">
        <f t="shared" si="9"/>
        <v>0</v>
      </c>
      <c r="R22" s="275">
        <f t="shared" si="5"/>
        <v>4335.46</v>
      </c>
      <c r="S22" s="2310">
        <f t="shared" si="5"/>
        <v>12499.32</v>
      </c>
    </row>
    <row r="23" spans="1:19" hidden="1">
      <c r="A23" s="138"/>
      <c r="B23" s="115" t="s">
        <v>226</v>
      </c>
      <c r="C23" s="139"/>
      <c r="D23" s="111">
        <f>ROUND($D$3*E23/$E$3,2)</f>
        <v>0</v>
      </c>
      <c r="E23" s="134">
        <f>SUM(F23:G23)</f>
        <v>0</v>
      </c>
      <c r="F23" s="140"/>
      <c r="G23" s="1372"/>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hidden="1">
      <c r="A24" s="138"/>
      <c r="B24" s="115" t="s">
        <v>226</v>
      </c>
      <c r="C24" s="139"/>
      <c r="D24" s="111">
        <f>ROUND($D$3*E24/$E$3,2)</f>
        <v>0</v>
      </c>
      <c r="E24" s="134">
        <f>SUM(F24:G24)</f>
        <v>0</v>
      </c>
      <c r="F24" s="140"/>
      <c r="G24" s="1372"/>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hidden="1">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hidden="1">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43.5" thickBot="1">
      <c r="A27" s="138"/>
      <c r="B27" s="111"/>
      <c r="C27" s="127" t="s">
        <v>215</v>
      </c>
      <c r="D27" s="134">
        <f>SUM(D19:D26)</f>
        <v>78548.76999999999</v>
      </c>
      <c r="E27" s="143">
        <f>IF(SUM(E19:E26)='数据-基础表'!BA5,SUM(E19:E26),IF(F27="地上面积有误","面积有误","地下面积有误"))</f>
        <v>226459.38999999998</v>
      </c>
      <c r="F27" s="134">
        <f>IF(SUM(F19:F26)=E8,SUM(F19:F26),"地上面积有误")</f>
        <v>226459.38999999998</v>
      </c>
      <c r="G27" s="112">
        <f>SUM(G19:G26)</f>
        <v>0</v>
      </c>
      <c r="H27" s="978">
        <f>SUM(H19:H26)</f>
        <v>20114.419999999998</v>
      </c>
      <c r="I27" s="979">
        <f>SUM(I19:I26)</f>
        <v>57990.73</v>
      </c>
      <c r="J27" s="1989"/>
      <c r="K27" s="2651">
        <f>SUM(K19:K26)</f>
        <v>57990.73</v>
      </c>
      <c r="L27" s="2652">
        <f>SUM(L19:L26)</f>
        <v>0</v>
      </c>
      <c r="M27" s="2653">
        <f>SUM(M19:M26)</f>
        <v>57990.73</v>
      </c>
      <c r="N27" s="2651">
        <f t="shared" ref="N27:O27" si="10">SUM(N19:N26)</f>
        <v>0</v>
      </c>
      <c r="O27" s="2652">
        <f t="shared" si="10"/>
        <v>0</v>
      </c>
      <c r="P27" s="2654">
        <f>SUM(P19:P26)</f>
        <v>0</v>
      </c>
      <c r="R27" s="2314" t="str">
        <f>IF(SUM(R19:R26)=$D$3,SUM(R19:R26),SUM(R19:R26)&amp;"误差"&amp;ROUND(SUM(R19:R26)-$D$3,2))</f>
        <v>98663.19误差-1910.81</v>
      </c>
      <c r="S27" s="275" t="str">
        <f>IF(SUM(S19:S26)=$E$3,SUM(S19:S26),SUM(S19:S26)&amp;"误差"&amp;ROUND(SUM(S19:S26)-E3,2))</f>
        <v>284450.12误差-5508.91</v>
      </c>
    </row>
    <row r="28" spans="1:19">
      <c r="A28" s="138"/>
      <c r="B28" s="115" t="s">
        <v>227</v>
      </c>
      <c r="C28" s="136" t="s">
        <v>228</v>
      </c>
      <c r="D28" s="111">
        <f>ROUND($D$3*E28/$E$3,2)</f>
        <v>20114.43</v>
      </c>
      <c r="E28" s="134">
        <f>SUM(F28:G28)</f>
        <v>57990.73</v>
      </c>
      <c r="F28" s="144">
        <f>'数据-基础表'!BQ5+'数据-基础表'!BS5</f>
        <v>0</v>
      </c>
      <c r="G28" s="145">
        <f>'数据-基础表'!BR5+'数据-基础表'!BT5</f>
        <v>57990.73</v>
      </c>
      <c r="H28" s="1989"/>
      <c r="I28" s="1989"/>
      <c r="J28" s="1989"/>
      <c r="K28" s="1989"/>
      <c r="L28" s="1989"/>
    </row>
    <row r="29" spans="1:19">
      <c r="A29" s="138"/>
      <c r="B29" s="115" t="s">
        <v>227</v>
      </c>
      <c r="C29" s="2322" t="s">
        <v>2331</v>
      </c>
      <c r="D29" s="111">
        <f>ROUND($D$3*E29/$E$3,2)</f>
        <v>1910.8</v>
      </c>
      <c r="E29" s="134">
        <f>SUM(F29:G29)</f>
        <v>5508.91</v>
      </c>
      <c r="F29" s="144">
        <f>'数据-基础表'!BM5+'数据-基础表'!BO5</f>
        <v>5508.91</v>
      </c>
      <c r="G29" s="146">
        <f>'数据-基础表'!BN5+'数据-基础表'!BP5</f>
        <v>0</v>
      </c>
      <c r="H29" s="1989"/>
      <c r="I29" s="1989"/>
      <c r="J29" s="1989"/>
      <c r="K29" s="1989"/>
      <c r="L29" s="1989"/>
    </row>
    <row r="30" spans="1:19">
      <c r="A30" s="138"/>
      <c r="B30" s="111"/>
      <c r="C30" s="147" t="s">
        <v>215</v>
      </c>
      <c r="D30" s="134">
        <f>SUM(D28:D29)</f>
        <v>22025.23</v>
      </c>
      <c r="E30" s="134">
        <f>SUM(E28:E29)</f>
        <v>63499.64</v>
      </c>
      <c r="F30" s="134">
        <f>SUM(F28:F29)</f>
        <v>5508.91</v>
      </c>
      <c r="G30" s="112">
        <f>SUM(G28:G29)</f>
        <v>57990.73</v>
      </c>
      <c r="H30" s="1989"/>
      <c r="I30" s="1989"/>
      <c r="J30" s="1989"/>
      <c r="K30" s="1989"/>
      <c r="L30" s="1989"/>
    </row>
    <row r="31" spans="1:19" ht="32.25" customHeight="1" thickBot="1">
      <c r="A31" s="1373"/>
      <c r="B31" s="1374" t="s">
        <v>229</v>
      </c>
      <c r="C31" s="2339" t="s">
        <v>2333</v>
      </c>
      <c r="D31" s="1375">
        <f>D27+D30</f>
        <v>100573.99999999999</v>
      </c>
      <c r="E31" s="1375">
        <f>E27+E30</f>
        <v>289959.02999999997</v>
      </c>
      <c r="F31" s="1376">
        <f>F27+F30</f>
        <v>231968.3</v>
      </c>
      <c r="G31" s="1377">
        <f>G27+G30</f>
        <v>57990.73</v>
      </c>
      <c r="H31" s="1989"/>
      <c r="I31" s="1989"/>
      <c r="J31" s="1989"/>
      <c r="K31" s="1989"/>
      <c r="L31" s="1989"/>
    </row>
    <row r="32" spans="1:19">
      <c r="A32" s="1989"/>
      <c r="B32" s="2372" t="s">
        <v>2332</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9" activePane="bottomRight" state="frozen"/>
      <selection activeCell="K35" activeCellId="2" sqref="A1:I45 H37 K35:K37"/>
      <selection pane="topRight" activeCell="K35" activeCellId="2" sqref="A1:I45 H37 K35:K37"/>
      <selection pane="bottomLeft" activeCell="K35" activeCellId="2" sqref="A1:I45 H37 K35:K37"/>
      <selection pane="bottomRight" activeCell="X28" sqref="X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42921</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2845</v>
      </c>
      <c r="O5" s="163" t="s">
        <v>246</v>
      </c>
      <c r="P5" s="165" t="s">
        <v>247</v>
      </c>
      <c r="Q5" s="166" t="s">
        <v>248</v>
      </c>
      <c r="R5" s="167" t="s">
        <v>249</v>
      </c>
      <c r="S5" s="2655" t="s">
        <v>2586</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2334</v>
      </c>
      <c r="AI5" s="171" t="s">
        <v>2302</v>
      </c>
      <c r="AJ5" s="171" t="s">
        <v>258</v>
      </c>
      <c r="AK5" s="159" t="s">
        <v>259</v>
      </c>
      <c r="AL5" s="159" t="s">
        <v>260</v>
      </c>
      <c r="AM5" s="172" t="s">
        <v>261</v>
      </c>
      <c r="AN5" s="2425" t="s">
        <v>2385</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高层</v>
      </c>
      <c r="B6" s="2346" t="str">
        <f>IF(A6=0,"","经营性")</f>
        <v>经营性</v>
      </c>
      <c r="C6" s="173" t="s">
        <v>926</v>
      </c>
      <c r="D6" s="2317">
        <f>SUMIF(项目基本情况!D$15:I$15,C6,项目基本情况!D$18:I$18)</f>
        <v>70</v>
      </c>
      <c r="E6" s="2318">
        <f>IF(B6="","",SUMIF(项目基本情况!D$15:I$15,C6,项目基本情况!D$17:I$17))</f>
        <v>66333</v>
      </c>
      <c r="F6" s="174">
        <f>SUMIF(项目基本情况!D$15:I$15,C6,项目基本情况!D$19:I$19)</f>
        <v>64.14</v>
      </c>
      <c r="G6" s="175">
        <f>IF(ISERROR(ROUND(POWER(1+H6,D6-F6)*(POWER(1+H6,F6)-1)/(POWER(1+H6,D6)-1),3)),0,ROUND(POWER(1+H6,D6-F6)*(POWER(1+H6,F6)-1)/(POWER(1+H6,D6)-1),3))</f>
        <v>0.98599999999999999</v>
      </c>
      <c r="H6" s="3064">
        <v>4.4999999999999998E-2</v>
      </c>
      <c r="I6" s="3064">
        <v>0.05</v>
      </c>
      <c r="J6" s="176">
        <v>8.5000000000000006E-2</v>
      </c>
      <c r="K6" s="179">
        <f>SUMIF('数据-汇总表'!C$19:C$33,'数据-取费表'!A6,'数据-汇总表'!E$19:E$33)</f>
        <v>184249</v>
      </c>
      <c r="L6" s="3065">
        <v>2200</v>
      </c>
      <c r="M6" s="177">
        <f t="shared" ref="M6:M14" si="0">ROUND(K6*L6/10000,0)</f>
        <v>40535</v>
      </c>
      <c r="N6" s="3066">
        <v>0</v>
      </c>
      <c r="O6" s="177">
        <f>IF($N$5="成新度","——",ROUND(M6*N6,0))</f>
        <v>0</v>
      </c>
      <c r="P6" s="178">
        <f>IF($N$5="成新度","——",M6-O6)</f>
        <v>40535</v>
      </c>
      <c r="Q6" s="3067">
        <v>0.15</v>
      </c>
      <c r="R6" s="179">
        <f>SUMIF('数据-汇总表'!C$19:C$33,A6,'数据-汇总表'!R$19:R$33)</f>
        <v>80273.09</v>
      </c>
      <c r="S6" s="132">
        <f>IF('数据-汇总表'!$I$17="按面积比例",SUMIF('数据-汇总表'!C$19:C$33,A6,'数据-汇总表'!K$19:K$33),SUMIF('数据-汇总表'!C$19:C$33,A6,'数据-汇总表'!N$19:N$33))</f>
        <v>47181.68</v>
      </c>
      <c r="T6" s="2243">
        <f>IF($T$4="按面积比例",IF(ISERROR(ROUND($M$14*S6/S$16,0)),"0",ROUND($M$14*S6/S$16,0)),"需自行计算录入")</f>
        <v>8492</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0.94099999999999995</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洋房</v>
      </c>
      <c r="B7" s="2346" t="str">
        <f t="shared" ref="B7:B13" si="1">IF(A7=0,"","经营性")</f>
        <v>经营性</v>
      </c>
      <c r="C7" s="173" t="s">
        <v>926</v>
      </c>
      <c r="D7" s="2317">
        <f>SUMIF(项目基本情况!D$15:I$15,C7,项目基本情况!D$18:I$18)</f>
        <v>70</v>
      </c>
      <c r="E7" s="2318">
        <f>IF(B7="","",SUMIF(项目基本情况!D$15:I$15,C7,项目基本情况!D$17:I$17))</f>
        <v>66333</v>
      </c>
      <c r="F7" s="174">
        <f>SUMIF(项目基本情况!D$15:I$15,C7,项目基本情况!D$19:I$19)</f>
        <v>64.14</v>
      </c>
      <c r="G7" s="175">
        <f t="shared" ref="G7:G11" si="2">IF(ISERROR(ROUND(POWER(1+H7,D7-F7)*(POWER(1+H7,F7)-1)/(POWER(1+H7,D7)-1),3)),0,ROUND(POWER(1+H7,D7-F7)*(POWER(1+H7,F7)-1)/(POWER(1+H7,D7)-1),3))</f>
        <v>0.98599999999999999</v>
      </c>
      <c r="H7" s="3064">
        <v>4.4999999999999998E-2</v>
      </c>
      <c r="I7" s="3064">
        <v>0.05</v>
      </c>
      <c r="J7" s="176">
        <v>8.5000000000000006E-2</v>
      </c>
      <c r="K7" s="179">
        <f>SUMIF('数据-汇总表'!C$19:C$33,'数据-取费表'!A7,'数据-汇总表'!E$19:E$33)</f>
        <v>30950</v>
      </c>
      <c r="L7" s="3065">
        <v>1800</v>
      </c>
      <c r="M7" s="177">
        <f t="shared" si="0"/>
        <v>5571</v>
      </c>
      <c r="N7" s="3066">
        <v>0</v>
      </c>
      <c r="O7" s="177">
        <f t="shared" ref="O7:O14" si="3">IF($N$5="成新度","——",ROUND(M7*N7,0))</f>
        <v>0</v>
      </c>
      <c r="P7" s="178">
        <f t="shared" ref="P7:P14" si="4">IF($N$5="成新度","——",M7-O7)</f>
        <v>5571</v>
      </c>
      <c r="Q7" s="3067">
        <v>0.2</v>
      </c>
      <c r="R7" s="179">
        <f>SUMIF('数据-汇总表'!C$19:C$33,A7,'数据-汇总表'!R$19:R$33)</f>
        <v>13484.210000000001</v>
      </c>
      <c r="S7" s="132">
        <f>IF('数据-汇总表'!$I$17="按面积比例",SUMIF('数据-汇总表'!C$19:C$33,A7,'数据-汇总表'!K$19:K$33),SUMIF('数据-汇总表'!C$19:C$33,A7,'数据-汇总表'!N$19:N$33))</f>
        <v>7925.54</v>
      </c>
      <c r="T7" s="2243">
        <f t="shared" ref="T7:T13" si="5">IF($T$4="按面积比例",IF(ISERROR(ROUND($M$14*S7/S$16,0)),"0",ROUND($M$14*S7/S$16,0)),"需自行计算录入")</f>
        <v>1427</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0.94099999999999995</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别墅</v>
      </c>
      <c r="B8" s="2346" t="str">
        <f t="shared" si="1"/>
        <v>经营性</v>
      </c>
      <c r="C8" s="173" t="s">
        <v>926</v>
      </c>
      <c r="D8" s="2317">
        <f>SUMIF(项目基本情况!D$15:I$15,C8,项目基本情况!D$18:I$18)</f>
        <v>70</v>
      </c>
      <c r="E8" s="2318">
        <f>IF(B8="","",SUMIF(项目基本情况!D$15:I$15,C8,项目基本情况!D$17:I$17))</f>
        <v>66333</v>
      </c>
      <c r="F8" s="174">
        <f>SUMIF(项目基本情况!D$15:I$15,C8,项目基本情况!D$19:I$19)</f>
        <v>64.14</v>
      </c>
      <c r="G8" s="175">
        <f t="shared" si="2"/>
        <v>0.98599999999999999</v>
      </c>
      <c r="H8" s="3064">
        <v>4.4999999999999998E-2</v>
      </c>
      <c r="I8" s="3064">
        <v>0.05</v>
      </c>
      <c r="J8" s="176">
        <v>8.5000000000000006E-2</v>
      </c>
      <c r="K8" s="179">
        <f>SUMIF('数据-汇总表'!C$19:C$33,'数据-取费表'!A8,'数据-汇总表'!E$19:E$33)</f>
        <v>1309.3</v>
      </c>
      <c r="L8" s="3065">
        <v>1800</v>
      </c>
      <c r="M8" s="177">
        <f>ROUND(K8*L8/10000,0)</f>
        <v>236</v>
      </c>
      <c r="N8" s="3066">
        <v>0</v>
      </c>
      <c r="O8" s="177">
        <f t="shared" si="3"/>
        <v>0</v>
      </c>
      <c r="P8" s="178">
        <f t="shared" si="4"/>
        <v>236</v>
      </c>
      <c r="Q8" s="3067">
        <v>0.25</v>
      </c>
      <c r="R8" s="179">
        <f>SUMIF('数据-汇总表'!C$19:C$33,A8,'数据-汇总表'!R$19:R$33)</f>
        <v>570.42999999999995</v>
      </c>
      <c r="S8" s="132">
        <f>IF('数据-汇总表'!$I$17="按面积比例",SUMIF('数据-汇总表'!C$19:C$33,A8,'数据-汇总表'!K$19:K$33),SUMIF('数据-汇总表'!C$19:C$33,A8,'数据-汇总表'!N$19:N$33))</f>
        <v>335.28</v>
      </c>
      <c r="T8" s="2243">
        <f t="shared" si="5"/>
        <v>60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0.94099999999999995</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商业</v>
      </c>
      <c r="B9" s="2346" t="str">
        <f t="shared" si="1"/>
        <v>经营性</v>
      </c>
      <c r="C9" s="173" t="s">
        <v>2969</v>
      </c>
      <c r="D9" s="2317">
        <f>SUMIF(项目基本情况!D$15:I$15,C9,项目基本情况!D$18:I$18)</f>
        <v>40</v>
      </c>
      <c r="E9" s="2318">
        <f>IF(B9="","",SUMIF(项目基本情况!D$15:I$15,C9,项目基本情况!D$17:I$17))</f>
        <v>55375</v>
      </c>
      <c r="F9" s="174">
        <f>SUMIF(项目基本情况!D$15:I$15,C9,项目基本情况!D$19:I$19)</f>
        <v>34.119999999999997</v>
      </c>
      <c r="G9" s="175">
        <f t="shared" si="2"/>
        <v>0.94499999999999995</v>
      </c>
      <c r="H9" s="176">
        <v>0.05</v>
      </c>
      <c r="I9" s="176">
        <v>5.5E-2</v>
      </c>
      <c r="J9" s="176">
        <v>8.5000000000000006E-2</v>
      </c>
      <c r="K9" s="179">
        <f>SUMIF('数据-汇总表'!C$19:C$33,'数据-取费表'!A9,'数据-汇总表'!E$19:E$33)</f>
        <v>9951.09</v>
      </c>
      <c r="L9" s="193">
        <v>1800</v>
      </c>
      <c r="M9" s="177">
        <f t="shared" si="0"/>
        <v>1791</v>
      </c>
      <c r="N9" s="194">
        <v>0</v>
      </c>
      <c r="O9" s="177">
        <f t="shared" si="3"/>
        <v>0</v>
      </c>
      <c r="P9" s="178">
        <f t="shared" si="4"/>
        <v>1791</v>
      </c>
      <c r="Q9" s="192">
        <v>0.25</v>
      </c>
      <c r="R9" s="179">
        <f>SUMIF('数据-汇总表'!C$19:C$33,A9,'数据-汇总表'!R$19:R$33)</f>
        <v>4335.46</v>
      </c>
      <c r="S9" s="132">
        <f>IF('数据-汇总表'!$I$17="按面积比例",SUMIF('数据-汇总表'!C$19:C$33,A9,'数据-汇总表'!K$19:K$33),SUMIF('数据-汇总表'!C$19:C$33,A9,'数据-汇总表'!N$19:N$33))</f>
        <v>2548.23</v>
      </c>
      <c r="T9" s="2243">
        <f t="shared" si="5"/>
        <v>459</v>
      </c>
      <c r="U9" s="3159">
        <v>3.5</v>
      </c>
      <c r="V9" s="181">
        <v>2.5000000000000001E-2</v>
      </c>
      <c r="W9" s="181">
        <v>0.1</v>
      </c>
      <c r="X9" s="2330"/>
      <c r="Y9" s="182">
        <v>1</v>
      </c>
      <c r="Z9" s="183"/>
      <c r="AA9" s="176"/>
      <c r="AB9" s="176"/>
      <c r="AC9" s="2333"/>
      <c r="AD9" s="184"/>
      <c r="AE9" s="975">
        <f t="shared" ca="1" si="6"/>
        <v>34.119999999999997</v>
      </c>
      <c r="AF9" s="141"/>
      <c r="AG9" s="1216">
        <f t="shared" si="7"/>
        <v>0</v>
      </c>
      <c r="AH9" s="141"/>
      <c r="AI9" s="187">
        <v>365</v>
      </c>
      <c r="AJ9" s="188"/>
      <c r="AK9" s="189">
        <v>1.4999999999999999E-2</v>
      </c>
      <c r="AL9" s="190">
        <v>1.5E-3</v>
      </c>
      <c r="AM9" s="2424">
        <v>0.02</v>
      </c>
      <c r="AN9" s="2426" t="s">
        <v>2985</v>
      </c>
      <c r="AO9" s="2005"/>
      <c r="AP9" s="1207">
        <f t="shared" si="8"/>
        <v>0.81100000000000005</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hidden="1">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hidden="1">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hidden="1">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hidden="1">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2325</v>
      </c>
      <c r="B14" s="2315" t="s">
        <v>1683</v>
      </c>
      <c r="C14" s="2316" t="s">
        <v>2325</v>
      </c>
      <c r="D14" s="2317"/>
      <c r="E14" s="2318"/>
      <c r="F14" s="174"/>
      <c r="G14" s="175"/>
      <c r="H14" s="2319"/>
      <c r="I14" s="2319"/>
      <c r="J14" s="2319"/>
      <c r="K14" s="179">
        <f>SUMIF('数据-汇总表'!C$19:C$33,'数据-取费表'!A14,'数据-汇总表'!E$19:E$33)</f>
        <v>57990.73</v>
      </c>
      <c r="L14" s="193">
        <v>1800</v>
      </c>
      <c r="M14" s="177">
        <f t="shared" si="0"/>
        <v>10438</v>
      </c>
      <c r="N14" s="194">
        <v>0</v>
      </c>
      <c r="O14" s="177">
        <f t="shared" si="3"/>
        <v>0</v>
      </c>
      <c r="P14" s="178">
        <f t="shared" si="4"/>
        <v>10438</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2327</v>
      </c>
      <c r="B15" s="2315" t="s">
        <v>1683</v>
      </c>
      <c r="C15" s="2316" t="s">
        <v>2326</v>
      </c>
      <c r="D15" s="2317"/>
      <c r="E15" s="2318"/>
      <c r="F15" s="174"/>
      <c r="G15" s="175"/>
      <c r="H15" s="2319"/>
      <c r="I15" s="2319"/>
      <c r="J15" s="2319"/>
      <c r="K15" s="179">
        <f>SUMIF('数据-汇总表'!C$19:C$33,'数据-取费表'!A15,'数据-汇总表'!E$19:E$33)</f>
        <v>5508.91</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289959.02999999997</v>
      </c>
      <c r="L16" s="206">
        <f>ROUND(M16*10000/SUM(K6:K14),0)</f>
        <v>2059</v>
      </c>
      <c r="M16" s="206">
        <f>SUM(M6:M14)</f>
        <v>58571</v>
      </c>
      <c r="N16" s="207">
        <f>ROUND(SUMPRODUCT(M6:M14,N6:N14)/M16,3)</f>
        <v>0</v>
      </c>
      <c r="O16" s="206">
        <f>SUM(O6:O14)</f>
        <v>0</v>
      </c>
      <c r="P16" s="206">
        <f>SUM(P6:P14)</f>
        <v>58571</v>
      </c>
      <c r="Q16" s="208">
        <f>ROUND(SUMPRODUCT(Q6:Q13,K6:K13)/SUMPRODUCT((Q6:Q13&gt;0)*(K6:K13)),2)</f>
        <v>0.16</v>
      </c>
      <c r="R16" s="2320">
        <f>SUM(R6:R13)</f>
        <v>98663.19</v>
      </c>
      <c r="S16" s="209">
        <f>SUM(S6:S13)</f>
        <v>57990.73</v>
      </c>
      <c r="T16" s="210">
        <f>IF(SUMIF(T6:T13,"&lt;9E307")=M14,SUMIF(T6:T13,"&lt;9E307"),"有误，请检查")</f>
        <v>10438</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0.93500000000000005</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2347</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3160">
        <v>2.5</v>
      </c>
      <c r="C20" s="2373" t="s">
        <v>2346</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2.5</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2.5</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2349</v>
      </c>
      <c r="B27" s="227">
        <v>105</v>
      </c>
      <c r="C27" s="2376" t="s">
        <v>2353</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2350</v>
      </c>
      <c r="B28" s="229">
        <v>105</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2348</v>
      </c>
      <c r="B29" s="232"/>
      <c r="C29" s="1557" t="s">
        <v>2351</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2907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2908</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2911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1.4999999999999999E-2</v>
      </c>
      <c r="C38" s="2374" t="s">
        <v>2911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2469</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2470</v>
      </c>
      <c r="B40" s="2515">
        <f ca="1">存贷款利率!E2</f>
        <v>4.7500000000000001E-2</v>
      </c>
      <c r="C40" s="2374" t="s">
        <v>2352</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8</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5" t="s">
        <v>2918</v>
      </c>
      <c r="D53" s="3116" t="s">
        <v>2919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2920</v>
      </c>
      <c r="B54" s="186">
        <v>8</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hidden="1">
      <c r="A55" s="3118" t="s">
        <v>2921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hidden="1">
      <c r="A56" s="3118" t="s">
        <v>2922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hidden="1">
      <c r="A57" s="3118" t="s">
        <v>2923</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hidden="1">
      <c r="A58" s="3118" t="s">
        <v>2924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hidden="1">
      <c r="A59" s="3118" t="s">
        <v>2925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hidden="1">
      <c r="A60" s="3118" t="s">
        <v>2926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hidden="1">
      <c r="A61" s="3118" t="s">
        <v>2927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hidden="1">
      <c r="A62" s="3118" t="s">
        <v>2928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hidden="1" thickBot="1">
      <c r="A63" s="3119" t="s">
        <v>2929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47" t="s">
        <v>1667</v>
      </c>
      <c r="B1" s="3248"/>
      <c r="C1" s="3248"/>
      <c r="D1" s="3248"/>
      <c r="E1" s="3248"/>
      <c r="F1" s="3248"/>
      <c r="G1" s="3248"/>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2936</v>
      </c>
      <c r="D3" s="2014"/>
      <c r="E3" s="1232" t="s">
        <v>1670</v>
      </c>
      <c r="F3" s="1233" t="s">
        <v>1658</v>
      </c>
      <c r="G3" s="3124" t="s">
        <v>2935</v>
      </c>
      <c r="H3" s="2013"/>
      <c r="I3" s="2013"/>
      <c r="J3" s="2013"/>
      <c r="K3" s="2013"/>
      <c r="L3" s="2013"/>
      <c r="M3" s="2013"/>
      <c r="N3" s="2013"/>
      <c r="O3" s="2013"/>
      <c r="P3" s="2013"/>
      <c r="Q3" s="2013"/>
      <c r="R3" s="2013"/>
    </row>
    <row r="4" spans="1:18" ht="41.25">
      <c r="A4" s="1232"/>
      <c r="B4" s="1234" t="s">
        <v>1671</v>
      </c>
      <c r="C4" s="3121" t="s">
        <v>2937</v>
      </c>
      <c r="D4" s="2014"/>
      <c r="E4" s="1235"/>
      <c r="F4" s="1236" t="s">
        <v>1672</v>
      </c>
      <c r="G4" s="3122" t="s">
        <v>2932</v>
      </c>
      <c r="H4" s="2013"/>
      <c r="I4" s="2013"/>
      <c r="J4" s="2013"/>
      <c r="K4" s="2013"/>
      <c r="L4" s="2013"/>
      <c r="M4" s="2013"/>
      <c r="N4" s="2013"/>
      <c r="O4" s="2013"/>
      <c r="P4" s="2013"/>
      <c r="Q4" s="2013"/>
      <c r="R4" s="2013"/>
    </row>
    <row r="5" spans="1:18" ht="41.25">
      <c r="A5" s="1232"/>
      <c r="B5" s="1234" t="s">
        <v>1673</v>
      </c>
      <c r="C5" s="3121" t="s">
        <v>2938</v>
      </c>
      <c r="D5" s="2014"/>
      <c r="E5" s="1235"/>
      <c r="F5" s="1234" t="s">
        <v>2560</v>
      </c>
      <c r="G5" s="3122" t="s">
        <v>2933</v>
      </c>
      <c r="H5" s="2013"/>
      <c r="I5" s="2013"/>
      <c r="J5" s="2013"/>
      <c r="K5" s="2013"/>
      <c r="L5" s="2013"/>
      <c r="M5" s="2013"/>
      <c r="N5" s="2013"/>
      <c r="O5" s="2013"/>
      <c r="P5" s="2013"/>
      <c r="Q5" s="2013"/>
      <c r="R5" s="2013"/>
    </row>
    <row r="6" spans="1:18" ht="54">
      <c r="A6" s="1232"/>
      <c r="B6" s="1234" t="s">
        <v>1659</v>
      </c>
      <c r="C6" s="3122" t="s">
        <v>2932</v>
      </c>
      <c r="D6" s="2014"/>
      <c r="E6" s="1235"/>
      <c r="F6" s="1234" t="s">
        <v>2561</v>
      </c>
      <c r="G6" s="3122" t="s">
        <v>2930</v>
      </c>
      <c r="H6" s="2013"/>
      <c r="I6" s="2013"/>
      <c r="J6" s="2013"/>
      <c r="K6" s="2013"/>
      <c r="L6" s="2013"/>
      <c r="M6" s="2013"/>
      <c r="N6" s="2013"/>
      <c r="O6" s="2013"/>
      <c r="P6" s="2013"/>
      <c r="Q6" s="2013"/>
      <c r="R6" s="2013"/>
    </row>
    <row r="7" spans="1:18" ht="41.25" thickBot="1">
      <c r="A7" s="1232"/>
      <c r="B7" s="1234" t="s">
        <v>2560</v>
      </c>
      <c r="C7" s="3122" t="s">
        <v>2933</v>
      </c>
      <c r="D7" s="2015"/>
      <c r="E7" s="1237"/>
      <c r="F7" s="1238" t="s">
        <v>1674</v>
      </c>
      <c r="G7" s="3125" t="s">
        <v>2934</v>
      </c>
      <c r="H7" s="2013"/>
      <c r="I7" s="2013"/>
      <c r="J7" s="2013"/>
      <c r="K7" s="2013"/>
      <c r="L7" s="2013"/>
      <c r="M7" s="2013"/>
      <c r="N7" s="2013"/>
      <c r="O7" s="2013"/>
      <c r="P7" s="2013"/>
      <c r="Q7" s="2013"/>
      <c r="R7" s="2013"/>
    </row>
    <row r="8" spans="1:18" ht="27">
      <c r="A8" s="1232"/>
      <c r="B8" s="1234" t="s">
        <v>2561</v>
      </c>
      <c r="C8" s="3122" t="s">
        <v>2930</v>
      </c>
      <c r="D8" s="2015"/>
      <c r="E8" s="2015"/>
      <c r="F8" s="1558"/>
      <c r="G8" s="1558"/>
      <c r="H8" s="2013"/>
      <c r="I8" s="2013"/>
      <c r="J8" s="2013"/>
      <c r="K8" s="2013"/>
      <c r="L8" s="2013"/>
      <c r="M8" s="2013"/>
      <c r="N8" s="2013"/>
      <c r="O8" s="2013"/>
      <c r="P8" s="2013"/>
      <c r="Q8" s="2013"/>
      <c r="R8" s="2013"/>
    </row>
    <row r="9" spans="1:18" ht="40.5">
      <c r="A9" s="1232"/>
      <c r="B9" s="1234" t="s">
        <v>1660</v>
      </c>
      <c r="C9" s="3121" t="s">
        <v>2931</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2560</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2561</v>
      </c>
      <c r="G20" s="1008" t="str">
        <f>G6</f>
        <v>估价对象所在区域基础设施水平</v>
      </c>
    </row>
    <row r="21" spans="1:7" ht="27">
      <c r="A21" s="2623"/>
      <c r="B21" s="1234" t="s">
        <v>2560</v>
      </c>
      <c r="C21" s="1008" t="str">
        <f>C7</f>
        <v>估价对象所在区域公共配套设施齐备情况</v>
      </c>
      <c r="D21" s="2014"/>
      <c r="E21" s="2620"/>
      <c r="F21" s="1250" t="s">
        <v>1665</v>
      </c>
      <c r="G21" s="3126"/>
    </row>
    <row r="22" spans="1:7" ht="27">
      <c r="A22" s="2623"/>
      <c r="B22" s="1234" t="s">
        <v>2561</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sqref="A1:I45"/>
    </sheetView>
  </sheetViews>
  <sheetFormatPr defaultColWidth="14.625" defaultRowHeight="13.5"/>
  <cols>
    <col min="1" max="1" width="24.375" customWidth="1"/>
  </cols>
  <sheetData>
    <row r="1" spans="1:9" ht="16.5">
      <c r="A1" s="3084" t="s">
        <v>2861</v>
      </c>
      <c r="B1" s="3084">
        <f>SUM(B14:B23)</f>
        <v>289959.02999999997</v>
      </c>
      <c r="C1" s="3085"/>
      <c r="D1" s="3085"/>
      <c r="E1" s="3085"/>
      <c r="F1" s="3085"/>
    </row>
    <row r="2" spans="1:9" ht="16.5">
      <c r="A2" s="3084" t="s">
        <v>2862</v>
      </c>
      <c r="B2" s="3084">
        <f>SUM(C14:C23)</f>
        <v>100574</v>
      </c>
      <c r="C2" s="3085"/>
      <c r="D2" s="3085"/>
      <c r="E2" s="3085"/>
      <c r="F2" s="3085"/>
    </row>
    <row r="3" spans="1:9" ht="16.5">
      <c r="A3" s="3084" t="s">
        <v>2863</v>
      </c>
      <c r="B3" s="3086">
        <f>项目基本情况!D3</f>
        <v>42921</v>
      </c>
      <c r="C3" s="3085"/>
      <c r="D3" s="3085"/>
      <c r="E3" s="3085"/>
      <c r="F3" s="3085"/>
    </row>
    <row r="4" spans="1:9" ht="33">
      <c r="A4" s="3084" t="s">
        <v>2864</v>
      </c>
      <c r="B4" s="3084" t="s">
        <v>2865</v>
      </c>
      <c r="C4" s="3084" t="s">
        <v>2866</v>
      </c>
      <c r="D4" s="3084" t="s">
        <v>2867</v>
      </c>
      <c r="E4" s="3085"/>
      <c r="F4" s="3085"/>
    </row>
    <row r="5" spans="1:9" ht="16.5">
      <c r="A5" s="3084" t="s">
        <v>2868</v>
      </c>
      <c r="B5" s="3084">
        <f ca="1">SUM(D14:D23)</f>
        <v>120147</v>
      </c>
      <c r="C5" s="3084">
        <f ca="1">ROUND(B5*10000/$B$1,0)</f>
        <v>4144</v>
      </c>
      <c r="D5" s="3084">
        <f ca="1">ROUND(B5*10000/$B$2,0)</f>
        <v>11946</v>
      </c>
      <c r="E5" s="3085"/>
      <c r="F5" s="3085"/>
    </row>
    <row r="6" spans="1:9" ht="16.5">
      <c r="A6" s="3084" t="s">
        <v>2869</v>
      </c>
      <c r="B6" s="3084">
        <f>SUM(G14:G23)</f>
        <v>0</v>
      </c>
      <c r="C6" s="3084">
        <f t="shared" ref="C6:C8" si="0">ROUND(B6*10000/$B$1,0)</f>
        <v>0</v>
      </c>
      <c r="D6" s="3084">
        <f t="shared" ref="D6:D8" si="1">ROUND(B6*10000/$B$2,0)</f>
        <v>0</v>
      </c>
      <c r="E6" s="3085"/>
      <c r="F6" s="3085"/>
    </row>
    <row r="7" spans="1:9" ht="16.5">
      <c r="A7" s="3084" t="s">
        <v>2870</v>
      </c>
      <c r="B7" s="3084">
        <f>SUM(H14:H23)</f>
        <v>0</v>
      </c>
      <c r="C7" s="3084">
        <f t="shared" si="0"/>
        <v>0</v>
      </c>
      <c r="D7" s="3084">
        <f t="shared" si="1"/>
        <v>0</v>
      </c>
      <c r="E7" s="3085"/>
      <c r="F7" s="3085"/>
    </row>
    <row r="8" spans="1:9" ht="16.5">
      <c r="A8" s="3084" t="s">
        <v>2871</v>
      </c>
      <c r="B8" s="3084">
        <f>SUM(I14:I23)</f>
        <v>0</v>
      </c>
      <c r="C8" s="3084">
        <f t="shared" si="0"/>
        <v>0</v>
      </c>
      <c r="D8" s="3084">
        <f t="shared" si="1"/>
        <v>0</v>
      </c>
      <c r="E8" s="3085"/>
      <c r="F8" s="3085"/>
    </row>
    <row r="9" spans="1:9" ht="16.5">
      <c r="A9" s="3084" t="s">
        <v>2872</v>
      </c>
      <c r="B9" s="3087"/>
      <c r="C9" s="3085"/>
      <c r="D9" s="3085"/>
      <c r="E9" s="3085"/>
      <c r="F9" s="3085"/>
    </row>
    <row r="10" spans="1:9" ht="16.5">
      <c r="A10" s="3084" t="s">
        <v>2873</v>
      </c>
      <c r="B10" s="3087"/>
      <c r="C10" s="3085"/>
      <c r="D10" s="3085"/>
      <c r="E10" s="3085"/>
      <c r="F10" s="3085"/>
    </row>
    <row r="11" spans="1:9" ht="16.5">
      <c r="A11" s="3084" t="s">
        <v>2890</v>
      </c>
      <c r="B11" s="3087"/>
      <c r="C11" s="3085"/>
      <c r="D11" s="3085"/>
      <c r="E11" s="3085"/>
      <c r="F11" s="3085"/>
    </row>
    <row r="12" spans="1:9" ht="16.5">
      <c r="A12" s="3085"/>
      <c r="B12" s="3085"/>
      <c r="C12" s="3085"/>
      <c r="D12" s="3085"/>
      <c r="E12" s="3085"/>
      <c r="F12" s="3085"/>
    </row>
    <row r="13" spans="1:9" ht="33">
      <c r="A13" s="3090" t="s">
        <v>2889</v>
      </c>
      <c r="B13" s="3088" t="s">
        <v>2861</v>
      </c>
      <c r="C13" s="3088" t="s">
        <v>2862</v>
      </c>
      <c r="D13" s="3088" t="s">
        <v>2874</v>
      </c>
      <c r="E13" s="3084" t="s">
        <v>2888</v>
      </c>
      <c r="F13" s="3084" t="s">
        <v>2867</v>
      </c>
      <c r="G13" s="3088" t="s">
        <v>2875</v>
      </c>
      <c r="H13" s="3088" t="s">
        <v>2876</v>
      </c>
      <c r="I13" s="3088" t="s">
        <v>2877</v>
      </c>
    </row>
    <row r="14" spans="1:9" ht="16.5">
      <c r="A14" s="3091" t="s">
        <v>2887</v>
      </c>
      <c r="B14" s="3088">
        <f>'数据-汇总表'!E3</f>
        <v>289959.02999999997</v>
      </c>
      <c r="C14" s="3088">
        <f>'数据-汇总表'!D3</f>
        <v>100574</v>
      </c>
      <c r="D14" s="3088">
        <f ca="1">结果表!C42</f>
        <v>120147</v>
      </c>
      <c r="E14" s="3088">
        <f ca="1">ROUND(D14*10000/B14,0)</f>
        <v>4144</v>
      </c>
      <c r="F14" s="3088">
        <f ca="1">ROUND(D14*10000/C14,0)</f>
        <v>11946</v>
      </c>
      <c r="G14" s="3088" t="str">
        <f>结果表!C44</f>
        <v>——</v>
      </c>
      <c r="H14" s="3088" t="str">
        <f>结果表!C45</f>
        <v>——</v>
      </c>
      <c r="I14" s="3088" t="str">
        <f>结果表!C46</f>
        <v>——</v>
      </c>
    </row>
    <row r="15" spans="1:9" ht="16.5">
      <c r="A15" s="3091" t="s">
        <v>2878</v>
      </c>
      <c r="B15" s="3092"/>
      <c r="C15" s="3092"/>
      <c r="D15" s="3092"/>
      <c r="E15" s="3088" t="e">
        <f t="shared" ref="E15:E23" si="2">ROUND(D15*10000/B15,0)</f>
        <v>#DIV/0!</v>
      </c>
      <c r="F15" s="3088" t="e">
        <f t="shared" ref="F15:F23" si="3">ROUND(D15*10000/C15,0)</f>
        <v>#DIV/0!</v>
      </c>
      <c r="G15" s="3089"/>
      <c r="H15" s="3089"/>
      <c r="I15" s="3092"/>
    </row>
    <row r="16" spans="1:9" ht="16.5">
      <c r="A16" s="3091" t="s">
        <v>2879</v>
      </c>
      <c r="B16" s="3092"/>
      <c r="C16" s="3092"/>
      <c r="D16" s="3092"/>
      <c r="E16" s="3088" t="e">
        <f t="shared" si="2"/>
        <v>#DIV/0!</v>
      </c>
      <c r="F16" s="3088" t="e">
        <f t="shared" si="3"/>
        <v>#DIV/0!</v>
      </c>
      <c r="G16" s="3089"/>
      <c r="H16" s="3089"/>
      <c r="I16" s="3092"/>
    </row>
    <row r="17" spans="1:9" ht="16.5">
      <c r="A17" s="3091" t="s">
        <v>2880</v>
      </c>
      <c r="B17" s="3092"/>
      <c r="C17" s="3092"/>
      <c r="D17" s="3092"/>
      <c r="E17" s="3088" t="e">
        <f t="shared" si="2"/>
        <v>#DIV/0!</v>
      </c>
      <c r="F17" s="3088" t="e">
        <f t="shared" si="3"/>
        <v>#DIV/0!</v>
      </c>
      <c r="G17" s="3089"/>
      <c r="H17" s="3089"/>
      <c r="I17" s="3092"/>
    </row>
    <row r="18" spans="1:9" ht="16.5">
      <c r="A18" s="3091" t="s">
        <v>2881</v>
      </c>
      <c r="B18" s="3092"/>
      <c r="C18" s="3092"/>
      <c r="D18" s="3092"/>
      <c r="E18" s="3088" t="e">
        <f t="shared" si="2"/>
        <v>#DIV/0!</v>
      </c>
      <c r="F18" s="3088" t="e">
        <f t="shared" si="3"/>
        <v>#DIV/0!</v>
      </c>
      <c r="G18" s="3092"/>
      <c r="H18" s="3092"/>
      <c r="I18" s="3092"/>
    </row>
    <row r="19" spans="1:9" ht="16.5">
      <c r="A19" s="3091" t="s">
        <v>2882</v>
      </c>
      <c r="B19" s="3092"/>
      <c r="C19" s="3092"/>
      <c r="D19" s="3092"/>
      <c r="E19" s="3088" t="e">
        <f t="shared" si="2"/>
        <v>#DIV/0!</v>
      </c>
      <c r="F19" s="3088" t="e">
        <f t="shared" si="3"/>
        <v>#DIV/0!</v>
      </c>
      <c r="G19" s="3092"/>
      <c r="H19" s="3092"/>
      <c r="I19" s="3092"/>
    </row>
    <row r="20" spans="1:9" ht="16.5">
      <c r="A20" s="3091" t="s">
        <v>2883</v>
      </c>
      <c r="B20" s="3092"/>
      <c r="C20" s="3092"/>
      <c r="D20" s="3092"/>
      <c r="E20" s="3088" t="e">
        <f t="shared" si="2"/>
        <v>#DIV/0!</v>
      </c>
      <c r="F20" s="3088" t="e">
        <f t="shared" si="3"/>
        <v>#DIV/0!</v>
      </c>
      <c r="G20" s="3092"/>
      <c r="H20" s="3092"/>
      <c r="I20" s="3092"/>
    </row>
    <row r="21" spans="1:9" ht="16.5">
      <c r="A21" s="3091" t="s">
        <v>2884</v>
      </c>
      <c r="B21" s="3092"/>
      <c r="C21" s="3092"/>
      <c r="D21" s="3092"/>
      <c r="E21" s="3088" t="e">
        <f t="shared" si="2"/>
        <v>#DIV/0!</v>
      </c>
      <c r="F21" s="3088" t="e">
        <f t="shared" si="3"/>
        <v>#DIV/0!</v>
      </c>
      <c r="G21" s="3092"/>
      <c r="H21" s="3092"/>
      <c r="I21" s="3092"/>
    </row>
    <row r="22" spans="1:9" ht="16.5">
      <c r="A22" s="3091" t="s">
        <v>2885</v>
      </c>
      <c r="B22" s="3092"/>
      <c r="C22" s="3092"/>
      <c r="D22" s="3092"/>
      <c r="E22" s="3088" t="e">
        <f t="shared" si="2"/>
        <v>#DIV/0!</v>
      </c>
      <c r="F22" s="3088" t="e">
        <f t="shared" si="3"/>
        <v>#DIV/0!</v>
      </c>
      <c r="G22" s="3092"/>
      <c r="H22" s="3092"/>
      <c r="I22" s="3092"/>
    </row>
    <row r="23" spans="1:9" ht="16.5">
      <c r="A23" s="3091" t="s">
        <v>2886</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t="s">
        <v>2993</v>
      </c>
      <c r="E1" s="1810" t="s">
        <v>2067</v>
      </c>
      <c r="F1" s="1812" t="s">
        <v>2994</v>
      </c>
      <c r="G1" s="314"/>
      <c r="H1" s="314"/>
      <c r="I1" s="314"/>
      <c r="J1" s="2034"/>
      <c r="K1" s="2034"/>
      <c r="L1" s="2034"/>
      <c r="M1" s="2034"/>
      <c r="N1" s="2034"/>
      <c r="O1" s="2034"/>
      <c r="P1" s="2034"/>
      <c r="Q1" s="2034"/>
      <c r="R1" s="2034"/>
      <c r="S1" s="2034"/>
      <c r="T1" s="2034"/>
      <c r="U1" s="2034"/>
      <c r="V1" s="2034"/>
    </row>
    <row r="2" spans="1:22" ht="21.75" customHeight="1" thickBot="1">
      <c r="A2" s="3285" t="str">
        <f>项目基本情况!K2</f>
        <v>江苏省常州市湖塘镇武宜路西侧出让国有建设用地使用权</v>
      </c>
      <c r="B2" s="3286"/>
      <c r="C2" s="3287"/>
      <c r="D2" s="3287"/>
      <c r="E2" s="3287"/>
      <c r="F2" s="3287"/>
      <c r="G2" s="3286"/>
      <c r="H2" s="3286"/>
      <c r="I2" s="3288"/>
      <c r="J2" s="2035"/>
      <c r="K2" s="2034"/>
      <c r="L2" s="2034"/>
      <c r="M2" s="2034"/>
      <c r="N2" s="2034"/>
      <c r="O2" s="2034"/>
      <c r="P2" s="2034"/>
      <c r="Q2" s="2034"/>
      <c r="R2" s="2034"/>
      <c r="S2" s="2034"/>
      <c r="T2" s="2034"/>
      <c r="U2" s="2034"/>
      <c r="V2" s="2034"/>
    </row>
    <row r="3" spans="1:22" ht="14.25">
      <c r="A3" s="3278" t="s">
        <v>298</v>
      </c>
      <c r="B3" s="3279"/>
      <c r="C3" s="3279"/>
      <c r="D3" s="3279"/>
      <c r="E3" s="3279"/>
      <c r="F3" s="3279"/>
      <c r="G3" s="3279"/>
      <c r="H3" s="3279"/>
      <c r="I3" s="3279"/>
      <c r="J3" s="2035"/>
      <c r="K3" s="2034"/>
      <c r="L3" s="2034"/>
      <c r="M3" s="2034"/>
      <c r="N3" s="2034"/>
      <c r="O3" s="2034"/>
      <c r="P3" s="2034"/>
      <c r="Q3" s="2034"/>
      <c r="R3" s="2034"/>
      <c r="S3" s="2034"/>
      <c r="T3" s="2034"/>
      <c r="U3" s="2034"/>
      <c r="V3" s="2034"/>
    </row>
    <row r="4" spans="1:22" ht="14.25">
      <c r="A4" s="258" t="s">
        <v>299</v>
      </c>
      <c r="B4" s="259" t="s">
        <v>300</v>
      </c>
      <c r="C4" s="260" t="s">
        <v>2995</v>
      </c>
      <c r="D4" s="260" t="s">
        <v>2996</v>
      </c>
      <c r="E4" s="3250" t="s">
        <v>301</v>
      </c>
      <c r="F4" s="3251"/>
      <c r="G4" s="3251"/>
      <c r="H4" s="3251"/>
      <c r="I4" s="3280"/>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49" t="s">
        <v>302</v>
      </c>
      <c r="B5" s="3275">
        <v>25</v>
      </c>
      <c r="C5" s="3273"/>
      <c r="D5" s="3277"/>
      <c r="E5" s="261" t="s">
        <v>303</v>
      </c>
      <c r="F5" s="262"/>
      <c r="G5" s="262"/>
      <c r="H5" s="262"/>
      <c r="I5" s="263"/>
      <c r="J5" s="2035"/>
      <c r="K5" s="2034"/>
      <c r="L5" s="2034"/>
      <c r="M5" s="2034"/>
      <c r="N5" s="2034"/>
      <c r="O5" s="2034"/>
      <c r="P5" s="2034"/>
      <c r="Q5" s="2034"/>
      <c r="R5" s="2034"/>
      <c r="S5" s="2034"/>
      <c r="T5" s="2034"/>
      <c r="U5" s="2034"/>
      <c r="V5" s="2034"/>
    </row>
    <row r="6" spans="1:22" ht="14.25">
      <c r="A6" s="3249"/>
      <c r="B6" s="3275"/>
      <c r="C6" s="3276"/>
      <c r="D6" s="3277"/>
      <c r="E6" s="261" t="s">
        <v>304</v>
      </c>
      <c r="F6" s="262"/>
      <c r="G6" s="262"/>
      <c r="H6" s="262"/>
      <c r="I6" s="263"/>
      <c r="J6" s="2035"/>
      <c r="K6" s="2034"/>
      <c r="L6" s="2034"/>
      <c r="M6" s="2034"/>
      <c r="N6" s="2034"/>
      <c r="O6" s="2034"/>
      <c r="P6" s="2034"/>
      <c r="Q6" s="2034"/>
      <c r="R6" s="2034"/>
      <c r="S6" s="2034"/>
      <c r="T6" s="2034"/>
      <c r="U6" s="2034"/>
      <c r="V6" s="2034"/>
    </row>
    <row r="7" spans="1:22" ht="14.25">
      <c r="A7" s="3249"/>
      <c r="B7" s="3275"/>
      <c r="C7" s="3274"/>
      <c r="D7" s="3277"/>
      <c r="E7" s="261" t="s">
        <v>305</v>
      </c>
      <c r="F7" s="262"/>
      <c r="G7" s="262"/>
      <c r="H7" s="262"/>
      <c r="I7" s="263"/>
      <c r="J7" s="2035"/>
      <c r="K7" s="2034"/>
      <c r="L7" s="2034"/>
      <c r="M7" s="2034"/>
      <c r="N7" s="2034"/>
      <c r="O7" s="2034"/>
      <c r="P7" s="2034"/>
      <c r="Q7" s="2034"/>
      <c r="R7" s="2034"/>
      <c r="S7" s="2034"/>
      <c r="T7" s="2034"/>
      <c r="U7" s="2034"/>
      <c r="V7" s="2034"/>
    </row>
    <row r="8" spans="1:22" ht="14.25">
      <c r="A8" s="3249" t="s">
        <v>306</v>
      </c>
      <c r="B8" s="3275">
        <v>15</v>
      </c>
      <c r="C8" s="3273"/>
      <c r="D8" s="3277"/>
      <c r="E8" s="261" t="s">
        <v>307</v>
      </c>
      <c r="F8" s="262"/>
      <c r="G8" s="262"/>
      <c r="H8" s="262"/>
      <c r="I8" s="263"/>
      <c r="J8" s="2035"/>
      <c r="K8" s="2034"/>
      <c r="L8" s="2034"/>
      <c r="M8" s="2034"/>
      <c r="N8" s="2034"/>
      <c r="O8" s="2034"/>
      <c r="P8" s="2034"/>
      <c r="Q8" s="2034"/>
      <c r="R8" s="2034"/>
      <c r="S8" s="2034"/>
      <c r="T8" s="2034"/>
      <c r="U8" s="2034"/>
      <c r="V8" s="2034"/>
    </row>
    <row r="9" spans="1:22" ht="14.25">
      <c r="A9" s="3249"/>
      <c r="B9" s="3275"/>
      <c r="C9" s="3274"/>
      <c r="D9" s="3277"/>
      <c r="E9" s="261" t="s">
        <v>308</v>
      </c>
      <c r="F9" s="262"/>
      <c r="G9" s="262"/>
      <c r="H9" s="262"/>
      <c r="I9" s="263"/>
      <c r="J9" s="2035"/>
      <c r="K9" s="2034"/>
      <c r="L9" s="2034"/>
      <c r="M9" s="2034"/>
      <c r="N9" s="2034"/>
      <c r="O9" s="2034"/>
      <c r="P9" s="2034"/>
      <c r="Q9" s="2034"/>
      <c r="R9" s="2034"/>
      <c r="S9" s="2034"/>
      <c r="T9" s="2034"/>
      <c r="U9" s="2034"/>
      <c r="V9" s="2034"/>
    </row>
    <row r="10" spans="1:22" ht="14.25">
      <c r="A10" s="3249" t="s">
        <v>309</v>
      </c>
      <c r="B10" s="3275">
        <v>15</v>
      </c>
      <c r="C10" s="3273"/>
      <c r="D10" s="3277"/>
      <c r="E10" s="261" t="s">
        <v>310</v>
      </c>
      <c r="F10" s="262"/>
      <c r="G10" s="262"/>
      <c r="H10" s="262"/>
      <c r="I10" s="263"/>
      <c r="J10" s="2035"/>
      <c r="K10" s="2034"/>
      <c r="L10" s="2034"/>
      <c r="M10" s="2034"/>
      <c r="N10" s="2034"/>
      <c r="O10" s="2034"/>
      <c r="P10" s="2034"/>
      <c r="Q10" s="2034"/>
      <c r="R10" s="2034"/>
      <c r="S10" s="2034"/>
      <c r="T10" s="2034"/>
      <c r="U10" s="2034"/>
      <c r="V10" s="2034"/>
    </row>
    <row r="11" spans="1:22" ht="14.25">
      <c r="A11" s="3249"/>
      <c r="B11" s="3275"/>
      <c r="C11" s="3274"/>
      <c r="D11" s="3277"/>
      <c r="E11" s="261" t="s">
        <v>311</v>
      </c>
      <c r="F11" s="262"/>
      <c r="G11" s="262"/>
      <c r="H11" s="262"/>
      <c r="I11" s="263"/>
      <c r="J11" s="2035"/>
      <c r="K11" s="2034"/>
      <c r="L11" s="2034"/>
      <c r="M11" s="2034"/>
      <c r="N11" s="2034"/>
      <c r="O11" s="2034"/>
      <c r="P11" s="2034"/>
      <c r="Q11" s="2034"/>
      <c r="R11" s="2034"/>
      <c r="S11" s="2034"/>
      <c r="T11" s="2034"/>
      <c r="U11" s="2034"/>
      <c r="V11" s="2034"/>
    </row>
    <row r="12" spans="1:22" ht="14.25">
      <c r="A12" s="3249" t="s">
        <v>312</v>
      </c>
      <c r="B12" s="3275">
        <v>15</v>
      </c>
      <c r="C12" s="3273"/>
      <c r="D12" s="3277"/>
      <c r="E12" s="261" t="s">
        <v>313</v>
      </c>
      <c r="F12" s="262"/>
      <c r="G12" s="262"/>
      <c r="H12" s="262"/>
      <c r="I12" s="263"/>
      <c r="J12" s="2035"/>
      <c r="K12" s="2034"/>
      <c r="L12" s="2034"/>
      <c r="M12" s="2034"/>
      <c r="N12" s="2034"/>
      <c r="O12" s="2034"/>
      <c r="P12" s="2034"/>
      <c r="Q12" s="2034"/>
      <c r="R12" s="2034"/>
      <c r="S12" s="2034"/>
      <c r="T12" s="2034"/>
      <c r="U12" s="2034"/>
      <c r="V12" s="2034"/>
    </row>
    <row r="13" spans="1:22" ht="14.25">
      <c r="A13" s="3249"/>
      <c r="B13" s="3275"/>
      <c r="C13" s="3274"/>
      <c r="D13" s="3277"/>
      <c r="E13" s="261" t="s">
        <v>314</v>
      </c>
      <c r="F13" s="262"/>
      <c r="G13" s="262"/>
      <c r="H13" s="262"/>
      <c r="I13" s="263"/>
      <c r="J13" s="2035"/>
      <c r="K13" s="2034"/>
      <c r="L13" s="2034"/>
      <c r="M13" s="2034"/>
      <c r="N13" s="2034"/>
      <c r="O13" s="2034"/>
      <c r="P13" s="2034"/>
      <c r="Q13" s="2034"/>
      <c r="R13" s="2034"/>
      <c r="S13" s="2034"/>
      <c r="T13" s="2034"/>
      <c r="U13" s="2034"/>
      <c r="V13" s="2034"/>
    </row>
    <row r="14" spans="1:22" ht="14.25">
      <c r="A14" s="3249" t="s">
        <v>315</v>
      </c>
      <c r="B14" s="3275">
        <v>30</v>
      </c>
      <c r="C14" s="3273">
        <v>5</v>
      </c>
      <c r="D14" s="3277">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49"/>
      <c r="B15" s="3275"/>
      <c r="C15" s="3276"/>
      <c r="D15" s="3277"/>
      <c r="E15" s="261" t="s">
        <v>317</v>
      </c>
      <c r="F15" s="262"/>
      <c r="G15" s="262"/>
      <c r="H15" s="262"/>
      <c r="I15" s="263"/>
      <c r="J15" s="2035"/>
      <c r="K15" s="2034"/>
      <c r="L15" s="2034"/>
      <c r="M15" s="2034"/>
      <c r="N15" s="2034"/>
      <c r="O15" s="2034"/>
      <c r="P15" s="2034"/>
      <c r="Q15" s="2034"/>
      <c r="R15" s="2034"/>
      <c r="S15" s="2034"/>
      <c r="T15" s="2034"/>
      <c r="U15" s="2034"/>
      <c r="V15" s="2034"/>
    </row>
    <row r="16" spans="1:22" ht="14.25">
      <c r="A16" s="3249"/>
      <c r="B16" s="3275"/>
      <c r="C16" s="3274"/>
      <c r="D16" s="3277"/>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110883</v>
      </c>
      <c r="D19" s="271">
        <f ca="1">SUMIF(INDIRECT("'"&amp;D4&amp;"'"&amp;"!A:A"),结果表!B19,INDIRECT("'"&amp;D4&amp;"'"&amp;"!B:B"))</f>
        <v>129411</v>
      </c>
      <c r="E19" s="268" t="s">
        <v>323</v>
      </c>
      <c r="F19" s="269" t="s">
        <v>322</v>
      </c>
      <c r="G19" s="272">
        <f ca="1">ROUND(C19*$C$18+D19*$D$18,0)</f>
        <v>120147</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3824</v>
      </c>
      <c r="D20" s="277">
        <f ca="1">SUMIF(INDIRECT("'"&amp;D4&amp;"'"&amp;"!A:A"),结果表!B20,INDIRECT("'"&amp;D4&amp;"'"&amp;"!B:B"))</f>
        <v>4463</v>
      </c>
      <c r="E20" s="274"/>
      <c r="F20" s="275" t="s">
        <v>325</v>
      </c>
      <c r="G20" s="278">
        <f ca="1">ROUND(C20*$C$18+D20*$D$18,0)</f>
        <v>4144</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11025</v>
      </c>
      <c r="D21" s="151">
        <f ca="1">SUMIF(INDIRECT("'"&amp;D4&amp;"'"&amp;"!A:A"),结果表!B21,INDIRECT("'"&amp;D4&amp;"'"&amp;"!B:B"))</f>
        <v>12867</v>
      </c>
      <c r="E21" s="274"/>
      <c r="F21" s="280" t="s">
        <v>327</v>
      </c>
      <c r="G21" s="282">
        <f ca="1">ROUND(C21*$C$18+D21*$D$18,0)</f>
        <v>11946</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0.16709504612970427</v>
      </c>
      <c r="E22" s="284"/>
      <c r="F22" s="285"/>
      <c r="G22" s="286">
        <f ca="1">ROUND(G19/('数据-汇总表'!D3/666.67),0)</f>
        <v>796</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55"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56"/>
      <c r="B25" s="1324" t="s">
        <v>331</v>
      </c>
      <c r="C25" s="290">
        <f>IF(B30=0,0,C30)</f>
        <v>0</v>
      </c>
      <c r="D25" s="291"/>
      <c r="E25" s="314"/>
      <c r="F25" s="314"/>
      <c r="G25" s="314"/>
      <c r="H25" s="314"/>
      <c r="I25" s="314"/>
      <c r="J25" s="2034"/>
      <c r="K25" s="1258" t="str">
        <f ca="1">项目基本情况!B16&amp;"国有建设用地使用权价格："&amp;O38&amp;"万元"</f>
        <v>出让国有建设用地使用权价格：120147万元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大写金额：人民币壹拾贰亿零壹佰肆拾柒万元整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单位面积地价：11946元/平方米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楼面地价：4144元/平方米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5" t="s">
        <v>1692</v>
      </c>
      <c r="C32" s="1386">
        <f ca="1">G19-C24</f>
        <v>120147</v>
      </c>
      <c r="D32" s="1387"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8" t="s">
        <v>1694</v>
      </c>
      <c r="C33" s="264">
        <f ca="1">ROUND(C32*10000/'数据-汇总表'!E3,0)</f>
        <v>4144</v>
      </c>
      <c r="D33" s="1389" t="s">
        <v>1695</v>
      </c>
      <c r="E33" s="3255"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0" t="s">
        <v>1696</v>
      </c>
      <c r="C34" s="264">
        <f ca="1">ROUND(C32*10000/'数据-汇总表'!D3,0)</f>
        <v>11946</v>
      </c>
      <c r="D34" s="1391" t="s">
        <v>1695</v>
      </c>
      <c r="E34" s="3296"/>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796</v>
      </c>
      <c r="D35" s="1394" t="s">
        <v>1697</v>
      </c>
      <c r="E35" s="3297"/>
      <c r="F35" s="304" t="s">
        <v>342</v>
      </c>
      <c r="G35" s="985"/>
      <c r="H35" s="984" t="s">
        <v>343</v>
      </c>
      <c r="I35" s="314"/>
      <c r="J35" s="2034"/>
      <c r="K35" s="3270" t="s">
        <v>350</v>
      </c>
      <c r="L35" s="3270" t="s">
        <v>351</v>
      </c>
      <c r="M35" s="1267" t="s">
        <v>352</v>
      </c>
      <c r="N35" s="3270" t="s">
        <v>353</v>
      </c>
      <c r="O35" s="3270" t="s">
        <v>354</v>
      </c>
      <c r="P35" s="2034"/>
      <c r="V35" s="2034"/>
    </row>
    <row r="36" spans="1:26" ht="16.5" customHeight="1">
      <c r="A36" s="306" t="s">
        <v>344</v>
      </c>
      <c r="B36" s="307" t="s">
        <v>333</v>
      </c>
      <c r="C36" s="308" t="s">
        <v>345</v>
      </c>
      <c r="D36" s="308" t="s">
        <v>346</v>
      </c>
      <c r="E36" s="309" t="s">
        <v>347</v>
      </c>
      <c r="F36" s="314"/>
      <c r="G36" s="314"/>
      <c r="H36" s="314"/>
      <c r="I36" s="314"/>
      <c r="J36" s="2036"/>
      <c r="K36" s="3271"/>
      <c r="L36" s="3271"/>
      <c r="M36" s="1269" t="s">
        <v>355</v>
      </c>
      <c r="N36" s="3271"/>
      <c r="O36" s="3271"/>
      <c r="P36" s="2034"/>
      <c r="V36" s="2034"/>
    </row>
    <row r="37" spans="1:26" ht="16.5" customHeight="1" thickBot="1">
      <c r="A37" s="1263" t="s">
        <v>348</v>
      </c>
      <c r="B37" s="310"/>
      <c r="C37" s="294"/>
      <c r="D37" s="294"/>
      <c r="E37" s="295"/>
      <c r="F37" s="314"/>
      <c r="G37" s="314"/>
      <c r="H37" s="314"/>
      <c r="I37" s="314"/>
      <c r="J37" s="2036"/>
      <c r="K37" s="3272"/>
      <c r="L37" s="3272"/>
      <c r="M37" s="1270"/>
      <c r="N37" s="3272"/>
      <c r="O37" s="3272"/>
      <c r="P37" s="2034"/>
      <c r="V37" s="2034"/>
    </row>
    <row r="38" spans="1:26" ht="16.5" customHeight="1" thickBot="1">
      <c r="A38" s="1263" t="s">
        <v>349</v>
      </c>
      <c r="B38" s="310"/>
      <c r="C38" s="294"/>
      <c r="D38" s="294"/>
      <c r="E38" s="295"/>
      <c r="F38" s="314"/>
      <c r="G38" s="314"/>
      <c r="H38" s="314"/>
      <c r="I38" s="314"/>
      <c r="J38" s="2036"/>
      <c r="K38" s="1271">
        <f>'数据-汇总表'!D3</f>
        <v>100574</v>
      </c>
      <c r="L38" s="1272">
        <f>'数据-汇总表'!E3</f>
        <v>289959.02999999997</v>
      </c>
      <c r="M38" s="1272">
        <f ca="1">C34</f>
        <v>11946</v>
      </c>
      <c r="N38" s="1272">
        <f ca="1">C33</f>
        <v>4144</v>
      </c>
      <c r="O38" s="1273">
        <f ca="1">C32</f>
        <v>120147</v>
      </c>
      <c r="P38" s="2034"/>
      <c r="V38" s="2034"/>
    </row>
    <row r="39" spans="1:26" ht="16.5" customHeight="1" thickBot="1">
      <c r="A39" s="1268"/>
      <c r="B39" s="311"/>
      <c r="C39" s="312"/>
      <c r="D39" s="312"/>
      <c r="E39" s="313"/>
      <c r="F39" s="314"/>
      <c r="G39" s="314"/>
      <c r="H39" s="314"/>
      <c r="I39" s="314"/>
      <c r="J39" s="2036"/>
      <c r="K39" s="3315" t="str">
        <f>MID(A44,3,LEN(A44)-2)</f>
        <v/>
      </c>
      <c r="L39" s="3316"/>
      <c r="M39" s="3316"/>
      <c r="N39" s="3317"/>
      <c r="O39" s="1396" t="str">
        <f>C44</f>
        <v>——</v>
      </c>
      <c r="P39" s="2034"/>
      <c r="V39" s="2034"/>
    </row>
    <row r="40" spans="1:26" ht="19.5" thickBot="1">
      <c r="A40" s="104" t="s">
        <v>876</v>
      </c>
      <c r="B40" s="314"/>
      <c r="C40" s="314"/>
      <c r="D40" s="314"/>
      <c r="E40" s="314"/>
      <c r="F40" s="314"/>
      <c r="G40" s="314"/>
      <c r="H40" s="314"/>
      <c r="I40" s="314"/>
      <c r="J40" s="2036"/>
      <c r="K40" s="3315" t="str">
        <f t="shared" ref="K40:K41" si="0">MID(A45,3,LEN(A45)-2)</f>
        <v/>
      </c>
      <c r="L40" s="3316"/>
      <c r="M40" s="3316"/>
      <c r="N40" s="3317"/>
      <c r="O40" s="1396" t="str">
        <f>C45</f>
        <v>——</v>
      </c>
      <c r="P40" s="2034"/>
      <c r="V40" s="2034"/>
    </row>
    <row r="41" spans="1:26" ht="16.5" thickBot="1">
      <c r="A41" s="315" t="s">
        <v>356</v>
      </c>
      <c r="B41" s="316"/>
      <c r="C41" s="317" t="s">
        <v>357</v>
      </c>
      <c r="D41" s="318" t="s">
        <v>358</v>
      </c>
      <c r="E41" s="318" t="s">
        <v>359</v>
      </c>
      <c r="F41" s="319" t="s">
        <v>360</v>
      </c>
      <c r="G41" s="314"/>
      <c r="H41" s="314"/>
      <c r="I41" s="314"/>
      <c r="J41" s="2036"/>
      <c r="K41" s="3315" t="str">
        <f t="shared" si="0"/>
        <v/>
      </c>
      <c r="L41" s="3316"/>
      <c r="M41" s="3316"/>
      <c r="N41" s="3317"/>
      <c r="O41" s="1396" t="str">
        <f>C46</f>
        <v>——</v>
      </c>
      <c r="P41" s="2034"/>
      <c r="V41" s="2034"/>
    </row>
    <row r="42" spans="1:26" ht="29.25">
      <c r="A42" s="3257" t="s">
        <v>2077</v>
      </c>
      <c r="B42" s="3258"/>
      <c r="C42" s="264">
        <f ca="1">C32</f>
        <v>120147</v>
      </c>
      <c r="D42" s="320">
        <f ca="1">C33</f>
        <v>4144</v>
      </c>
      <c r="E42" s="320">
        <f ca="1">C34</f>
        <v>11946</v>
      </c>
      <c r="F42" s="321">
        <f ca="1">C35</f>
        <v>796</v>
      </c>
      <c r="G42" s="314"/>
      <c r="H42" s="314"/>
      <c r="I42" s="322"/>
      <c r="J42" s="2036"/>
      <c r="K42" s="1274" t="s">
        <v>361</v>
      </c>
      <c r="L42" s="2053" t="s">
        <v>362</v>
      </c>
      <c r="M42" s="1275" t="s">
        <v>363</v>
      </c>
      <c r="N42" s="2054" t="s">
        <v>364</v>
      </c>
      <c r="O42" s="2055" t="s">
        <v>365</v>
      </c>
      <c r="P42" s="2034"/>
      <c r="V42" s="2034"/>
    </row>
    <row r="43" spans="1:26" ht="30">
      <c r="A43" s="3268" t="s">
        <v>2747</v>
      </c>
      <c r="B43" s="3269"/>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110883</v>
      </c>
      <c r="M43" s="1278">
        <f>C18</f>
        <v>0.5</v>
      </c>
      <c r="N43" s="1279">
        <f ca="1">IF(N42="测算结果/万元",G19,G20)</f>
        <v>120147</v>
      </c>
      <c r="O43" s="1280">
        <f ca="1">IF(O42="最终结果/万元",C32,C33)</f>
        <v>120147</v>
      </c>
      <c r="P43" s="2034"/>
      <c r="V43" s="2034"/>
    </row>
    <row r="44" spans="1:26" ht="30.75" thickBot="1">
      <c r="A44" s="3257" t="str">
        <f>IF(OR(项目基本情况!E8="抵押价格",项目基本情况!E8="已注销及未注销"),"3.抵押价格","——")</f>
        <v>——</v>
      </c>
      <c r="B44" s="3258"/>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129411</v>
      </c>
      <c r="M44" s="1283">
        <f>D18</f>
        <v>0.5</v>
      </c>
      <c r="N44" s="1284"/>
      <c r="O44" s="1285"/>
      <c r="P44" s="2034"/>
      <c r="V44" s="2034"/>
    </row>
    <row r="45" spans="1:26" ht="15">
      <c r="A45" s="3263" t="str">
        <f>IF(项目基本情况!E8="已注销及未注销","4.抵押担保权已注销时的抵押价格",IF(项目基本情况!E8="已注销","3.抵押担保权已注销时的抵押价格","——"))</f>
        <v>——</v>
      </c>
      <c r="B45" s="3264"/>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59" t="str">
        <f>IF(项目基本情况!E9="抵押净值",IF(A45="——","4.抵押净值","5.抵押净值"),"——")</f>
        <v>——</v>
      </c>
      <c r="B46" s="3260"/>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4" t="s">
        <v>374</v>
      </c>
      <c r="B63" s="3305"/>
      <c r="C63" s="3306"/>
      <c r="D63" s="344">
        <f ca="1">ROUND(C42*F63,0)</f>
        <v>72088</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65" t="s">
        <v>378</v>
      </c>
      <c r="B64" s="3266"/>
      <c r="C64" s="3266"/>
      <c r="D64" s="3266"/>
      <c r="E64" s="3266"/>
      <c r="F64" s="3266"/>
      <c r="G64" s="3267"/>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61" t="s">
        <v>386</v>
      </c>
      <c r="B66" s="3262"/>
      <c r="C66" s="3262"/>
      <c r="D66" s="261">
        <f ca="1">IF(H66="情况1",0,IF(H66="情况2",D70,IF(H66="情况3",D71,IF(H66="情况4",D72))))</f>
        <v>3845</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19" t="s">
        <v>385</v>
      </c>
      <c r="M66" s="3320"/>
      <c r="N66" s="2493"/>
      <c r="O66" s="2494"/>
      <c r="P66" s="2495"/>
      <c r="Q66" s="2034"/>
      <c r="R66" s="2034"/>
      <c r="S66" s="2034"/>
      <c r="T66" s="2034"/>
      <c r="U66" s="2034"/>
      <c r="V66" s="2034"/>
    </row>
    <row r="67" spans="1:22" ht="25.5" customHeight="1">
      <c r="A67" s="355" t="s">
        <v>390</v>
      </c>
      <c r="B67" s="3252" t="s">
        <v>391</v>
      </c>
      <c r="C67" s="3252"/>
      <c r="D67" s="356">
        <v>0</v>
      </c>
      <c r="E67" s="41" t="s">
        <v>392</v>
      </c>
      <c r="F67" s="62" t="s">
        <v>21</v>
      </c>
      <c r="G67" s="3307"/>
      <c r="H67" s="314"/>
      <c r="I67" s="1295"/>
      <c r="J67" s="2041"/>
      <c r="K67" s="1982">
        <v>2</v>
      </c>
      <c r="L67" s="3318" t="s">
        <v>389</v>
      </c>
      <c r="M67" s="3318"/>
      <c r="N67" s="1328">
        <f>'数据-取费表'!B2</f>
        <v>42921</v>
      </c>
      <c r="O67" s="1328"/>
      <c r="P67" s="1328"/>
      <c r="Q67" s="2034"/>
      <c r="R67" s="2034"/>
      <c r="S67" s="2034"/>
      <c r="T67" s="2034"/>
      <c r="U67" s="2034"/>
      <c r="V67" s="2034"/>
    </row>
    <row r="68" spans="1:22" ht="25.5" customHeight="1">
      <c r="A68" s="357"/>
      <c r="B68" s="3252" t="s">
        <v>394</v>
      </c>
      <c r="C68" s="3252"/>
      <c r="D68" s="358"/>
      <c r="E68" s="77"/>
      <c r="F68" s="359"/>
      <c r="G68" s="3308"/>
      <c r="H68" s="314"/>
      <c r="I68" s="1295"/>
      <c r="J68" s="2041"/>
      <c r="K68" s="1982">
        <v>3</v>
      </c>
      <c r="L68" s="3318" t="s">
        <v>393</v>
      </c>
      <c r="M68" s="3318"/>
      <c r="N68" s="1296">
        <f ca="1">C42</f>
        <v>120147</v>
      </c>
      <c r="O68" s="1296"/>
      <c r="P68" s="1296"/>
      <c r="Q68" s="2034"/>
      <c r="R68" s="2034"/>
      <c r="S68" s="2034"/>
      <c r="T68" s="2034"/>
      <c r="U68" s="2034"/>
      <c r="V68" s="2034"/>
    </row>
    <row r="69" spans="1:22" ht="12" customHeight="1">
      <c r="A69" s="360"/>
      <c r="B69" s="3252" t="s">
        <v>395</v>
      </c>
      <c r="C69" s="3252"/>
      <c r="D69" s="361"/>
      <c r="E69" s="73"/>
      <c r="F69" s="359"/>
      <c r="G69" s="3309"/>
      <c r="H69" s="314"/>
      <c r="I69" s="1295"/>
      <c r="J69" s="2041"/>
      <c r="K69" s="1297">
        <v>4</v>
      </c>
      <c r="L69" s="3323" t="s">
        <v>2900</v>
      </c>
      <c r="M69" s="3324"/>
      <c r="N69" s="1298" t="str">
        <f>C44</f>
        <v>——</v>
      </c>
      <c r="O69" s="1298"/>
      <c r="P69" s="1298"/>
      <c r="Q69" s="2034"/>
      <c r="R69" s="2034"/>
      <c r="S69" s="2034"/>
      <c r="T69" s="2034"/>
      <c r="U69" s="2034"/>
      <c r="V69" s="2034"/>
    </row>
    <row r="70" spans="1:22" ht="24" customHeight="1">
      <c r="A70" s="362" t="s">
        <v>396</v>
      </c>
      <c r="B70" s="3252" t="s">
        <v>397</v>
      </c>
      <c r="C70" s="3252"/>
      <c r="D70" s="361">
        <f ca="1">ROUND(D63*'数据-取费表'!B41/(1+'数据-取费表'!C42),0)</f>
        <v>3845</v>
      </c>
      <c r="E70" s="17" t="s">
        <v>398</v>
      </c>
      <c r="F70" s="363">
        <f>'数据-取费表'!B41</f>
        <v>5.6000000000000001E-2</v>
      </c>
      <c r="G70" s="364"/>
      <c r="H70" s="314"/>
      <c r="I70" s="1295"/>
      <c r="J70" s="2041"/>
      <c r="K70" s="3101"/>
      <c r="L70" s="3102"/>
      <c r="M70" s="3102"/>
      <c r="N70" s="3103" t="s">
        <v>2905</v>
      </c>
      <c r="O70" s="3102"/>
      <c r="P70" s="3104"/>
      <c r="Q70" s="2034"/>
      <c r="R70" s="2034"/>
      <c r="S70" s="2034"/>
      <c r="T70" s="2034"/>
      <c r="U70" s="2034"/>
      <c r="V70" s="2034"/>
    </row>
    <row r="71" spans="1:22" ht="12" customHeight="1">
      <c r="A71" s="362" t="s">
        <v>404</v>
      </c>
      <c r="B71" s="3253" t="s">
        <v>405</v>
      </c>
      <c r="C71" s="3254"/>
      <c r="D71" s="361">
        <f ca="1">ROUND(D63*'数据-取费表'!B41/(1+'数据-取费表'!C42),0)</f>
        <v>3845</v>
      </c>
      <c r="E71" s="17" t="s">
        <v>398</v>
      </c>
      <c r="F71" s="363">
        <f>'数据-取费表'!B41</f>
        <v>5.6000000000000001E-2</v>
      </c>
      <c r="G71" s="364"/>
      <c r="H71" s="314"/>
      <c r="I71" s="1295"/>
      <c r="J71" s="2041"/>
      <c r="K71" s="3100" t="s">
        <v>399</v>
      </c>
      <c r="L71" s="3325" t="s">
        <v>400</v>
      </c>
      <c r="M71" s="3325"/>
      <c r="N71" s="3100" t="s">
        <v>401</v>
      </c>
      <c r="O71" s="3100" t="s">
        <v>402</v>
      </c>
      <c r="P71" s="3100" t="s">
        <v>403</v>
      </c>
      <c r="Q71" s="2034"/>
      <c r="R71" s="2034"/>
      <c r="S71" s="2034"/>
      <c r="T71" s="2034"/>
      <c r="U71" s="2034"/>
      <c r="V71" s="2034"/>
    </row>
    <row r="72" spans="1:22" ht="12" customHeight="1">
      <c r="A72" s="362" t="s">
        <v>407</v>
      </c>
      <c r="B72" s="3253" t="s">
        <v>408</v>
      </c>
      <c r="C72" s="3254"/>
      <c r="D72" s="361">
        <f ca="1">C86</f>
        <v>3733</v>
      </c>
      <c r="E72" s="73" t="s">
        <v>409</v>
      </c>
      <c r="F72" s="363">
        <f>'数据-取费表'!B41</f>
        <v>5.6000000000000001E-2</v>
      </c>
      <c r="G72" s="364"/>
      <c r="H72" s="1301"/>
      <c r="I72" s="1295"/>
      <c r="J72" s="2041"/>
      <c r="K72" s="1982">
        <v>1</v>
      </c>
      <c r="L72" s="3300" t="s">
        <v>406</v>
      </c>
      <c r="M72" s="3300"/>
      <c r="N72" s="1299">
        <f ca="1">D66</f>
        <v>3845</v>
      </c>
      <c r="O72" s="1865" t="str">
        <f>E66</f>
        <v>销售额×税（费）率</v>
      </c>
      <c r="P72" s="1300">
        <f>F66</f>
        <v>5.6000000000000001E-2</v>
      </c>
      <c r="Q72" s="2034"/>
      <c r="R72" s="2034"/>
      <c r="S72" s="2034"/>
      <c r="T72" s="2034"/>
      <c r="U72" s="2034"/>
      <c r="V72" s="2034"/>
    </row>
    <row r="73" spans="1:22" ht="24" customHeight="1">
      <c r="A73" s="3294" t="s">
        <v>411</v>
      </c>
      <c r="B73" s="3262"/>
      <c r="C73" s="3262"/>
      <c r="D73" s="365">
        <f>IF(H73="个人住宅",0,ROUND(D63*I73,0))</f>
        <v>0</v>
      </c>
      <c r="E73" s="17" t="s">
        <v>412</v>
      </c>
      <c r="F73" s="363" t="str">
        <f>IF(H73="正常",I73,"免征")</f>
        <v>免征</v>
      </c>
      <c r="G73" s="364"/>
      <c r="H73" s="191" t="s">
        <v>2468</v>
      </c>
      <c r="I73" s="363">
        <f>'数据-取费表'!B49</f>
        <v>5.0000000000000001E-4</v>
      </c>
      <c r="J73" s="2041"/>
      <c r="K73" s="1982">
        <v>2</v>
      </c>
      <c r="L73" s="3300" t="s">
        <v>410</v>
      </c>
      <c r="M73" s="3300"/>
      <c r="N73" s="1299">
        <f t="shared" ref="N73:P74" si="1">D73</f>
        <v>0</v>
      </c>
      <c r="O73" s="1865" t="str">
        <f t="shared" si="1"/>
        <v>销售额×税（费）率</v>
      </c>
      <c r="P73" s="1300" t="str">
        <f t="shared" si="1"/>
        <v>免征</v>
      </c>
      <c r="Q73" s="2034"/>
      <c r="R73" s="2034"/>
      <c r="S73" s="2034"/>
      <c r="T73" s="2034"/>
      <c r="U73" s="2034"/>
      <c r="V73" s="2034"/>
    </row>
    <row r="74" spans="1:22" ht="24.75">
      <c r="A74" s="3294" t="s">
        <v>415</v>
      </c>
      <c r="B74" s="3262"/>
      <c r="C74" s="3262"/>
      <c r="D74" s="365">
        <f ca="1">IF(H74="个人住宅",D75,D76)</f>
        <v>40146</v>
      </c>
      <c r="E74" s="17" t="s">
        <v>416</v>
      </c>
      <c r="F74" s="363" t="str">
        <f>IF(H74="正常",F76,"免征")</f>
        <v>——</v>
      </c>
      <c r="G74" s="986" t="s">
        <v>417</v>
      </c>
      <c r="H74" s="366" t="s">
        <v>413</v>
      </c>
      <c r="I74" s="42"/>
      <c r="J74" s="2041"/>
      <c r="K74" s="1982">
        <v>3</v>
      </c>
      <c r="L74" s="3300" t="s">
        <v>414</v>
      </c>
      <c r="M74" s="3300"/>
      <c r="N74" s="1299">
        <f t="shared" ca="1" si="1"/>
        <v>40146</v>
      </c>
      <c r="O74" s="1865" t="str">
        <f t="shared" si="1"/>
        <v>增值额×税（费）率</v>
      </c>
      <c r="P74" s="1302" t="str">
        <f t="shared" si="1"/>
        <v>——</v>
      </c>
      <c r="Q74" s="2034"/>
      <c r="R74" s="2034"/>
      <c r="S74" s="2034"/>
      <c r="T74" s="2034"/>
      <c r="U74" s="2034"/>
      <c r="V74" s="2034"/>
    </row>
    <row r="75" spans="1:22" ht="24">
      <c r="A75" s="362" t="s">
        <v>418</v>
      </c>
      <c r="B75" s="3250" t="s">
        <v>419</v>
      </c>
      <c r="C75" s="3280"/>
      <c r="D75" s="367">
        <v>0</v>
      </c>
      <c r="E75" s="41" t="s">
        <v>420</v>
      </c>
      <c r="F75" s="368"/>
      <c r="G75" s="364"/>
      <c r="H75" s="42"/>
      <c r="I75" s="42"/>
      <c r="J75" s="2041"/>
      <c r="K75" s="3093">
        <f>IF(H77="非个人房产","",4)</f>
        <v>4</v>
      </c>
      <c r="L75" s="3300" t="str">
        <f>IF(H77="非个人房产","——","个人所得税")</f>
        <v>个人所得税</v>
      </c>
      <c r="M75" s="3300"/>
      <c r="N75" s="1303">
        <f ca="1">D77</f>
        <v>721</v>
      </c>
      <c r="O75" s="1878" t="str">
        <f>E77</f>
        <v>销售额×税（费）率</v>
      </c>
      <c r="P75" s="1304">
        <f>F77</f>
        <v>0.01</v>
      </c>
      <c r="Q75" s="2034"/>
      <c r="R75" s="2034"/>
      <c r="S75" s="2034"/>
      <c r="T75" s="2034"/>
      <c r="U75" s="2034"/>
      <c r="V75" s="2034"/>
    </row>
    <row r="76" spans="1:22" ht="24.75">
      <c r="A76" s="362" t="s">
        <v>396</v>
      </c>
      <c r="B76" s="3250" t="s">
        <v>422</v>
      </c>
      <c r="C76" s="3251"/>
      <c r="D76" s="365">
        <f ca="1">IF(H76="转让取得",C99,C115)</f>
        <v>40146</v>
      </c>
      <c r="E76" s="17" t="s">
        <v>423</v>
      </c>
      <c r="F76" s="53" t="s">
        <v>21</v>
      </c>
      <c r="G76" s="364"/>
      <c r="H76" s="366" t="s">
        <v>424</v>
      </c>
      <c r="I76" s="42"/>
      <c r="J76" s="2041"/>
      <c r="K76" s="3093" t="str">
        <f>IF(项目基本情况!K6="上海银行",IF(K75="",4,K75+1),"")</f>
        <v/>
      </c>
      <c r="L76" s="3311" t="str">
        <f>IF(项目基本情况!K6="上海银行","其他处置费用","")</f>
        <v/>
      </c>
      <c r="M76" s="3312"/>
      <c r="N76" s="1299" t="str">
        <f>IF(项目基本情况!K6="上海银行",N89,"")</f>
        <v/>
      </c>
      <c r="O76" s="3313" t="str">
        <f>IF(项目基本情况!K6="上海银行","包含处置中涉及的律师、诉讼、拍卖、评估等费用","")</f>
        <v/>
      </c>
      <c r="P76" s="3314"/>
      <c r="Q76" s="2034"/>
      <c r="R76" s="2034"/>
      <c r="S76" s="2034"/>
      <c r="T76" s="2034"/>
      <c r="U76" s="2034"/>
      <c r="V76" s="2034"/>
    </row>
    <row r="77" spans="1:22" ht="26.25" thickBot="1">
      <c r="A77" s="3302" t="s">
        <v>426</v>
      </c>
      <c r="B77" s="3303"/>
      <c r="C77" s="3303"/>
      <c r="D77" s="369">
        <f ca="1">IF(H77="非个人房产","——",IF(H77="个人住宅",0,ROUND(D63*I77,0)))</f>
        <v>721</v>
      </c>
      <c r="E77" s="370" t="str">
        <f>IF(H77="非个人房产","——","销售额×税（费）率")</f>
        <v>销售额×税（费）率</v>
      </c>
      <c r="F77" s="371">
        <f>IF(H77="非个人房产","——",IF(H77="个人住宅","免征",I77))</f>
        <v>0.01</v>
      </c>
      <c r="G77" s="987" t="s">
        <v>417</v>
      </c>
      <c r="H77" s="366" t="s">
        <v>2901</v>
      </c>
      <c r="I77" s="372">
        <v>0.01</v>
      </c>
      <c r="J77" s="2041"/>
      <c r="K77" s="3301">
        <f>IF(AND(K75="",K76=""),4,IF(项目基本情况!K6="上海银行",K76+1,K75+1))</f>
        <v>5</v>
      </c>
      <c r="L77" s="3300" t="s">
        <v>2902</v>
      </c>
      <c r="M77" s="3099" t="s">
        <v>421</v>
      </c>
      <c r="N77" s="1305"/>
      <c r="O77" s="1306">
        <f ca="1">SUMIF(N72:N76,"&lt;9e307")</f>
        <v>44712</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301"/>
      <c r="L78" s="3300"/>
      <c r="M78" s="3099" t="s">
        <v>425</v>
      </c>
      <c r="N78" s="1305"/>
      <c r="O78" s="1306" t="str">
        <f ca="1">NUMBERSTRING(INT(O77*10000),2)&amp;"元整"</f>
        <v>肆亿肆仟柒佰壹拾贰万元整</v>
      </c>
      <c r="P78" s="1307"/>
      <c r="Q78" s="2034"/>
      <c r="R78" s="2034"/>
      <c r="S78" s="2034"/>
      <c r="T78" s="2034"/>
      <c r="U78" s="2034"/>
      <c r="V78" s="2034"/>
    </row>
    <row r="79" spans="1:22" ht="13.5" thickBot="1">
      <c r="A79" s="3295" t="s">
        <v>427</v>
      </c>
      <c r="B79" s="3295"/>
      <c r="C79" s="3295"/>
      <c r="D79" s="3295"/>
      <c r="E79" s="3295"/>
      <c r="F79" s="42"/>
      <c r="G79" s="42"/>
      <c r="H79" s="1006"/>
      <c r="I79" s="314"/>
      <c r="J79" s="2041"/>
      <c r="K79" s="3321">
        <f>K77+1</f>
        <v>6</v>
      </c>
      <c r="L79" s="3300" t="s">
        <v>2903</v>
      </c>
      <c r="M79" s="3099" t="s">
        <v>421</v>
      </c>
      <c r="N79" s="1305"/>
      <c r="O79" s="1306" t="e">
        <f ca="1">N69-O77</f>
        <v>#VALUE!</v>
      </c>
      <c r="P79" s="1307"/>
      <c r="Q79" s="2034"/>
      <c r="R79" s="2034"/>
      <c r="S79" s="2034"/>
      <c r="T79" s="2034"/>
      <c r="U79" s="2034"/>
      <c r="V79" s="2034"/>
    </row>
    <row r="80" spans="1:22" ht="12.75">
      <c r="A80" s="3290" t="s">
        <v>428</v>
      </c>
      <c r="B80" s="3291"/>
      <c r="C80" s="997"/>
      <c r="D80" s="997" t="s">
        <v>429</v>
      </c>
      <c r="E80" s="373" t="s">
        <v>430</v>
      </c>
      <c r="F80" s="42"/>
      <c r="G80" s="42"/>
      <c r="H80" s="1006"/>
      <c r="I80" s="314"/>
      <c r="J80" s="2034"/>
      <c r="K80" s="3322"/>
      <c r="L80" s="3300"/>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68655</v>
      </c>
      <c r="D81" s="376"/>
      <c r="E81" s="377"/>
      <c r="F81" s="42"/>
      <c r="G81" s="42"/>
      <c r="H81" s="1006"/>
      <c r="I81" s="314"/>
      <c r="J81" s="2034"/>
      <c r="K81" s="3093">
        <f>K79+1</f>
        <v>7</v>
      </c>
      <c r="L81" s="3298" t="s">
        <v>2904</v>
      </c>
      <c r="M81" s="3299"/>
      <c r="N81" s="1309"/>
      <c r="O81" s="1310" t="e">
        <f ca="1">ROUND(O79*10000/'数据-汇总表'!E3,0)</f>
        <v>#VALUE!</v>
      </c>
      <c r="P81" s="1311"/>
      <c r="Q81" s="2034"/>
      <c r="R81" s="2034"/>
      <c r="S81" s="2034"/>
      <c r="T81" s="2034"/>
      <c r="U81" s="2034"/>
      <c r="V81" s="2034"/>
    </row>
    <row r="82" spans="1:26" ht="13.5" thickTop="1">
      <c r="A82" s="378" t="s">
        <v>1829</v>
      </c>
      <c r="B82" s="379" t="s">
        <v>432</v>
      </c>
      <c r="C82" s="380">
        <f ca="1">D63</f>
        <v>72088</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10" t="s">
        <v>2891</v>
      </c>
      <c r="L83" s="3105" t="s">
        <v>2892</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2957</v>
      </c>
      <c r="F84" s="42"/>
      <c r="G84" s="42"/>
      <c r="H84" s="1006"/>
      <c r="I84" s="314"/>
      <c r="J84" s="2034"/>
      <c r="K84" s="3310"/>
      <c r="L84" s="3105" t="s">
        <v>2893</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2894</v>
      </c>
      <c r="P84" s="2034"/>
      <c r="Q84" s="2034"/>
      <c r="R84" s="2034"/>
      <c r="S84" s="2034"/>
      <c r="T84" s="2034"/>
      <c r="U84" s="2034"/>
      <c r="V84" s="2034"/>
    </row>
    <row r="85" spans="1:26" ht="12.75">
      <c r="A85" s="384" t="s">
        <v>1832</v>
      </c>
      <c r="B85" s="385" t="s">
        <v>435</v>
      </c>
      <c r="C85" s="388">
        <f ca="1">C81-C84</f>
        <v>66655</v>
      </c>
      <c r="D85" s="381" t="s">
        <v>19</v>
      </c>
      <c r="E85" s="382"/>
      <c r="F85" s="42"/>
      <c r="G85" s="42"/>
      <c r="H85" s="1006"/>
      <c r="I85" s="314"/>
      <c r="J85" s="2034"/>
      <c r="K85" s="3310"/>
      <c r="L85" s="3105" t="s">
        <v>2895</v>
      </c>
      <c r="M85" s="3095" t="e">
        <f>IF(N69&gt;1000,N69*0.1%,IF(AND(N69&gt;500,N69&lt;=1000),N69*0.5%,IF(AND(N69&gt;50,N69&lt;=500),N69*1%,IF(AND(N69&gt;1,N69&lt;=50),N69*1.5%))))</f>
        <v>#VALUE!</v>
      </c>
      <c r="N85" s="53" t="e">
        <f t="shared" si="2"/>
        <v>#VALUE!</v>
      </c>
      <c r="O85" s="2034" t="s">
        <v>2894</v>
      </c>
      <c r="P85" s="2034"/>
      <c r="Q85" s="2034"/>
      <c r="R85" s="2034"/>
      <c r="S85" s="2034"/>
      <c r="T85" s="2034"/>
      <c r="U85" s="2034"/>
      <c r="V85" s="2034"/>
    </row>
    <row r="86" spans="1:26" ht="13.5" thickBot="1">
      <c r="A86" s="389" t="s">
        <v>1833</v>
      </c>
      <c r="B86" s="390" t="s">
        <v>436</v>
      </c>
      <c r="C86" s="391">
        <f ca="1">IF(C85&lt;=0,0,ROUND(C85*D86,0))</f>
        <v>3733</v>
      </c>
      <c r="D86" s="392">
        <f>'数据-取费表'!B41</f>
        <v>5.6000000000000001E-2</v>
      </c>
      <c r="E86" s="393"/>
      <c r="F86" s="42"/>
      <c r="G86" s="42"/>
      <c r="H86" s="1006"/>
      <c r="I86" s="314"/>
      <c r="J86" s="2034"/>
      <c r="K86" s="3310"/>
      <c r="L86" s="3105" t="s">
        <v>2896</v>
      </c>
      <c r="M86" s="3095" t="e">
        <f>N69*0.5%</f>
        <v>#VALUE!</v>
      </c>
      <c r="N86" s="53" t="e">
        <f>IF(M86&gt;0.5,0.5,ROUND(M86,0))</f>
        <v>#VALUE!</v>
      </c>
      <c r="O86" s="2034" t="s">
        <v>2897</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10"/>
      <c r="L87" s="3105" t="s">
        <v>2898</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292" t="s">
        <v>437</v>
      </c>
      <c r="B88" s="3293"/>
      <c r="C88" s="3293"/>
      <c r="D88" s="3293"/>
      <c r="E88" s="3293"/>
      <c r="F88" s="3293"/>
      <c r="G88" s="3293"/>
      <c r="H88" s="3293"/>
      <c r="I88" s="1318"/>
      <c r="J88" s="2042"/>
      <c r="K88" s="3310"/>
      <c r="L88" s="3105" t="s">
        <v>2899</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90" t="s">
        <v>428</v>
      </c>
      <c r="B89" s="3291"/>
      <c r="C89" s="997"/>
      <c r="D89" s="997" t="s">
        <v>429</v>
      </c>
      <c r="E89" s="394" t="s">
        <v>438</v>
      </c>
      <c r="F89" s="395"/>
      <c r="G89" s="395"/>
      <c r="H89" s="396"/>
      <c r="I89" s="1319"/>
      <c r="J89" s="2044"/>
      <c r="K89" s="3310"/>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68655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2973</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53" t="s">
        <v>447</v>
      </c>
      <c r="F94" s="3252"/>
      <c r="G94" s="3252"/>
      <c r="H94" s="328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2441</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412</v>
      </c>
      <c r="D96" s="409">
        <f>'数据-取费表'!B43</f>
        <v>6.000000000000001E-3</v>
      </c>
      <c r="E96" s="3281" t="s">
        <v>2440</v>
      </c>
      <c r="F96" s="3282"/>
      <c r="G96" s="3282"/>
      <c r="H96" s="3283"/>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65682</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22.092835519677095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38369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92" t="s">
        <v>454</v>
      </c>
      <c r="B101" s="3293"/>
      <c r="C101" s="3293"/>
      <c r="D101" s="3293"/>
      <c r="E101" s="3293"/>
      <c r="F101" s="3293"/>
      <c r="G101" s="3293"/>
      <c r="H101" s="3293"/>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90" t="s">
        <v>428</v>
      </c>
      <c r="B102" s="3291"/>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68655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1102</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2451</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84" t="s">
        <v>462</v>
      </c>
      <c r="F109" s="3282"/>
      <c r="G109" s="3282"/>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284" t="s">
        <v>464</v>
      </c>
      <c r="F110" s="3282"/>
      <c r="G110" s="3282"/>
      <c r="H110" s="3283"/>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412</v>
      </c>
      <c r="D111" s="409">
        <f>'数据-取费表'!B43</f>
        <v>6.000000000000001E-3</v>
      </c>
      <c r="E111" s="3281" t="s">
        <v>2440</v>
      </c>
      <c r="F111" s="3282"/>
      <c r="G111" s="3282"/>
      <c r="H111" s="3283"/>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84" t="s">
        <v>2465</v>
      </c>
      <c r="F112" s="3282"/>
      <c r="G112" s="3282"/>
      <c r="H112" s="3283"/>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67553</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61.300362976406532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40146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E48" sqref="E4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110883</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1688</v>
      </c>
      <c r="B3" s="513">
        <f>ROUND(B2*10000/'数据-汇总表'!E3,0)</f>
        <v>3824</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11025</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735</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35" t="s">
        <v>523</v>
      </c>
      <c r="D6" s="3336"/>
      <c r="E6" s="3335" t="s">
        <v>524</v>
      </c>
      <c r="F6" s="3336"/>
      <c r="G6" s="3335" t="s">
        <v>525</v>
      </c>
      <c r="H6" s="3336"/>
      <c r="I6" s="3335" t="s">
        <v>526</v>
      </c>
      <c r="J6" s="3336"/>
      <c r="K6" s="517" t="s">
        <v>527</v>
      </c>
      <c r="L6" s="2143"/>
      <c r="M6" s="2142"/>
      <c r="N6" s="2142"/>
      <c r="O6" s="2144"/>
      <c r="P6" s="3337" t="s">
        <v>528</v>
      </c>
      <c r="Q6" s="3338"/>
      <c r="R6" s="3343" t="s">
        <v>524</v>
      </c>
      <c r="S6" s="3344"/>
      <c r="T6" s="3343" t="s">
        <v>525</v>
      </c>
      <c r="U6" s="3344"/>
      <c r="V6" s="3330" t="s">
        <v>526</v>
      </c>
      <c r="W6" s="3330"/>
      <c r="X6" s="1572"/>
      <c r="Y6" s="3343" t="s">
        <v>528</v>
      </c>
      <c r="Z6" s="3344"/>
      <c r="AA6" s="3332" t="s">
        <v>524</v>
      </c>
      <c r="AB6" s="3333" t="s">
        <v>525</v>
      </c>
      <c r="AC6" s="3332" t="s">
        <v>526</v>
      </c>
    </row>
    <row r="7" spans="1:30" ht="20.25">
      <c r="A7" s="518"/>
      <c r="B7" s="519"/>
      <c r="C7" s="3353" t="s">
        <v>2944</v>
      </c>
      <c r="D7" s="3352"/>
      <c r="E7" s="3351" t="s">
        <v>2990</v>
      </c>
      <c r="F7" s="3352"/>
      <c r="G7" s="3351" t="s">
        <v>2991</v>
      </c>
      <c r="H7" s="3352"/>
      <c r="I7" s="3351" t="s">
        <v>2992</v>
      </c>
      <c r="J7" s="3352"/>
      <c r="K7" s="517"/>
      <c r="L7" s="2143"/>
      <c r="M7" s="2142"/>
      <c r="N7" s="2142"/>
      <c r="O7" s="2144"/>
      <c r="P7" s="3339"/>
      <c r="Q7" s="3340"/>
      <c r="R7" s="3345"/>
      <c r="S7" s="3346"/>
      <c r="T7" s="3345"/>
      <c r="U7" s="3346"/>
      <c r="V7" s="3330"/>
      <c r="W7" s="3330"/>
      <c r="X7" s="1572"/>
      <c r="Y7" s="3345"/>
      <c r="Z7" s="3346"/>
      <c r="AA7" s="3333"/>
      <c r="AB7" s="3333"/>
      <c r="AC7" s="3333"/>
    </row>
    <row r="8" spans="1:30" ht="21" thickBot="1">
      <c r="A8" s="518"/>
      <c r="B8" s="519"/>
      <c r="C8" s="3354" t="s">
        <v>2948</v>
      </c>
      <c r="D8" s="3355"/>
      <c r="E8" s="3354" t="s">
        <v>2948</v>
      </c>
      <c r="F8" s="3355"/>
      <c r="G8" s="3349" t="s">
        <v>2948</v>
      </c>
      <c r="H8" s="3350"/>
      <c r="I8" s="3349" t="s">
        <v>2948</v>
      </c>
      <c r="J8" s="3350"/>
      <c r="K8" s="517" t="s">
        <v>529</v>
      </c>
      <c r="L8" s="2143"/>
      <c r="M8" s="2142"/>
      <c r="N8" s="2142"/>
      <c r="O8" s="2144"/>
      <c r="P8" s="3341"/>
      <c r="Q8" s="3342"/>
      <c r="R8" s="3345"/>
      <c r="S8" s="3346"/>
      <c r="T8" s="3347"/>
      <c r="U8" s="3348"/>
      <c r="V8" s="3330"/>
      <c r="W8" s="3330"/>
      <c r="X8" s="1572"/>
      <c r="Y8" s="3347"/>
      <c r="Z8" s="3348"/>
      <c r="AA8" s="3334"/>
      <c r="AB8" s="3334"/>
      <c r="AC8" s="3334"/>
    </row>
    <row r="9" spans="1:30" s="1223" customFormat="1" ht="21" thickBot="1">
      <c r="A9" s="2951"/>
      <c r="B9" s="2958" t="s">
        <v>530</v>
      </c>
      <c r="C9" s="2950">
        <f>'数据-取费表'!B2</f>
        <v>42921</v>
      </c>
      <c r="D9" s="523">
        <v>100</v>
      </c>
      <c r="E9" s="524">
        <v>42515</v>
      </c>
      <c r="F9" s="525">
        <f>SUMIF(72:72,YEAR(E9)&amp;"-"&amp;INT((MONTH(E9)+2)/3),73:73)</f>
        <v>97.5</v>
      </c>
      <c r="G9" s="526">
        <v>42364</v>
      </c>
      <c r="H9" s="523">
        <f>SUMIF(72:72,YEAR(G9)&amp;"-"&amp;INT((MONTH(G9)+2)/3),73:73)</f>
        <v>96.5</v>
      </c>
      <c r="I9" s="526">
        <v>42364</v>
      </c>
      <c r="J9" s="523">
        <f>SUMIF(72:72,YEAR(I9)&amp;"-"&amp;INT((MONTH(I9)+2)/3),73:73)</f>
        <v>96.5</v>
      </c>
      <c r="K9" s="527"/>
      <c r="L9" s="2145"/>
      <c r="M9" s="2142"/>
      <c r="N9" s="2142"/>
      <c r="O9" s="2146"/>
      <c r="P9" s="3361" t="s">
        <v>531</v>
      </c>
      <c r="Q9" s="3363"/>
      <c r="R9" s="1573" t="s">
        <v>8</v>
      </c>
      <c r="S9" s="1574">
        <f t="shared" ref="S9:S17" si="0">F9</f>
        <v>97.5</v>
      </c>
      <c r="T9" s="1573" t="s">
        <v>8</v>
      </c>
      <c r="U9" s="1574">
        <f t="shared" ref="U9:U17" si="1">H9</f>
        <v>96.5</v>
      </c>
      <c r="V9" s="1573" t="s">
        <v>8</v>
      </c>
      <c r="W9" s="1574">
        <f t="shared" ref="W9:W17" si="2">J9</f>
        <v>96.5</v>
      </c>
      <c r="X9" s="1575"/>
      <c r="Y9" s="3361" t="s">
        <v>531</v>
      </c>
      <c r="Z9" s="3362"/>
      <c r="AA9" s="1576">
        <f>D9/F9</f>
        <v>1.0256410256410255</v>
      </c>
      <c r="AB9" s="1576">
        <f>D9/H9</f>
        <v>1.0362694300518134</v>
      </c>
      <c r="AC9" s="1576">
        <f>D9/J9</f>
        <v>1.0362694300518134</v>
      </c>
    </row>
    <row r="10" spans="1:30" s="1223" customFormat="1" ht="21" thickBot="1">
      <c r="A10" s="2952"/>
      <c r="B10" s="2959" t="s">
        <v>532</v>
      </c>
      <c r="C10" s="859" t="s">
        <v>533</v>
      </c>
      <c r="D10" s="523">
        <v>100</v>
      </c>
      <c r="E10" s="528" t="s">
        <v>2987</v>
      </c>
      <c r="F10" s="525">
        <f>SUMIF(75:75,E10,76:76)-SUMIF(75:75,C10,76:76)+100</f>
        <v>100</v>
      </c>
      <c r="G10" s="528" t="s">
        <v>2987</v>
      </c>
      <c r="H10" s="523">
        <f>SUMIF(75:75,G10,76:76)-SUMIF(75:75,C10,76:76)+100</f>
        <v>100</v>
      </c>
      <c r="I10" s="528" t="s">
        <v>2987</v>
      </c>
      <c r="J10" s="523">
        <f>SUMIF(75:75,I10,76:76)-SUMIF(75:75,C10,76:76)+100</f>
        <v>100</v>
      </c>
      <c r="K10" s="527"/>
      <c r="L10" s="2145"/>
      <c r="M10" s="2142"/>
      <c r="N10" s="2142"/>
      <c r="O10" s="2146"/>
      <c r="P10" s="3361" t="s">
        <v>534</v>
      </c>
      <c r="Q10" s="3362"/>
      <c r="R10" s="1573" t="s">
        <v>8</v>
      </c>
      <c r="S10" s="1574">
        <f t="shared" si="0"/>
        <v>100</v>
      </c>
      <c r="T10" s="1573" t="s">
        <v>8</v>
      </c>
      <c r="U10" s="1574">
        <f t="shared" si="1"/>
        <v>100</v>
      </c>
      <c r="V10" s="1573" t="s">
        <v>8</v>
      </c>
      <c r="W10" s="1574">
        <f t="shared" si="2"/>
        <v>100</v>
      </c>
      <c r="X10" s="1575"/>
      <c r="Y10" s="3361" t="s">
        <v>534</v>
      </c>
      <c r="Z10" s="3362"/>
      <c r="AA10" s="1576">
        <f t="shared" ref="AA10:AA47" si="3">D10/F10</f>
        <v>1</v>
      </c>
      <c r="AB10" s="1576">
        <f t="shared" ref="AB10:AB47" si="4">D10/H10</f>
        <v>1</v>
      </c>
      <c r="AC10" s="1576">
        <f t="shared" ref="AC10:AC47" si="5">D10/J10</f>
        <v>1</v>
      </c>
    </row>
    <row r="11" spans="1:30" s="1223" customFormat="1" ht="20.25">
      <c r="A11" s="2953"/>
      <c r="B11" s="2960" t="s">
        <v>2773</v>
      </c>
      <c r="C11" s="2947" t="s">
        <v>926</v>
      </c>
      <c r="D11" s="254">
        <v>100</v>
      </c>
      <c r="E11" s="529" t="s">
        <v>926</v>
      </c>
      <c r="F11" s="254">
        <f>SUMIF(77:77,E11,78:78)-SUMIF(77:77,C11,78:78)+100</f>
        <v>100</v>
      </c>
      <c r="G11" s="529" t="s">
        <v>926</v>
      </c>
      <c r="H11" s="254">
        <f>SUMIF(77:77,G11,78:78)-SUMIF(77:77,C11,78:78)+100</f>
        <v>100</v>
      </c>
      <c r="I11" s="529" t="s">
        <v>926</v>
      </c>
      <c r="J11" s="254">
        <f>SUMIF(77:77,I11,78:78)-SUMIF(77:77,C11,78:78)+100</f>
        <v>100</v>
      </c>
      <c r="K11" s="527"/>
      <c r="L11" s="2145"/>
      <c r="M11" s="2142"/>
      <c r="N11" s="2142"/>
      <c r="O11" s="2147"/>
      <c r="P11" s="3329" t="s">
        <v>536</v>
      </c>
      <c r="Q11" s="1154" t="str">
        <f t="shared" ref="Q11:Q17" si="6">B11</f>
        <v>用途</v>
      </c>
      <c r="R11" s="1573" t="s">
        <v>8</v>
      </c>
      <c r="S11" s="1574">
        <f t="shared" si="0"/>
        <v>100</v>
      </c>
      <c r="T11" s="1573" t="s">
        <v>8</v>
      </c>
      <c r="U11" s="1574">
        <f t="shared" si="1"/>
        <v>100</v>
      </c>
      <c r="V11" s="1573" t="s">
        <v>8</v>
      </c>
      <c r="W11" s="1574">
        <f t="shared" si="2"/>
        <v>100</v>
      </c>
      <c r="X11" s="1575"/>
      <c r="Y11" s="3275" t="s">
        <v>537</v>
      </c>
      <c r="Z11" s="1153" t="str">
        <f t="shared" ref="Z11:Z17" si="7">Q11</f>
        <v>用途</v>
      </c>
      <c r="AA11" s="1576">
        <f t="shared" si="3"/>
        <v>1</v>
      </c>
      <c r="AB11" s="1576">
        <f t="shared" si="4"/>
        <v>1</v>
      </c>
      <c r="AC11" s="1576">
        <f t="shared" si="5"/>
        <v>1</v>
      </c>
    </row>
    <row r="12" spans="1:30" s="1341" customFormat="1" ht="27">
      <c r="A12" s="2954"/>
      <c r="B12" s="2959" t="s">
        <v>2774</v>
      </c>
      <c r="C12" s="913"/>
      <c r="D12" s="255">
        <v>100</v>
      </c>
      <c r="E12" s="532"/>
      <c r="F12" s="255">
        <f>ROUND(100/'数据-取费表'!G16,0)</f>
        <v>102</v>
      </c>
      <c r="G12" s="533"/>
      <c r="H12" s="255">
        <f>ROUND(100/'数据-取费表'!G16,0)</f>
        <v>102</v>
      </c>
      <c r="I12" s="533"/>
      <c r="J12" s="255">
        <f>ROUND(100/'数据-取费表'!G16,0)</f>
        <v>102</v>
      </c>
      <c r="K12" s="534"/>
      <c r="L12" s="2148"/>
      <c r="M12" s="2142"/>
      <c r="N12" s="2142"/>
      <c r="O12" s="2149"/>
      <c r="P12" s="3329"/>
      <c r="Q12" s="1154" t="str">
        <f t="shared" si="6"/>
        <v>土地使用年限（年）</v>
      </c>
      <c r="R12" s="1573" t="s">
        <v>8</v>
      </c>
      <c r="S12" s="1574">
        <f t="shared" si="0"/>
        <v>102</v>
      </c>
      <c r="T12" s="1573" t="s">
        <v>8</v>
      </c>
      <c r="U12" s="1574">
        <f t="shared" si="1"/>
        <v>102</v>
      </c>
      <c r="V12" s="1573" t="s">
        <v>8</v>
      </c>
      <c r="W12" s="1574">
        <f t="shared" si="2"/>
        <v>102</v>
      </c>
      <c r="X12" s="1575"/>
      <c r="Y12" s="3275"/>
      <c r="Z12" s="1153" t="str">
        <f t="shared" si="7"/>
        <v>土地使用年限（年）</v>
      </c>
      <c r="AA12" s="1576">
        <f t="shared" si="3"/>
        <v>0.98039215686274506</v>
      </c>
      <c r="AB12" s="1576">
        <f t="shared" si="4"/>
        <v>0.98039215686274506</v>
      </c>
      <c r="AC12" s="1576">
        <f t="shared" si="5"/>
        <v>0.98039215686274506</v>
      </c>
    </row>
    <row r="13" spans="1:30" ht="21" thickBot="1">
      <c r="A13" s="2955"/>
      <c r="B13" s="2959" t="s">
        <v>2775</v>
      </c>
      <c r="C13" s="537">
        <f>'数据-汇总表'!I6</f>
        <v>2.31</v>
      </c>
      <c r="D13" s="255">
        <v>100</v>
      </c>
      <c r="E13" s="536">
        <v>1.6</v>
      </c>
      <c r="F13" s="255">
        <f>LOOKUP(E13,82:82,83:83)-LOOKUP(C13,82:82,83:83)+100</f>
        <v>97</v>
      </c>
      <c r="G13" s="537">
        <v>2</v>
      </c>
      <c r="H13" s="255">
        <f>LOOKUP(G13,82:82,83:83)-LOOKUP(C13,82:82,83:83)+100</f>
        <v>100</v>
      </c>
      <c r="I13" s="536">
        <v>2</v>
      </c>
      <c r="J13" s="255">
        <f>LOOKUP(I13,82:82,83:83)-LOOKUP(C13,82:82,83:83)+100</f>
        <v>100</v>
      </c>
      <c r="K13" s="538">
        <v>3</v>
      </c>
      <c r="L13" s="2150"/>
      <c r="M13" s="2142"/>
      <c r="N13" s="2142"/>
      <c r="O13" s="2151"/>
      <c r="P13" s="3329"/>
      <c r="Q13" s="1154" t="str">
        <f t="shared" si="6"/>
        <v>容积率</v>
      </c>
      <c r="R13" s="1573" t="s">
        <v>8</v>
      </c>
      <c r="S13" s="1574">
        <f t="shared" si="0"/>
        <v>97</v>
      </c>
      <c r="T13" s="1573" t="s">
        <v>8</v>
      </c>
      <c r="U13" s="1574">
        <f t="shared" si="1"/>
        <v>100</v>
      </c>
      <c r="V13" s="1573" t="s">
        <v>8</v>
      </c>
      <c r="W13" s="1574">
        <f t="shared" si="2"/>
        <v>100</v>
      </c>
      <c r="X13" s="1575"/>
      <c r="Y13" s="3275"/>
      <c r="Z13" s="1153" t="str">
        <f t="shared" si="7"/>
        <v>容积率</v>
      </c>
      <c r="AA13" s="1576">
        <f t="shared" si="3"/>
        <v>1.0309278350515463</v>
      </c>
      <c r="AB13" s="1576">
        <f t="shared" si="4"/>
        <v>1</v>
      </c>
      <c r="AC13" s="1576">
        <f t="shared" si="5"/>
        <v>1</v>
      </c>
    </row>
    <row r="14" spans="1:30" s="1223" customFormat="1" ht="20.25" hidden="1">
      <c r="A14" s="2952"/>
      <c r="B14" s="2961" t="s">
        <v>2776</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29"/>
      <c r="Q14" s="1154" t="str">
        <f t="shared" si="6"/>
        <v>配建</v>
      </c>
      <c r="R14" s="1573" t="s">
        <v>8</v>
      </c>
      <c r="S14" s="1574">
        <f t="shared" si="0"/>
        <v>100</v>
      </c>
      <c r="T14" s="1573" t="s">
        <v>8</v>
      </c>
      <c r="U14" s="1574">
        <f t="shared" si="1"/>
        <v>100</v>
      </c>
      <c r="V14" s="1573" t="s">
        <v>8</v>
      </c>
      <c r="W14" s="1574">
        <f t="shared" si="2"/>
        <v>100</v>
      </c>
      <c r="X14" s="1575"/>
      <c r="Y14" s="3275"/>
      <c r="Z14" s="1153" t="str">
        <f t="shared" si="7"/>
        <v>配建</v>
      </c>
      <c r="AA14" s="1576">
        <f>D14/F14</f>
        <v>1</v>
      </c>
      <c r="AB14" s="1576">
        <f>D14/H14</f>
        <v>1</v>
      </c>
      <c r="AC14" s="1576">
        <f>D14/J14</f>
        <v>1</v>
      </c>
    </row>
    <row r="15" spans="1:30" ht="20.25" hidden="1">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29"/>
      <c r="Q15" s="1154">
        <f t="shared" si="6"/>
        <v>111</v>
      </c>
      <c r="R15" s="1573" t="s">
        <v>8</v>
      </c>
      <c r="S15" s="1574">
        <f t="shared" si="0"/>
        <v>100</v>
      </c>
      <c r="T15" s="1573" t="s">
        <v>8</v>
      </c>
      <c r="U15" s="1574">
        <f t="shared" si="1"/>
        <v>100</v>
      </c>
      <c r="V15" s="1573" t="s">
        <v>8</v>
      </c>
      <c r="W15" s="1574">
        <f t="shared" si="2"/>
        <v>100</v>
      </c>
      <c r="X15" s="1575"/>
      <c r="Y15" s="3275"/>
      <c r="Z15" s="1153">
        <f t="shared" si="7"/>
        <v>111</v>
      </c>
      <c r="AA15" s="1576">
        <f>D15/F15</f>
        <v>1</v>
      </c>
      <c r="AB15" s="1576">
        <f>D15/H15</f>
        <v>1</v>
      </c>
      <c r="AC15" s="1576">
        <f>D15/J15</f>
        <v>1</v>
      </c>
    </row>
    <row r="16" spans="1:30" ht="21" hidden="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29"/>
      <c r="Q16" s="1154">
        <f t="shared" si="6"/>
        <v>111</v>
      </c>
      <c r="R16" s="1573" t="s">
        <v>8</v>
      </c>
      <c r="S16" s="1574">
        <f t="shared" si="0"/>
        <v>100</v>
      </c>
      <c r="T16" s="1573" t="s">
        <v>8</v>
      </c>
      <c r="U16" s="1574">
        <f t="shared" si="1"/>
        <v>100</v>
      </c>
      <c r="V16" s="1573" t="s">
        <v>8</v>
      </c>
      <c r="W16" s="1574">
        <f t="shared" si="2"/>
        <v>100</v>
      </c>
      <c r="X16" s="1575"/>
      <c r="Y16" s="3275"/>
      <c r="Z16" s="1153">
        <f t="shared" si="7"/>
        <v>111</v>
      </c>
      <c r="AA16" s="1576">
        <f>D16/F16</f>
        <v>1</v>
      </c>
      <c r="AB16" s="1576">
        <f>D16/H16</f>
        <v>1</v>
      </c>
      <c r="AC16" s="1576">
        <f>D16/J16</f>
        <v>1</v>
      </c>
    </row>
    <row r="17" spans="1:29" ht="99.75">
      <c r="A17" s="2949" t="s">
        <v>2771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95</v>
      </c>
      <c r="I17" s="555"/>
      <c r="J17" s="552">
        <f>SUMIF(90:90,I18,91:91)-SUMIF(90:90,C18,91:91)+100</f>
        <v>95</v>
      </c>
      <c r="K17" s="3157">
        <v>5</v>
      </c>
      <c r="L17" s="2152"/>
      <c r="M17" s="2142"/>
      <c r="N17" s="2142"/>
      <c r="O17" s="2151"/>
      <c r="P17" s="3364" t="s">
        <v>541</v>
      </c>
      <c r="Q17" s="1577" t="str">
        <f t="shared" si="6"/>
        <v>居住社区成熟度</v>
      </c>
      <c r="R17" s="1578" t="s">
        <v>8</v>
      </c>
      <c r="S17" s="1579">
        <f t="shared" si="0"/>
        <v>95</v>
      </c>
      <c r="T17" s="1578" t="s">
        <v>8</v>
      </c>
      <c r="U17" s="1579">
        <f t="shared" si="1"/>
        <v>95</v>
      </c>
      <c r="V17" s="1578" t="s">
        <v>8</v>
      </c>
      <c r="W17" s="1579">
        <f t="shared" si="2"/>
        <v>95</v>
      </c>
      <c r="X17" s="1572"/>
      <c r="Y17" s="3364" t="s">
        <v>541</v>
      </c>
      <c r="Z17" s="1580" t="str">
        <f t="shared" si="7"/>
        <v>居住社区成熟度</v>
      </c>
      <c r="AA17" s="1581">
        <f t="shared" si="3"/>
        <v>1.0526315789473684</v>
      </c>
      <c r="AB17" s="1581">
        <f t="shared" si="4"/>
        <v>1.0526315789473684</v>
      </c>
      <c r="AC17" s="1581">
        <f t="shared" si="5"/>
        <v>1.0526315789473684</v>
      </c>
    </row>
    <row r="18" spans="1:29" ht="20.25">
      <c r="A18" s="535"/>
      <c r="B18" s="556"/>
      <c r="C18" s="557" t="s">
        <v>2999</v>
      </c>
      <c r="D18" s="560"/>
      <c r="E18" s="561" t="s">
        <v>3009</v>
      </c>
      <c r="F18" s="558"/>
      <c r="G18" s="559" t="s">
        <v>3009</v>
      </c>
      <c r="H18" s="562"/>
      <c r="I18" s="561" t="s">
        <v>3009</v>
      </c>
      <c r="J18" s="558"/>
      <c r="K18" s="534"/>
      <c r="L18" s="2152"/>
      <c r="M18" s="2142"/>
      <c r="N18" s="2142"/>
      <c r="O18" s="2151"/>
      <c r="P18" s="3365"/>
      <c r="Q18" s="1577"/>
      <c r="R18" s="1578"/>
      <c r="S18" s="1579"/>
      <c r="T18" s="1578"/>
      <c r="U18" s="1579"/>
      <c r="V18" s="1578"/>
      <c r="W18" s="1579"/>
      <c r="X18" s="1572"/>
      <c r="Y18" s="3365"/>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95</v>
      </c>
      <c r="G19" s="565"/>
      <c r="H19" s="568">
        <f>SUMIF(92:92,G20,93:93)-SUMIF(92:92,C20,93:93)+100</f>
        <v>95</v>
      </c>
      <c r="I19" s="567"/>
      <c r="J19" s="568">
        <f>SUMIF(92:92,I20,93:93)-SUMIF(92:92,C20,93:93)+100</f>
        <v>95</v>
      </c>
      <c r="K19" s="3157">
        <v>5</v>
      </c>
      <c r="L19" s="2152"/>
      <c r="M19" s="2142"/>
      <c r="N19" s="2142"/>
      <c r="O19" s="2151"/>
      <c r="P19" s="3365"/>
      <c r="Q19" s="1577" t="str">
        <f>B19</f>
        <v>商业繁华度</v>
      </c>
      <c r="R19" s="1578" t="s">
        <v>8</v>
      </c>
      <c r="S19" s="1579">
        <f>F19</f>
        <v>95</v>
      </c>
      <c r="T19" s="1578" t="s">
        <v>8</v>
      </c>
      <c r="U19" s="1579">
        <f>H19</f>
        <v>95</v>
      </c>
      <c r="V19" s="1578" t="s">
        <v>8</v>
      </c>
      <c r="W19" s="1579">
        <f>J19</f>
        <v>95</v>
      </c>
      <c r="X19" s="1572"/>
      <c r="Y19" s="3365"/>
      <c r="Z19" s="1580" t="str">
        <f>Q19</f>
        <v>商业繁华度</v>
      </c>
      <c r="AA19" s="1581">
        <f t="shared" si="3"/>
        <v>1.0526315789473684</v>
      </c>
      <c r="AB19" s="1581">
        <f t="shared" si="4"/>
        <v>1.0526315789473684</v>
      </c>
      <c r="AC19" s="1581">
        <f t="shared" si="5"/>
        <v>1.0526315789473684</v>
      </c>
    </row>
    <row r="20" spans="1:29" ht="20.25">
      <c r="A20" s="535"/>
      <c r="B20" s="569"/>
      <c r="C20" s="570" t="s">
        <v>2999</v>
      </c>
      <c r="D20" s="566"/>
      <c r="E20" s="572" t="s">
        <v>3009</v>
      </c>
      <c r="F20" s="562"/>
      <c r="G20" s="571" t="s">
        <v>3009</v>
      </c>
      <c r="H20" s="558"/>
      <c r="I20" s="572" t="s">
        <v>3009</v>
      </c>
      <c r="J20" s="558"/>
      <c r="K20" s="534"/>
      <c r="L20" s="2152"/>
      <c r="M20" s="2142"/>
      <c r="N20" s="2142"/>
      <c r="O20" s="2151"/>
      <c r="P20" s="3365"/>
      <c r="Q20" s="1577"/>
      <c r="R20" s="1578"/>
      <c r="S20" s="1579"/>
      <c r="T20" s="1578"/>
      <c r="U20" s="1579"/>
      <c r="V20" s="1578"/>
      <c r="W20" s="1579"/>
      <c r="X20" s="1572"/>
      <c r="Y20" s="3365"/>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2"/>
      <c r="M21" s="2142"/>
      <c r="N21" s="2142"/>
      <c r="O21" s="2151"/>
      <c r="P21" s="3365"/>
      <c r="Q21" s="1577" t="str">
        <f>B21</f>
        <v>办公集聚程度</v>
      </c>
      <c r="R21" s="1578" t="s">
        <v>8</v>
      </c>
      <c r="S21" s="1579">
        <f>F21</f>
        <v>100</v>
      </c>
      <c r="T21" s="1578" t="s">
        <v>8</v>
      </c>
      <c r="U21" s="1579">
        <f>H21</f>
        <v>100</v>
      </c>
      <c r="V21" s="1578" t="s">
        <v>8</v>
      </c>
      <c r="W21" s="1579">
        <f>J21</f>
        <v>100</v>
      </c>
      <c r="X21" s="1572"/>
      <c r="Y21" s="3365"/>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2"/>
      <c r="M22" s="2142"/>
      <c r="N22" s="2142"/>
      <c r="O22" s="2151"/>
      <c r="P22" s="3365"/>
      <c r="Q22" s="1577"/>
      <c r="R22" s="1578"/>
      <c r="S22" s="1579"/>
      <c r="T22" s="1578"/>
      <c r="U22" s="1579"/>
      <c r="V22" s="1578"/>
      <c r="W22" s="1579"/>
      <c r="X22" s="1572"/>
      <c r="Y22" s="3365"/>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97</v>
      </c>
      <c r="G23" s="565"/>
      <c r="H23" s="562">
        <f>SUMIF(96:96,G24,97:97)-SUMIF(96:96,C24,97:97)+100</f>
        <v>97</v>
      </c>
      <c r="I23" s="567"/>
      <c r="J23" s="562">
        <f>SUMIF(96:96,I24,97:97)-SUMIF(96:96,C24,97:97)+100</f>
        <v>97</v>
      </c>
      <c r="K23" s="538">
        <v>3</v>
      </c>
      <c r="L23" s="2152"/>
      <c r="M23" s="2142"/>
      <c r="N23" s="2142"/>
      <c r="O23" s="2151"/>
      <c r="P23" s="3365"/>
      <c r="Q23" s="1577" t="str">
        <f>B23</f>
        <v>交通便捷度</v>
      </c>
      <c r="R23" s="1578" t="s">
        <v>8</v>
      </c>
      <c r="S23" s="1579">
        <f>F23</f>
        <v>97</v>
      </c>
      <c r="T23" s="1578" t="s">
        <v>8</v>
      </c>
      <c r="U23" s="1579">
        <f>H23</f>
        <v>97</v>
      </c>
      <c r="V23" s="1578" t="s">
        <v>8</v>
      </c>
      <c r="W23" s="1579">
        <f>J23</f>
        <v>97</v>
      </c>
      <c r="X23" s="1572"/>
      <c r="Y23" s="3365"/>
      <c r="Z23" s="1580" t="str">
        <f>Q23</f>
        <v>交通便捷度</v>
      </c>
      <c r="AA23" s="1581">
        <f t="shared" si="3"/>
        <v>1.0309278350515463</v>
      </c>
      <c r="AB23" s="1581">
        <f t="shared" si="4"/>
        <v>1.0309278350515463</v>
      </c>
      <c r="AC23" s="1581">
        <f t="shared" si="5"/>
        <v>1.0309278350515463</v>
      </c>
    </row>
    <row r="24" spans="1:29" ht="20.25">
      <c r="A24" s="535"/>
      <c r="B24" s="581"/>
      <c r="C24" s="557" t="s">
        <v>2999</v>
      </c>
      <c r="D24" s="560"/>
      <c r="E24" s="561" t="s">
        <v>3009</v>
      </c>
      <c r="F24" s="558"/>
      <c r="G24" s="559" t="s">
        <v>3009</v>
      </c>
      <c r="H24" s="558"/>
      <c r="I24" s="561" t="s">
        <v>3009</v>
      </c>
      <c r="J24" s="558"/>
      <c r="K24" s="534"/>
      <c r="L24" s="2152"/>
      <c r="M24" s="2142"/>
      <c r="N24" s="2142"/>
      <c r="O24" s="2151"/>
      <c r="P24" s="3365"/>
      <c r="Q24" s="1577"/>
      <c r="R24" s="1578"/>
      <c r="S24" s="1579"/>
      <c r="T24" s="1578"/>
      <c r="U24" s="1579"/>
      <c r="V24" s="1578"/>
      <c r="W24" s="1579"/>
      <c r="X24" s="1572"/>
      <c r="Y24" s="3365"/>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2"/>
      <c r="M25" s="2142"/>
      <c r="N25" s="2142"/>
      <c r="O25" s="2151"/>
      <c r="P25" s="3365"/>
      <c r="Q25" s="1577" t="str">
        <f t="shared" ref="Q25:Q39" si="8">B25</f>
        <v>区域土地利用方向</v>
      </c>
      <c r="R25" s="1578" t="s">
        <v>8</v>
      </c>
      <c r="S25" s="1579">
        <f>F25</f>
        <v>100</v>
      </c>
      <c r="T25" s="1578" t="s">
        <v>8</v>
      </c>
      <c r="U25" s="1579">
        <f>H25</f>
        <v>100</v>
      </c>
      <c r="V25" s="1578" t="s">
        <v>8</v>
      </c>
      <c r="W25" s="1579">
        <f>J25</f>
        <v>100</v>
      </c>
      <c r="X25" s="1572"/>
      <c r="Y25" s="3365"/>
      <c r="Z25" s="1580" t="str">
        <f>Q25</f>
        <v>区域土地利用方向</v>
      </c>
      <c r="AA25" s="1581">
        <f t="shared" si="3"/>
        <v>1</v>
      </c>
      <c r="AB25" s="1581">
        <f t="shared" si="4"/>
        <v>1</v>
      </c>
      <c r="AC25" s="1581">
        <f t="shared" si="5"/>
        <v>1</v>
      </c>
    </row>
    <row r="26" spans="1:29" ht="20.25">
      <c r="A26" s="518"/>
      <c r="B26" s="1010"/>
      <c r="C26" s="557" t="s">
        <v>2999</v>
      </c>
      <c r="D26" s="560"/>
      <c r="E26" s="561" t="s">
        <v>2999</v>
      </c>
      <c r="F26" s="558"/>
      <c r="G26" s="559" t="s">
        <v>2999</v>
      </c>
      <c r="H26" s="558"/>
      <c r="I26" s="561" t="s">
        <v>2999</v>
      </c>
      <c r="J26" s="558"/>
      <c r="K26" s="534"/>
      <c r="L26" s="2152"/>
      <c r="M26" s="2142"/>
      <c r="N26" s="2142"/>
      <c r="O26" s="2151"/>
      <c r="P26" s="3365"/>
      <c r="Q26" s="1577"/>
      <c r="R26" s="1578"/>
      <c r="S26" s="1579"/>
      <c r="T26" s="1578"/>
      <c r="U26" s="1579"/>
      <c r="V26" s="1578"/>
      <c r="W26" s="1579"/>
      <c r="X26" s="1572"/>
      <c r="Y26" s="3365"/>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105</v>
      </c>
      <c r="G27" s="565"/>
      <c r="H27" s="562">
        <f>SUMIF(100:100,G28,101:101)-SUMIF(100:100,C28,101:101)+100</f>
        <v>105</v>
      </c>
      <c r="I27" s="567"/>
      <c r="J27" s="562">
        <f>SUMIF(100:100,I28,101:101)-SUMIF(100:100,C28,101:101)+100</f>
        <v>105</v>
      </c>
      <c r="K27" s="538">
        <v>5</v>
      </c>
      <c r="L27" s="2152"/>
      <c r="M27" s="2142"/>
      <c r="N27" s="2142"/>
      <c r="O27" s="2151"/>
      <c r="P27" s="3365"/>
      <c r="Q27" s="1577" t="str">
        <f t="shared" si="8"/>
        <v>自然及人文环境状况</v>
      </c>
      <c r="R27" s="1578" t="s">
        <v>8</v>
      </c>
      <c r="S27" s="1579">
        <f>F27</f>
        <v>105</v>
      </c>
      <c r="T27" s="1578" t="s">
        <v>8</v>
      </c>
      <c r="U27" s="1579">
        <f>H27</f>
        <v>105</v>
      </c>
      <c r="V27" s="1578" t="s">
        <v>8</v>
      </c>
      <c r="W27" s="1579">
        <f>J27</f>
        <v>105</v>
      </c>
      <c r="X27" s="1572"/>
      <c r="Y27" s="3365"/>
      <c r="Z27" s="1580" t="str">
        <f>Q27</f>
        <v>自然及人文环境状况</v>
      </c>
      <c r="AA27" s="1581">
        <f t="shared" si="3"/>
        <v>0.95238095238095233</v>
      </c>
      <c r="AB27" s="1581">
        <f t="shared" si="4"/>
        <v>0.95238095238095233</v>
      </c>
      <c r="AC27" s="1581">
        <f t="shared" si="5"/>
        <v>0.95238095238095233</v>
      </c>
    </row>
    <row r="28" spans="1:29" ht="20.25">
      <c r="A28" s="518"/>
      <c r="B28" s="569"/>
      <c r="C28" s="557" t="s">
        <v>3009</v>
      </c>
      <c r="D28" s="560"/>
      <c r="E28" s="579" t="s">
        <v>2999</v>
      </c>
      <c r="F28" s="558"/>
      <c r="G28" s="557" t="s">
        <v>2999</v>
      </c>
      <c r="H28" s="558"/>
      <c r="I28" s="579" t="s">
        <v>2999</v>
      </c>
      <c r="J28" s="558"/>
      <c r="K28" s="534"/>
      <c r="L28" s="2152"/>
      <c r="M28" s="2142"/>
      <c r="N28" s="2142"/>
      <c r="O28" s="2151"/>
      <c r="P28" s="3365"/>
      <c r="Q28" s="1577"/>
      <c r="R28" s="1578"/>
      <c r="S28" s="1579"/>
      <c r="T28" s="1578"/>
      <c r="U28" s="1579"/>
      <c r="V28" s="1578"/>
      <c r="W28" s="1579"/>
      <c r="X28" s="1572"/>
      <c r="Y28" s="3365"/>
      <c r="Z28" s="1580"/>
      <c r="AA28" s="1581">
        <v>1</v>
      </c>
      <c r="AB28" s="1581">
        <v>1</v>
      </c>
      <c r="AC28" s="1581">
        <v>1</v>
      </c>
    </row>
    <row r="29" spans="1:29" s="1223" customFormat="1" ht="42.75">
      <c r="A29" s="580"/>
      <c r="B29" s="2626" t="s">
        <v>2562</v>
      </c>
      <c r="C29" s="576" t="str">
        <f>估价对象房地状况!C21</f>
        <v>估价对象所在区域公共配套设施齐备情况</v>
      </c>
      <c r="D29" s="566">
        <v>100</v>
      </c>
      <c r="E29" s="567"/>
      <c r="F29" s="562">
        <f>SUMIF(102:102,E30,103:103)-SUMIF(102:102,C30,103:103)+100</f>
        <v>98</v>
      </c>
      <c r="G29" s="565"/>
      <c r="H29" s="562">
        <f>SUMIF(102:102,G30,103:103)-SUMIF(102:102,C30,103:103)+100</f>
        <v>98</v>
      </c>
      <c r="I29" s="567"/>
      <c r="J29" s="562">
        <f>SUMIF(102:102,I30,103:103)-SUMIF(102:102,C30,103:103)+100</f>
        <v>98</v>
      </c>
      <c r="K29" s="538">
        <v>2</v>
      </c>
      <c r="L29" s="2145"/>
      <c r="M29" s="2142"/>
      <c r="N29" s="2142"/>
      <c r="O29" s="2147"/>
      <c r="P29" s="3365"/>
      <c r="Q29" s="1154" t="str">
        <f t="shared" si="8"/>
        <v>公共配套设施</v>
      </c>
      <c r="R29" s="1573" t="s">
        <v>8</v>
      </c>
      <c r="S29" s="1574">
        <f>F29</f>
        <v>98</v>
      </c>
      <c r="T29" s="1573" t="s">
        <v>8</v>
      </c>
      <c r="U29" s="1574">
        <f>H29</f>
        <v>98</v>
      </c>
      <c r="V29" s="1573" t="s">
        <v>8</v>
      </c>
      <c r="W29" s="1574">
        <f>J29</f>
        <v>98</v>
      </c>
      <c r="X29" s="1575"/>
      <c r="Y29" s="3365"/>
      <c r="Z29" s="1153" t="str">
        <f>Q29</f>
        <v>公共配套设施</v>
      </c>
      <c r="AA29" s="1581">
        <f>D29/F29</f>
        <v>1.0204081632653061</v>
      </c>
      <c r="AB29" s="1581">
        <f>D29/H29</f>
        <v>1.0204081632653061</v>
      </c>
      <c r="AC29" s="1581">
        <f>D29/J29</f>
        <v>1.0204081632653061</v>
      </c>
    </row>
    <row r="30" spans="1:29" s="1223" customFormat="1" ht="20.25">
      <c r="A30" s="580"/>
      <c r="B30" s="569"/>
      <c r="C30" s="582" t="s">
        <v>2999</v>
      </c>
      <c r="D30" s="560"/>
      <c r="E30" s="579" t="s">
        <v>3009</v>
      </c>
      <c r="F30" s="558"/>
      <c r="G30" s="557" t="s">
        <v>3009</v>
      </c>
      <c r="H30" s="558"/>
      <c r="I30" s="579" t="s">
        <v>3009</v>
      </c>
      <c r="J30" s="558"/>
      <c r="K30" s="534"/>
      <c r="L30" s="2145"/>
      <c r="M30" s="2142"/>
      <c r="N30" s="2142"/>
      <c r="O30" s="2147"/>
      <c r="P30" s="3365"/>
      <c r="Q30" s="1154"/>
      <c r="R30" s="1573"/>
      <c r="S30" s="1574"/>
      <c r="T30" s="1573"/>
      <c r="U30" s="1574"/>
      <c r="V30" s="1573"/>
      <c r="W30" s="1574"/>
      <c r="X30" s="1575"/>
      <c r="Y30" s="3365"/>
      <c r="Z30" s="1153"/>
      <c r="AA30" s="1581">
        <v>1</v>
      </c>
      <c r="AB30" s="1581">
        <v>1</v>
      </c>
      <c r="AC30" s="1581">
        <v>1</v>
      </c>
    </row>
    <row r="31" spans="1:29" s="1223" customFormat="1" ht="28.5">
      <c r="A31" s="580"/>
      <c r="B31" s="2626" t="s">
        <v>2563</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5"/>
      <c r="M31" s="2142"/>
      <c r="N31" s="2142"/>
      <c r="O31" s="2147"/>
      <c r="P31" s="3365"/>
      <c r="Q31" s="2613" t="str">
        <f t="shared" ref="Q31" si="9">B31</f>
        <v>基础设施水平</v>
      </c>
      <c r="R31" s="1573" t="s">
        <v>8</v>
      </c>
      <c r="S31" s="1574">
        <f>F31</f>
        <v>100</v>
      </c>
      <c r="T31" s="1573" t="s">
        <v>8</v>
      </c>
      <c r="U31" s="1574">
        <f>H31</f>
        <v>100</v>
      </c>
      <c r="V31" s="1573" t="s">
        <v>8</v>
      </c>
      <c r="W31" s="1574">
        <f>J31</f>
        <v>100</v>
      </c>
      <c r="X31" s="1575"/>
      <c r="Y31" s="3365"/>
      <c r="Z31" s="2610" t="str">
        <f>Q31</f>
        <v>基础设施水平</v>
      </c>
      <c r="AA31" s="1581">
        <f>D31/F31</f>
        <v>1</v>
      </c>
      <c r="AB31" s="1581">
        <f>D31/H31</f>
        <v>1</v>
      </c>
      <c r="AC31" s="1581">
        <f>D31/J31</f>
        <v>1</v>
      </c>
    </row>
    <row r="32" spans="1:29" s="1223" customFormat="1" ht="20.25">
      <c r="A32" s="580"/>
      <c r="B32" s="569"/>
      <c r="C32" s="582" t="s">
        <v>2997</v>
      </c>
      <c r="D32" s="560"/>
      <c r="E32" s="2627" t="s">
        <v>2997</v>
      </c>
      <c r="F32" s="558"/>
      <c r="G32" s="582" t="s">
        <v>2997</v>
      </c>
      <c r="H32" s="558"/>
      <c r="I32" s="582" t="s">
        <v>2997</v>
      </c>
      <c r="J32" s="558"/>
      <c r="K32" s="534"/>
      <c r="L32" s="2145"/>
      <c r="M32" s="2142"/>
      <c r="N32" s="2142"/>
      <c r="O32" s="2147"/>
      <c r="P32" s="3365"/>
      <c r="Q32" s="2613"/>
      <c r="R32" s="1573"/>
      <c r="S32" s="1574"/>
      <c r="T32" s="1573"/>
      <c r="U32" s="1574"/>
      <c r="V32" s="1573"/>
      <c r="W32" s="1574"/>
      <c r="X32" s="1575"/>
      <c r="Y32" s="3365"/>
      <c r="Z32" s="2610"/>
      <c r="AA32" s="1581">
        <v>1</v>
      </c>
      <c r="AB32" s="1581">
        <v>1</v>
      </c>
      <c r="AC32" s="1581">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v>0</v>
      </c>
      <c r="L33" s="2152"/>
      <c r="M33" s="2142"/>
      <c r="N33" s="2142"/>
      <c r="O33" s="2151"/>
      <c r="P33" s="3365"/>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5"/>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98</v>
      </c>
      <c r="G34" s="565"/>
      <c r="H34" s="562">
        <f>SUMIF(108:108,G35,109:109)-SUMIF(108:108,C35,109:109)+100</f>
        <v>98</v>
      </c>
      <c r="I34" s="567"/>
      <c r="J34" s="562">
        <f>SUMIF(108:108,I35,109:109)-SUMIF(108:108,C35,109:109)+100</f>
        <v>98</v>
      </c>
      <c r="K34" s="538">
        <v>1</v>
      </c>
      <c r="L34" s="2152"/>
      <c r="M34" s="2142"/>
      <c r="N34" s="2142"/>
      <c r="O34" s="2151"/>
      <c r="P34" s="3365"/>
      <c r="Q34" s="1577" t="str">
        <f t="shared" si="8"/>
        <v>毗邻道路的类型与等级</v>
      </c>
      <c r="R34" s="1578" t="s">
        <v>8</v>
      </c>
      <c r="S34" s="1579">
        <f t="shared" si="10"/>
        <v>98</v>
      </c>
      <c r="T34" s="1578" t="s">
        <v>8</v>
      </c>
      <c r="U34" s="1579">
        <f t="shared" si="11"/>
        <v>98</v>
      </c>
      <c r="V34" s="1578" t="s">
        <v>8</v>
      </c>
      <c r="W34" s="1579">
        <f t="shared" si="12"/>
        <v>98</v>
      </c>
      <c r="X34" s="1572"/>
      <c r="Y34" s="3365"/>
      <c r="Z34" s="1580" t="str">
        <f t="shared" si="13"/>
        <v>毗邻道路的类型与等级</v>
      </c>
      <c r="AA34" s="1581">
        <f t="shared" si="3"/>
        <v>1.0204081632653061</v>
      </c>
      <c r="AB34" s="1581">
        <f t="shared" si="4"/>
        <v>1.0204081632653061</v>
      </c>
      <c r="AC34" s="1581">
        <f t="shared" si="5"/>
        <v>1.0204081632653061</v>
      </c>
    </row>
    <row r="35" spans="1:29" ht="21" thickBot="1">
      <c r="A35" s="535"/>
      <c r="B35" s="569"/>
      <c r="C35" s="557" t="s">
        <v>3005</v>
      </c>
      <c r="D35" s="560"/>
      <c r="E35" s="579" t="s">
        <v>3010</v>
      </c>
      <c r="F35" s="558"/>
      <c r="G35" s="557" t="s">
        <v>3010</v>
      </c>
      <c r="H35" s="558"/>
      <c r="I35" s="579" t="s">
        <v>3010</v>
      </c>
      <c r="J35" s="558"/>
      <c r="K35" s="584"/>
      <c r="L35" s="2152"/>
      <c r="M35" s="2142"/>
      <c r="N35" s="2142"/>
      <c r="O35" s="2151"/>
      <c r="P35" s="3365"/>
      <c r="Q35" s="1577"/>
      <c r="R35" s="1578"/>
      <c r="S35" s="1579"/>
      <c r="T35" s="1578"/>
      <c r="U35" s="1579"/>
      <c r="V35" s="1578"/>
      <c r="W35" s="1579"/>
      <c r="X35" s="1572"/>
      <c r="Y35" s="3365"/>
      <c r="Z35" s="1580"/>
      <c r="AA35" s="1581">
        <v>1</v>
      </c>
      <c r="AB35" s="1581">
        <v>1</v>
      </c>
      <c r="AC35" s="1581">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52"/>
      <c r="M36" s="2142"/>
      <c r="N36" s="2142"/>
      <c r="O36" s="2151"/>
      <c r="P36" s="3365"/>
      <c r="Q36" s="1577" t="str">
        <f t="shared" si="8"/>
        <v>土地级别</v>
      </c>
      <c r="R36" s="1578" t="s">
        <v>8</v>
      </c>
      <c r="S36" s="1579">
        <f t="shared" si="10"/>
        <v>100</v>
      </c>
      <c r="T36" s="1578" t="s">
        <v>8</v>
      </c>
      <c r="U36" s="1579">
        <f t="shared" si="11"/>
        <v>100</v>
      </c>
      <c r="V36" s="1578" t="s">
        <v>8</v>
      </c>
      <c r="W36" s="1579">
        <f t="shared" si="12"/>
        <v>100</v>
      </c>
      <c r="X36" s="1572"/>
      <c r="Y36" s="3365"/>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5"/>
      <c r="Q37" s="1577">
        <f t="shared" si="8"/>
        <v>111</v>
      </c>
      <c r="R37" s="1578" t="s">
        <v>8</v>
      </c>
      <c r="S37" s="1579">
        <f t="shared" si="10"/>
        <v>100</v>
      </c>
      <c r="T37" s="1578" t="s">
        <v>8</v>
      </c>
      <c r="U37" s="1579">
        <f t="shared" si="11"/>
        <v>100</v>
      </c>
      <c r="V37" s="1578" t="s">
        <v>8</v>
      </c>
      <c r="W37" s="1579">
        <f t="shared" si="12"/>
        <v>100</v>
      </c>
      <c r="X37" s="1572"/>
      <c r="Y37" s="3365"/>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6" t="s">
        <v>551</v>
      </c>
      <c r="Q38" s="1577">
        <f t="shared" si="8"/>
        <v>111</v>
      </c>
      <c r="R38" s="1578" t="s">
        <v>8</v>
      </c>
      <c r="S38" s="1579">
        <f t="shared" si="10"/>
        <v>100</v>
      </c>
      <c r="T38" s="1578" t="s">
        <v>8</v>
      </c>
      <c r="U38" s="1579">
        <f t="shared" si="11"/>
        <v>100</v>
      </c>
      <c r="V38" s="1578" t="s">
        <v>8</v>
      </c>
      <c r="W38" s="1579">
        <f t="shared" si="12"/>
        <v>100</v>
      </c>
      <c r="X38" s="1572"/>
      <c r="Y38" s="3367"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7"/>
      <c r="Q39" s="1577">
        <f t="shared" si="8"/>
        <v>111</v>
      </c>
      <c r="R39" s="1582" t="s">
        <v>8</v>
      </c>
      <c r="S39" s="1583">
        <f t="shared" si="10"/>
        <v>100</v>
      </c>
      <c r="T39" s="1582" t="s">
        <v>8</v>
      </c>
      <c r="U39" s="1583">
        <f t="shared" si="11"/>
        <v>100</v>
      </c>
      <c r="V39" s="1582" t="s">
        <v>8</v>
      </c>
      <c r="W39" s="1583">
        <f t="shared" si="12"/>
        <v>100</v>
      </c>
      <c r="X39" s="1584"/>
      <c r="Y39" s="3367"/>
      <c r="Z39" s="1585">
        <f t="shared" si="13"/>
        <v>111</v>
      </c>
      <c r="AA39" s="1581">
        <f t="shared" si="3"/>
        <v>1</v>
      </c>
      <c r="AB39" s="1581">
        <f t="shared" si="4"/>
        <v>1</v>
      </c>
      <c r="AC39" s="1581">
        <f t="shared" si="5"/>
        <v>1</v>
      </c>
    </row>
    <row r="40" spans="1:29" ht="20.25">
      <c r="A40" s="2946" t="s">
        <v>2772</v>
      </c>
      <c r="B40" s="598" t="s">
        <v>553</v>
      </c>
      <c r="C40" s="599">
        <f>'数据-基础表'!A3</f>
        <v>100574</v>
      </c>
      <c r="D40" s="600">
        <v>100</v>
      </c>
      <c r="E40" s="599">
        <v>88536.31</v>
      </c>
      <c r="F40" s="600">
        <f>LOOKUP(E40,119:119,120:120)-LOOKUP(C40,119:119,120:120)+100</f>
        <v>98</v>
      </c>
      <c r="G40" s="599">
        <v>30775.82</v>
      </c>
      <c r="H40" s="600">
        <f>LOOKUP(G40,119:119,120:120)-LOOKUP(C40,119:119,120:120)+100</f>
        <v>92</v>
      </c>
      <c r="I40" s="601">
        <v>42153.71</v>
      </c>
      <c r="J40" s="600">
        <f>LOOKUP(I40,119:119,120:120)-LOOKUP(C40,119:119,120:120)+100</f>
        <v>94</v>
      </c>
      <c r="K40" s="584"/>
      <c r="L40" s="2152"/>
      <c r="M40" s="2142"/>
      <c r="N40" s="2142"/>
      <c r="O40" s="2151"/>
      <c r="P40" s="3367"/>
      <c r="Q40" s="1577" t="str">
        <f>B40</f>
        <v>宗地面积</v>
      </c>
      <c r="R40" s="1578" t="s">
        <v>8</v>
      </c>
      <c r="S40" s="1579">
        <f t="shared" si="10"/>
        <v>98</v>
      </c>
      <c r="T40" s="1578" t="s">
        <v>8</v>
      </c>
      <c r="U40" s="1579">
        <f t="shared" si="11"/>
        <v>92</v>
      </c>
      <c r="V40" s="1578" t="s">
        <v>8</v>
      </c>
      <c r="W40" s="1579">
        <f t="shared" si="12"/>
        <v>94</v>
      </c>
      <c r="X40" s="1572"/>
      <c r="Y40" s="3367"/>
      <c r="Z40" s="1580" t="str">
        <f t="shared" si="13"/>
        <v>宗地面积</v>
      </c>
      <c r="AA40" s="1581">
        <f t="shared" si="3"/>
        <v>1.0204081632653061</v>
      </c>
      <c r="AB40" s="1581">
        <f t="shared" si="4"/>
        <v>1.0869565217391304</v>
      </c>
      <c r="AC40" s="1581">
        <f t="shared" si="5"/>
        <v>1.0638297872340425</v>
      </c>
    </row>
    <row r="41" spans="1:29" ht="20.25">
      <c r="A41" s="597"/>
      <c r="B41" s="530" t="s">
        <v>554</v>
      </c>
      <c r="C41" s="602" t="s">
        <v>3001</v>
      </c>
      <c r="D41" s="543">
        <v>100</v>
      </c>
      <c r="E41" s="602" t="s">
        <v>3001</v>
      </c>
      <c r="F41" s="543">
        <f>SUMIF(121:121,E41,122:122)-SUMIF(121:121,C41,122:122)+100</f>
        <v>100</v>
      </c>
      <c r="G41" s="602" t="s">
        <v>3001</v>
      </c>
      <c r="H41" s="543">
        <f>SUMIF(121:121,G41,122:122)-SUMIF(121:121,C41,122:122)+100</f>
        <v>100</v>
      </c>
      <c r="I41" s="602" t="s">
        <v>3001</v>
      </c>
      <c r="J41" s="543">
        <f>SUMIF(121:121,I41,122:122)-SUMIF(121:121,C41,122:122)+100</f>
        <v>100</v>
      </c>
      <c r="K41" s="587">
        <v>3</v>
      </c>
      <c r="L41" s="2152"/>
      <c r="M41" s="2142"/>
      <c r="N41" s="2142"/>
      <c r="O41" s="2151"/>
      <c r="P41" s="3367"/>
      <c r="Q41" s="1577" t="str">
        <f t="shared" ref="Q41:Q47" si="14">B41</f>
        <v>宗地形状</v>
      </c>
      <c r="R41" s="1578" t="s">
        <v>8</v>
      </c>
      <c r="S41" s="1579">
        <f t="shared" si="10"/>
        <v>100</v>
      </c>
      <c r="T41" s="1578" t="s">
        <v>8</v>
      </c>
      <c r="U41" s="1579">
        <f t="shared" si="11"/>
        <v>100</v>
      </c>
      <c r="V41" s="1578" t="s">
        <v>8</v>
      </c>
      <c r="W41" s="1579">
        <f t="shared" si="12"/>
        <v>100</v>
      </c>
      <c r="X41" s="1572"/>
      <c r="Y41" s="3367"/>
      <c r="Z41" s="1580" t="str">
        <f t="shared" si="13"/>
        <v>宗地形状</v>
      </c>
      <c r="AA41" s="1581">
        <f t="shared" si="3"/>
        <v>1</v>
      </c>
      <c r="AB41" s="1581">
        <f t="shared" si="4"/>
        <v>1</v>
      </c>
      <c r="AC41" s="1581">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152"/>
      <c r="M42" s="2142"/>
      <c r="N42" s="2142"/>
      <c r="O42" s="2151"/>
      <c r="P42" s="3367"/>
      <c r="Q42" s="1577" t="str">
        <f t="shared" si="14"/>
        <v>临街宽度及深度</v>
      </c>
      <c r="R42" s="1578" t="s">
        <v>8</v>
      </c>
      <c r="S42" s="1579">
        <f t="shared" si="10"/>
        <v>100</v>
      </c>
      <c r="T42" s="1578" t="s">
        <v>8</v>
      </c>
      <c r="U42" s="1579">
        <f t="shared" si="11"/>
        <v>100</v>
      </c>
      <c r="V42" s="1578" t="s">
        <v>8</v>
      </c>
      <c r="W42" s="1579">
        <f t="shared" si="12"/>
        <v>100</v>
      </c>
      <c r="X42" s="1572"/>
      <c r="Y42" s="3367"/>
      <c r="Z42" s="1580" t="str">
        <f t="shared" si="13"/>
        <v>临街宽度及深度</v>
      </c>
      <c r="AA42" s="1581">
        <f t="shared" si="3"/>
        <v>1</v>
      </c>
      <c r="AB42" s="1581">
        <f t="shared" si="4"/>
        <v>1</v>
      </c>
      <c r="AC42" s="1581">
        <f t="shared" si="5"/>
        <v>1</v>
      </c>
    </row>
    <row r="43" spans="1:29" s="1223" customFormat="1" ht="20.25">
      <c r="A43" s="603"/>
      <c r="B43" s="1901" t="s">
        <v>2436</v>
      </c>
      <c r="C43" s="604" t="s">
        <v>2997</v>
      </c>
      <c r="D43" s="255">
        <v>100</v>
      </c>
      <c r="E43" s="604" t="s">
        <v>2997</v>
      </c>
      <c r="F43" s="543">
        <f>SUMIF(125:125,E43,126:126)-SUMIF(125:125,C43,126:126)+100</f>
        <v>100</v>
      </c>
      <c r="G43" s="604" t="s">
        <v>2997</v>
      </c>
      <c r="H43" s="543">
        <f>SUMIF(125:125,G43,126:126)-SUMIF(125:125,C43,126:126)+100</f>
        <v>100</v>
      </c>
      <c r="I43" s="604" t="s">
        <v>2997</v>
      </c>
      <c r="J43" s="543">
        <f>SUMIF(125:125,I43,126:126)-SUMIF(125:125,C43,126:126)+100</f>
        <v>100</v>
      </c>
      <c r="K43" s="587">
        <v>1</v>
      </c>
      <c r="L43" s="2145"/>
      <c r="M43" s="2142"/>
      <c r="N43" s="2142"/>
      <c r="O43" s="2147"/>
      <c r="P43" s="3367"/>
      <c r="Q43" s="1577" t="str">
        <f t="shared" si="14"/>
        <v>宗地开发程度</v>
      </c>
      <c r="R43" s="1573" t="s">
        <v>8</v>
      </c>
      <c r="S43" s="1574">
        <f t="shared" si="10"/>
        <v>100</v>
      </c>
      <c r="T43" s="1573" t="s">
        <v>8</v>
      </c>
      <c r="U43" s="1574">
        <f t="shared" si="11"/>
        <v>100</v>
      </c>
      <c r="V43" s="1573" t="s">
        <v>8</v>
      </c>
      <c r="W43" s="1574">
        <f t="shared" si="12"/>
        <v>100</v>
      </c>
      <c r="X43" s="1575"/>
      <c r="Y43" s="3367"/>
      <c r="Z43" s="1153" t="str">
        <f t="shared" si="13"/>
        <v>宗地开发程度</v>
      </c>
      <c r="AA43" s="1576">
        <f t="shared" si="3"/>
        <v>1</v>
      </c>
      <c r="AB43" s="1576">
        <f t="shared" si="4"/>
        <v>1</v>
      </c>
      <c r="AC43" s="1576">
        <f t="shared" si="5"/>
        <v>1</v>
      </c>
    </row>
    <row r="44" spans="1:29" ht="21" thickBot="1">
      <c r="A44" s="597"/>
      <c r="B44" s="530" t="s">
        <v>556</v>
      </c>
      <c r="C44" s="602" t="s">
        <v>2999</v>
      </c>
      <c r="D44" s="543">
        <v>100</v>
      </c>
      <c r="E44" s="602" t="s">
        <v>2999</v>
      </c>
      <c r="F44" s="543">
        <f>SUMIF(127:127,E44,128:128)-SUMIF(127:127,C44,128:128)+100</f>
        <v>100</v>
      </c>
      <c r="G44" s="602" t="s">
        <v>2999</v>
      </c>
      <c r="H44" s="543">
        <f>SUMIF(127:127,G44,128:128)-SUMIF(127:127,C44,128:128)+100</f>
        <v>100</v>
      </c>
      <c r="I44" s="602" t="s">
        <v>2999</v>
      </c>
      <c r="J44" s="543">
        <f>SUMIF(127:127,I44,128:128)-SUMIF(127:127,C44,128:128)+100</f>
        <v>100</v>
      </c>
      <c r="K44" s="587">
        <v>1</v>
      </c>
      <c r="L44" s="2152"/>
      <c r="M44" s="2142"/>
      <c r="N44" s="2142"/>
      <c r="O44" s="2151"/>
      <c r="P44" s="3367" t="s">
        <v>551</v>
      </c>
      <c r="Q44" s="1577" t="str">
        <f t="shared" si="14"/>
        <v>工程地质条件</v>
      </c>
      <c r="R44" s="1578" t="s">
        <v>8</v>
      </c>
      <c r="S44" s="1579">
        <f t="shared" si="10"/>
        <v>100</v>
      </c>
      <c r="T44" s="1578" t="s">
        <v>8</v>
      </c>
      <c r="U44" s="1579">
        <f t="shared" si="11"/>
        <v>100</v>
      </c>
      <c r="V44" s="1578" t="s">
        <v>8</v>
      </c>
      <c r="W44" s="1579">
        <f t="shared" si="12"/>
        <v>100</v>
      </c>
      <c r="X44" s="1572"/>
      <c r="Y44" s="3367" t="s">
        <v>551</v>
      </c>
      <c r="Z44" s="1580" t="str">
        <f t="shared" si="13"/>
        <v>工程地质条件</v>
      </c>
      <c r="AA44" s="1581">
        <f t="shared" si="3"/>
        <v>1</v>
      </c>
      <c r="AB44" s="1581">
        <f t="shared" si="4"/>
        <v>1</v>
      </c>
      <c r="AC44" s="1581">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7"/>
      <c r="Q45" s="1577">
        <f t="shared" si="14"/>
        <v>111</v>
      </c>
      <c r="R45" s="1578" t="s">
        <v>8</v>
      </c>
      <c r="S45" s="1579">
        <f t="shared" si="10"/>
        <v>100</v>
      </c>
      <c r="T45" s="1578" t="s">
        <v>8</v>
      </c>
      <c r="U45" s="1579">
        <f t="shared" si="11"/>
        <v>100</v>
      </c>
      <c r="V45" s="1578" t="s">
        <v>8</v>
      </c>
      <c r="W45" s="1579">
        <f t="shared" si="12"/>
        <v>100</v>
      </c>
      <c r="X45" s="1572"/>
      <c r="Y45" s="3367"/>
      <c r="Z45" s="1580">
        <f t="shared" si="13"/>
        <v>111</v>
      </c>
      <c r="AA45" s="1581">
        <f t="shared" si="3"/>
        <v>1</v>
      </c>
      <c r="AB45" s="1581">
        <f t="shared" si="4"/>
        <v>1</v>
      </c>
      <c r="AC45" s="1581">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7"/>
      <c r="Q46" s="1577">
        <f t="shared" si="14"/>
        <v>111</v>
      </c>
      <c r="R46" s="1578" t="s">
        <v>8</v>
      </c>
      <c r="S46" s="1579">
        <f t="shared" si="10"/>
        <v>100</v>
      </c>
      <c r="T46" s="1578" t="s">
        <v>8</v>
      </c>
      <c r="U46" s="1579">
        <f t="shared" si="11"/>
        <v>100</v>
      </c>
      <c r="V46" s="1578" t="s">
        <v>8</v>
      </c>
      <c r="W46" s="1579">
        <f t="shared" si="12"/>
        <v>100</v>
      </c>
      <c r="X46" s="1572"/>
      <c r="Y46" s="3367"/>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7"/>
      <c r="Q47" s="1577">
        <f t="shared" si="14"/>
        <v>111</v>
      </c>
      <c r="R47" s="1582" t="s">
        <v>8</v>
      </c>
      <c r="S47" s="1583">
        <f t="shared" si="10"/>
        <v>100</v>
      </c>
      <c r="T47" s="1582" t="s">
        <v>8</v>
      </c>
      <c r="U47" s="1583">
        <f t="shared" si="11"/>
        <v>100</v>
      </c>
      <c r="V47" s="1582" t="s">
        <v>8</v>
      </c>
      <c r="W47" s="1583">
        <f t="shared" si="12"/>
        <v>100</v>
      </c>
      <c r="X47" s="1584"/>
      <c r="Y47" s="3367"/>
      <c r="Z47" s="1585">
        <f t="shared" si="13"/>
        <v>111</v>
      </c>
      <c r="AA47" s="1581">
        <f t="shared" si="3"/>
        <v>1</v>
      </c>
      <c r="AB47" s="1581">
        <f t="shared" si="4"/>
        <v>1</v>
      </c>
      <c r="AC47" s="1581">
        <f t="shared" si="5"/>
        <v>1</v>
      </c>
    </row>
    <row r="48" spans="1:29" ht="20.25">
      <c r="A48" s="610" t="s">
        <v>557</v>
      </c>
      <c r="B48" s="611" t="s">
        <v>2989</v>
      </c>
      <c r="C48" s="612" t="s">
        <v>1</v>
      </c>
      <c r="D48" s="613"/>
      <c r="E48" s="614">
        <v>9011</v>
      </c>
      <c r="F48" s="615"/>
      <c r="G48" s="616">
        <v>9000</v>
      </c>
      <c r="H48" s="617"/>
      <c r="I48" s="614">
        <v>9000</v>
      </c>
      <c r="J48" s="617"/>
      <c r="K48" s="1343"/>
      <c r="L48" s="2154"/>
      <c r="M48" s="2142"/>
      <c r="N48" s="2142"/>
      <c r="O48" s="2155"/>
      <c r="P48" s="3329" t="str">
        <f>A48</f>
        <v>成交单价</v>
      </c>
      <c r="Q48" s="3329"/>
      <c r="R48" s="3330">
        <f>E48</f>
        <v>9011</v>
      </c>
      <c r="S48" s="3330"/>
      <c r="T48" s="3330">
        <f>G48</f>
        <v>9000</v>
      </c>
      <c r="U48" s="3330"/>
      <c r="V48" s="3330">
        <f>I48</f>
        <v>9000</v>
      </c>
      <c r="W48" s="3330"/>
      <c r="X48" s="1564"/>
      <c r="Y48" s="1586"/>
      <c r="Z48" s="1564"/>
      <c r="AA48" s="1564"/>
      <c r="AB48" s="1564"/>
      <c r="AC48" s="1564"/>
    </row>
    <row r="49" spans="1:29" ht="21" thickBot="1">
      <c r="A49" s="618" t="s">
        <v>2710</v>
      </c>
      <c r="B49" s="619"/>
      <c r="C49" s="620">
        <f>R50</f>
        <v>11025</v>
      </c>
      <c r="D49" s="621"/>
      <c r="E49" s="620">
        <f>R49</f>
        <v>10797</v>
      </c>
      <c r="F49" s="622"/>
      <c r="G49" s="623">
        <f>T49</f>
        <v>11258</v>
      </c>
      <c r="H49" s="621"/>
      <c r="I49" s="620">
        <f>V49</f>
        <v>11019</v>
      </c>
      <c r="J49" s="621"/>
      <c r="K49" s="1344"/>
      <c r="L49" s="2154"/>
      <c r="M49" s="2142"/>
      <c r="N49" s="2142"/>
      <c r="O49" s="2155"/>
      <c r="P49" s="3329" t="str">
        <f>A49</f>
        <v>比较价格（元/平方米）</v>
      </c>
      <c r="Q49" s="3329"/>
      <c r="R49" s="3331">
        <f>ROUND(PRODUCT(R48,AA9:AA47),0)</f>
        <v>10797</v>
      </c>
      <c r="S49" s="3331"/>
      <c r="T49" s="3331">
        <f>ROUND(PRODUCT(T48,AB9:AB47),0)</f>
        <v>11258</v>
      </c>
      <c r="U49" s="3331"/>
      <c r="V49" s="3331">
        <f>ROUND(PRODUCT(V48,AC9:AC47),0)</f>
        <v>11019</v>
      </c>
      <c r="W49" s="3331"/>
      <c r="X49" s="1564"/>
      <c r="Y49" s="1564"/>
      <c r="Z49" s="1564"/>
      <c r="AA49" s="1564"/>
      <c r="AB49" s="1564"/>
      <c r="AC49" s="1564"/>
    </row>
    <row r="50" spans="1:29" ht="21" thickBot="1">
      <c r="A50" s="624" t="s">
        <v>2950</v>
      </c>
      <c r="B50" s="625"/>
      <c r="C50" s="626">
        <f>R50</f>
        <v>11025</v>
      </c>
      <c r="D50" s="626"/>
      <c r="E50" s="626"/>
      <c r="F50" s="626"/>
      <c r="G50" s="626"/>
      <c r="H50" s="626"/>
      <c r="I50" s="626"/>
      <c r="J50" s="626"/>
      <c r="K50" s="1345"/>
      <c r="L50" s="2154"/>
      <c r="M50" s="2142"/>
      <c r="N50" s="2142"/>
      <c r="O50" s="2155"/>
      <c r="P50" s="3326" t="str">
        <f>A50</f>
        <v>估价对象XX用房的比较价格（楼面单价，元/平方米）</v>
      </c>
      <c r="Q50" s="3327"/>
      <c r="R50" s="3328">
        <f>ROUND(AVERAGE(R49:V49),0)</f>
        <v>11025</v>
      </c>
      <c r="S50" s="3328"/>
      <c r="T50" s="3328"/>
      <c r="U50" s="3328"/>
      <c r="V50" s="3328"/>
      <c r="W50" s="3328"/>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0.19820219731439348</v>
      </c>
      <c r="F53" s="630" t="str">
        <f>IF(OR(E53&gt;=0.3,E53&lt;=-0.3),"超过30%","")</f>
        <v/>
      </c>
      <c r="G53" s="629">
        <f>IF(G48&lt;G49,G49/G48-1,G48/G49-1)</f>
        <v>0.25088888888888894</v>
      </c>
      <c r="H53" s="630" t="str">
        <f>IF(OR(G53&gt;=0.3,G53&lt;=-0.3),"超过30%","")</f>
        <v/>
      </c>
      <c r="I53" s="629">
        <f>IF(I48&lt;I49,I49/I48-1,I48/I49-1)</f>
        <v>0.22433333333333327</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4.2697045475595052E-2</v>
      </c>
      <c r="F54" s="630" t="str">
        <f>IF(OR(E54&gt;=0.2,E54&lt;=-0.2),"超过20%","")</f>
        <v/>
      </c>
      <c r="G54" s="629">
        <f>IF(G49&lt;I49,I49/G49-1,G49/I49-1)</f>
        <v>2.1689808512569186E-2</v>
      </c>
      <c r="H54" s="630" t="str">
        <f>IF(OR(G54&gt;=0.2,G54&lt;=-0.2),"超过20%","")</f>
        <v/>
      </c>
      <c r="I54" s="629">
        <f>IF(I49&lt;E49,E49/I49-1,I49/E49-1)</f>
        <v>2.056126701861638E-2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1.2222222222222356E-3</v>
      </c>
      <c r="F55" s="630" t="str">
        <f>IF(OR(E55&gt;=0.3,E55&lt;=-0.3),"超过30%","")</f>
        <v/>
      </c>
      <c r="G55" s="629">
        <f>IF(G48&lt;I48,I48/G48-1,G48/I48-1)</f>
        <v>0</v>
      </c>
      <c r="H55" s="630" t="str">
        <f>IF(OR(G55&gt;=0.3,G55&lt;=-0.3),"超过30%","")</f>
        <v/>
      </c>
      <c r="I55" s="629">
        <f>IF(I48&lt;E48,E48/I48-1,I48/E48-1)</f>
        <v>1.2222222222222356E-3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2303</v>
      </c>
      <c r="E57" s="634" t="s">
        <v>563</v>
      </c>
      <c r="F57" s="635" t="s">
        <v>564</v>
      </c>
      <c r="G57" s="3356" t="s">
        <v>2291</v>
      </c>
      <c r="H57" s="3357"/>
      <c r="I57" s="1560" t="s">
        <v>1726</v>
      </c>
      <c r="J57" s="1560" t="str">
        <f>项目基本情况!F41</f>
        <v>江苏省常州市</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11025</v>
      </c>
      <c r="C58" s="638">
        <v>1</v>
      </c>
      <c r="D58" s="2238">
        <v>1</v>
      </c>
      <c r="E58" s="638">
        <f>'数据-汇总表'!E8+'数据-汇总表'!E9</f>
        <v>231968.3</v>
      </c>
      <c r="F58" s="639">
        <f t="shared" ref="F58:F67" si="15">ROUND(B58*E58/10000,0)</f>
        <v>255745</v>
      </c>
      <c r="G58" s="3358"/>
      <c r="H58" s="3359"/>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60"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60"/>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60"/>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60"/>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2339</v>
      </c>
      <c r="B63" s="641">
        <f t="shared" si="17"/>
        <v>0</v>
      </c>
      <c r="C63" s="381">
        <f t="shared" si="16"/>
        <v>0</v>
      </c>
      <c r="D63" s="2239">
        <v>0.25</v>
      </c>
      <c r="E63" s="644">
        <f>'数据-汇总表'!E11</f>
        <v>0</v>
      </c>
      <c r="F63" s="639">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100574</v>
      </c>
      <c r="F68" s="647">
        <f>IF(B48="楼面地价",SUM(F58:F67),ROUND(C50*E68/10000,0))</f>
        <v>110883</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2017-7-1</v>
      </c>
      <c r="D70" s="2838">
        <f>EDATE(C70,-3)</f>
        <v>42826</v>
      </c>
      <c r="E70" s="2838">
        <f t="shared" ref="E70:N70" si="18">EDATE(D70,-3)</f>
        <v>42736</v>
      </c>
      <c r="F70" s="2838">
        <f t="shared" si="18"/>
        <v>42644</v>
      </c>
      <c r="G70" s="2838">
        <f t="shared" si="18"/>
        <v>42552</v>
      </c>
      <c r="H70" s="2838">
        <f t="shared" si="18"/>
        <v>42461</v>
      </c>
      <c r="I70" s="2838">
        <f t="shared" si="18"/>
        <v>42370</v>
      </c>
      <c r="J70" s="2838">
        <f t="shared" si="18"/>
        <v>42278</v>
      </c>
      <c r="K70" s="2838">
        <f t="shared" si="18"/>
        <v>42186</v>
      </c>
      <c r="L70" s="2838">
        <f t="shared" si="18"/>
        <v>42095</v>
      </c>
      <c r="M70" s="2838">
        <f t="shared" si="18"/>
        <v>42005</v>
      </c>
      <c r="N70" s="2838">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2546</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2664</v>
      </c>
      <c r="B73" s="482" t="str">
        <f>"北京市平均增长率"&amp;TEXT(SUMIF(基准地价!N21:N25,A73,基准地价!P21:P25),"0.00%")</f>
        <v>北京市平均增长率2.39%</v>
      </c>
      <c r="C73" s="897">
        <v>100</v>
      </c>
      <c r="D73" s="733">
        <f>C73-0.5</f>
        <v>99.5</v>
      </c>
      <c r="E73" s="733">
        <f t="shared" ref="E73:N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2663</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47" t="s">
        <v>2988</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v>
      </c>
      <c r="H81" s="685" t="str">
        <f t="shared" si="21"/>
        <v>（含）-</v>
      </c>
      <c r="I81" s="685" t="str">
        <f t="shared" si="21"/>
        <v>（含）-</v>
      </c>
      <c r="J81" s="685" t="str">
        <f t="shared" si="21"/>
        <v>（含）-</v>
      </c>
      <c r="K81" s="685" t="str">
        <f t="shared" si="21"/>
        <v>（含）-</v>
      </c>
      <c r="L81" s="685" t="str">
        <f t="shared" si="21"/>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103</v>
      </c>
      <c r="E83" s="682">
        <f t="shared" ref="E83:M83" si="22">IF($B$48="单位面积地价",D83+$K13,D83-$K13)</f>
        <v>106</v>
      </c>
      <c r="F83" s="682">
        <f t="shared" si="22"/>
        <v>109</v>
      </c>
      <c r="G83" s="682">
        <f t="shared" si="22"/>
        <v>112</v>
      </c>
      <c r="H83" s="682">
        <f t="shared" si="22"/>
        <v>115</v>
      </c>
      <c r="I83" s="682">
        <f t="shared" si="22"/>
        <v>118</v>
      </c>
      <c r="J83" s="682">
        <f t="shared" si="22"/>
        <v>121</v>
      </c>
      <c r="K83" s="682">
        <f t="shared" si="22"/>
        <v>124</v>
      </c>
      <c r="L83" s="682">
        <f t="shared" si="22"/>
        <v>127</v>
      </c>
      <c r="M83" s="682">
        <f t="shared" si="22"/>
        <v>130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95</v>
      </c>
      <c r="E91" s="682">
        <f>D91-$K17</f>
        <v>90</v>
      </c>
      <c r="F91" s="682">
        <f>E91-$K17</f>
        <v>85</v>
      </c>
      <c r="G91" s="682">
        <f>F91-$K17</f>
        <v>80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95</v>
      </c>
      <c r="E93" s="682">
        <f>D93-$K19</f>
        <v>90</v>
      </c>
      <c r="F93" s="682">
        <f>E93-$K19</f>
        <v>85</v>
      </c>
      <c r="G93" s="682">
        <f>F93-$K19</f>
        <v>80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97</v>
      </c>
      <c r="E97" s="682">
        <f>D97-$K23</f>
        <v>94</v>
      </c>
      <c r="F97" s="682">
        <f>E97-$K23</f>
        <v>91</v>
      </c>
      <c r="G97" s="682">
        <f>F97-$K23</f>
        <v>88</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2562</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2564</v>
      </c>
      <c r="C104" s="2633" t="s">
        <v>2565</v>
      </c>
      <c r="D104" s="2633" t="s">
        <v>2566</v>
      </c>
      <c r="E104" s="2633" t="s">
        <v>2567</v>
      </c>
      <c r="F104" s="2633" t="s">
        <v>2568</v>
      </c>
      <c r="G104" s="2633" t="s">
        <v>2569</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49" t="s">
        <v>3003</v>
      </c>
      <c r="D108" s="3149" t="s">
        <v>3004</v>
      </c>
      <c r="E108" s="3149" t="s">
        <v>3006</v>
      </c>
      <c r="F108" s="3149" t="s">
        <v>3007</v>
      </c>
      <c r="G108" s="3149" t="s">
        <v>3008</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v>
      </c>
      <c r="I118" s="707" t="str">
        <f t="shared" si="26"/>
        <v>(含)-</v>
      </c>
      <c r="J118" s="3132" t="str">
        <f t="shared" si="26"/>
        <v>(含)-</v>
      </c>
      <c r="K118" s="3132" t="str">
        <f t="shared" si="26"/>
        <v>(含)-</v>
      </c>
      <c r="L118" s="3133" t="str">
        <f t="shared" si="26"/>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20000</v>
      </c>
      <c r="E119" s="733">
        <v>40000</v>
      </c>
      <c r="F119" s="733">
        <v>60000</v>
      </c>
      <c r="G119" s="733">
        <v>80000</v>
      </c>
      <c r="H119" s="733">
        <v>100000</v>
      </c>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29">
        <v>104</v>
      </c>
      <c r="F120" s="729">
        <v>106</v>
      </c>
      <c r="G120" s="729">
        <v>108</v>
      </c>
      <c r="H120" s="729">
        <v>110</v>
      </c>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48" t="s">
        <v>3002</v>
      </c>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7">C122-$K41</f>
        <v>97</v>
      </c>
      <c r="E122" s="682">
        <f t="shared" si="27"/>
        <v>94</v>
      </c>
      <c r="F122" s="682">
        <f t="shared" si="27"/>
        <v>91</v>
      </c>
      <c r="G122" s="682">
        <f t="shared" si="27"/>
        <v>88</v>
      </c>
      <c r="H122" s="682">
        <f t="shared" si="27"/>
        <v>85</v>
      </c>
      <c r="I122" s="682">
        <f t="shared" si="27"/>
        <v>82</v>
      </c>
      <c r="J122" s="682">
        <f t="shared" si="27"/>
        <v>79</v>
      </c>
      <c r="K122" s="682">
        <f t="shared" si="27"/>
        <v>76</v>
      </c>
      <c r="L122" s="682">
        <f t="shared" si="27"/>
        <v>73</v>
      </c>
      <c r="M122" s="683">
        <f t="shared" si="27"/>
        <v>70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2437</v>
      </c>
      <c r="C125" s="1379" t="s">
        <v>2998</v>
      </c>
      <c r="D125" s="1379"/>
      <c r="E125" s="1379"/>
      <c r="F125" s="1379"/>
      <c r="G125" s="1379"/>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49" t="s">
        <v>3000</v>
      </c>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H42" sqref="H42"/>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10</v>
      </c>
    </row>
    <row r="2" spans="1:31" s="2047" customFormat="1" ht="18" customHeight="1">
      <c r="A2" s="2111" t="s">
        <v>467</v>
      </c>
      <c r="B2" s="2115">
        <f ca="1">C36</f>
        <v>129411</v>
      </c>
      <c r="C2" s="2114"/>
      <c r="D2" s="2114"/>
      <c r="E2" s="2114"/>
      <c r="F2" s="2114"/>
      <c r="G2" s="2114"/>
      <c r="H2" s="2114"/>
      <c r="I2" s="2114"/>
      <c r="J2" s="2114"/>
      <c r="K2" s="2114"/>
    </row>
    <row r="3" spans="1:31" s="2047" customFormat="1" ht="18" customHeight="1">
      <c r="A3" s="2116" t="s">
        <v>1688</v>
      </c>
      <c r="B3" s="2117">
        <f ca="1">ROUND(B2*10000/IF(B1="",'数据-汇总表'!E3,INDIRECT("'数据-取费表'!K"&amp;$K$1)),0)</f>
        <v>4463</v>
      </c>
      <c r="C3" s="2114"/>
      <c r="D3" s="2114"/>
      <c r="E3" s="2114"/>
      <c r="F3" s="2114"/>
      <c r="G3" s="2114"/>
      <c r="H3" s="2114"/>
      <c r="I3" s="2114"/>
      <c r="J3" s="2114"/>
      <c r="K3" s="2114"/>
    </row>
    <row r="4" spans="1:31" s="2047" customFormat="1" ht="18" customHeight="1">
      <c r="A4" s="429" t="s">
        <v>468</v>
      </c>
      <c r="B4" s="430">
        <f ca="1">ROUND(B2*10000/IF(B1="",'数据-汇总表'!D3,INDIRECT("'数据-取费表'!R"&amp;$K$1)),0)</f>
        <v>12867</v>
      </c>
      <c r="C4" s="431"/>
      <c r="D4" s="425"/>
      <c r="E4" s="425"/>
      <c r="F4" s="425"/>
      <c r="G4" s="425"/>
      <c r="H4" s="425"/>
      <c r="I4" s="425"/>
      <c r="J4" s="425"/>
      <c r="K4" s="425"/>
    </row>
    <row r="5" spans="1:31" s="2047" customFormat="1" ht="18" customHeight="1" thickBot="1">
      <c r="A5" s="432"/>
      <c r="B5" s="433">
        <f ca="1">ROUND(B2/(IF(B1="",'数据-汇总表'!D3,INDIRECT("'数据-取费表'!R"&amp;$K$1))/666.67),0)</f>
        <v>858</v>
      </c>
      <c r="C5" s="434" t="s">
        <v>469</v>
      </c>
      <c r="D5" s="425"/>
      <c r="E5" s="425"/>
      <c r="F5" s="425"/>
      <c r="G5" s="425"/>
      <c r="H5" s="425"/>
      <c r="I5" s="425"/>
      <c r="J5" s="425"/>
      <c r="K5" s="425"/>
    </row>
    <row r="6" spans="1:31" s="2121" customFormat="1" ht="16.5" customHeight="1">
      <c r="A6" s="2867" t="s">
        <v>1847</v>
      </c>
      <c r="B6" s="2868"/>
      <c r="C6" s="2869">
        <f ca="1">SUM(C10:K10)</f>
        <v>280535</v>
      </c>
      <c r="D6" s="2868"/>
      <c r="E6" s="2868"/>
      <c r="F6" s="2868"/>
      <c r="G6" s="2868"/>
      <c r="H6" s="2868"/>
      <c r="I6" s="2868"/>
      <c r="J6" s="2868"/>
      <c r="K6" s="2870"/>
    </row>
    <row r="7" spans="1:31" s="2123" customFormat="1" ht="15">
      <c r="A7" s="2871" t="s">
        <v>470</v>
      </c>
      <c r="B7" s="2872" t="s">
        <v>471</v>
      </c>
      <c r="C7" s="439" t="s">
        <v>2979</v>
      </c>
      <c r="D7" s="439" t="s">
        <v>2975</v>
      </c>
      <c r="E7" s="439" t="s">
        <v>2982</v>
      </c>
      <c r="F7" s="439" t="s">
        <v>2969</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'不动产比较法-高层'!C48</f>
        <v>11428</v>
      </c>
      <c r="D8" s="2873">
        <f>'不动产比较法-洋房'!C48</f>
        <v>15250</v>
      </c>
      <c r="E8" s="2873">
        <f>'不动产比较法-别墅'!C48</f>
        <v>19277</v>
      </c>
      <c r="F8" s="2873">
        <f ca="1">不动产收益法!B3</f>
        <v>20352</v>
      </c>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184249</v>
      </c>
      <c r="D9" s="444">
        <f>SUMIF('数据-汇总表'!$C19:$C33,'剩余法-待开发'!D7,'数据-汇总表'!$E19:$E33)</f>
        <v>30950</v>
      </c>
      <c r="E9" s="444">
        <f>SUMIF('数据-汇总表'!$C19:$C33,'剩余法-待开发'!E7,'数据-汇总表'!$E19:$E33)</f>
        <v>1309.3</v>
      </c>
      <c r="F9" s="444">
        <f>SUMIF('数据-汇总表'!$C19:$C33,'剩余法-待开发'!F7,'数据-汇总表'!$E19:$E33)</f>
        <v>9951.09</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'不动产比较法-高层'!B2</f>
        <v>210560</v>
      </c>
      <c r="D10" s="3068">
        <f>'不动产比较法-洋房'!B2</f>
        <v>47199</v>
      </c>
      <c r="E10" s="3068">
        <f>'不动产比较法-别墅'!B2</f>
        <v>2524</v>
      </c>
      <c r="F10" s="2876">
        <f ca="1">不动产收益法!B2</f>
        <v>20252</v>
      </c>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58571</v>
      </c>
      <c r="D13" s="2883"/>
      <c r="E13" s="2884"/>
      <c r="F13" s="2885"/>
      <c r="G13" s="2851"/>
      <c r="H13" s="2852"/>
      <c r="I13" s="2852"/>
      <c r="J13" s="2852"/>
      <c r="K13" s="2853"/>
    </row>
    <row r="14" spans="1:31" s="2126" customFormat="1" ht="13.5" customHeight="1">
      <c r="A14" s="2881" t="s">
        <v>1854</v>
      </c>
      <c r="B14" s="2882" t="s">
        <v>480</v>
      </c>
      <c r="C14" s="53">
        <f ca="1">ROUND(C13*F14,0)</f>
        <v>1757</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2317</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5799</v>
      </c>
      <c r="D16" s="2883">
        <f ca="1">IF(B1="",'数据-汇总表'!E3,INDIRECT("'数据-取费表'!K"&amp;$K$1)+INDIRECT("'数据-取费表'!S"&amp;$K$1))</f>
        <v>289959.02999999997</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879</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69323</v>
      </c>
      <c r="D18" s="2892"/>
      <c r="E18" s="471"/>
      <c r="F18" s="471"/>
      <c r="G18" s="2855" t="s">
        <v>2442</v>
      </c>
      <c r="H18" s="2856"/>
      <c r="I18" s="2856"/>
      <c r="J18" s="2856"/>
      <c r="K18" s="2857"/>
    </row>
    <row r="19" spans="1:14" s="2126" customFormat="1" ht="13.5" customHeight="1">
      <c r="A19" s="2889" t="s">
        <v>1859</v>
      </c>
      <c r="B19" s="2890" t="s">
        <v>488</v>
      </c>
      <c r="C19" s="2847">
        <f ca="1">ROUND(D19*E19/10000,0)</f>
        <v>0</v>
      </c>
      <c r="D19" s="2893">
        <f ca="1">D16</f>
        <v>289959.02999999997</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3044</v>
      </c>
      <c r="D20" s="2893"/>
      <c r="E20" s="2847"/>
      <c r="F20" s="2894"/>
      <c r="G20" s="3128"/>
      <c r="H20" s="2849"/>
      <c r="I20" s="2850" t="s">
        <v>2668</v>
      </c>
      <c r="J20" s="2856"/>
      <c r="K20" s="2857"/>
    </row>
    <row r="21" spans="1:14" s="2126" customFormat="1" ht="13.5" customHeight="1">
      <c r="A21" s="2881" t="s">
        <v>1861</v>
      </c>
      <c r="B21" s="2882" t="s">
        <v>491</v>
      </c>
      <c r="C21" s="53">
        <f ca="1">ROUND(D21*E21/10000,0)</f>
        <v>2273</v>
      </c>
      <c r="D21" s="2883">
        <f ca="1">IF(B1="",'数据-汇总表'!E5,IF(INDIRECT("'数据-取费表'!c"&amp;$K$1)="住宅",INDIRECT("'数据-取费表'!k"&amp;$K$1),0))</f>
        <v>216508.3</v>
      </c>
      <c r="E21" s="53">
        <f>'数据-取费表'!B27</f>
        <v>105</v>
      </c>
      <c r="F21" s="2886"/>
      <c r="G21" s="26"/>
      <c r="H21" s="51"/>
      <c r="I21" s="51"/>
      <c r="J21" s="51"/>
      <c r="K21" s="2858"/>
    </row>
    <row r="22" spans="1:14" s="2126" customFormat="1" ht="13.5" customHeight="1">
      <c r="A22" s="2881" t="s">
        <v>1862</v>
      </c>
      <c r="B22" s="2882" t="s">
        <v>492</v>
      </c>
      <c r="C22" s="53">
        <f ca="1">ROUND(D22*E22/10000,0)</f>
        <v>771</v>
      </c>
      <c r="D22" s="2883">
        <f ca="1">IF(B1="",'数据-汇总表'!E6,IF(INDIRECT("'数据-取费表'!c"&amp;$K$1)="住宅",INDIRECT("'数据-取费表'!s"&amp;$K$1),INDIRECT("'数据-取费表'!k"&amp;$K$1)+INDIRECT("'数据-取费表'!s"&amp;$K$1)))</f>
        <v>73450.729999999981</v>
      </c>
      <c r="E22" s="53">
        <f>'数据-取费表'!B28</f>
        <v>105</v>
      </c>
      <c r="F22" s="2886"/>
      <c r="G22" s="26"/>
      <c r="H22" s="51"/>
      <c r="I22" s="51"/>
      <c r="J22" s="51"/>
      <c r="K22" s="2858"/>
    </row>
    <row r="23" spans="1:14" s="2126" customFormat="1" ht="13.5" customHeight="1">
      <c r="A23" s="2889" t="s">
        <v>1863</v>
      </c>
      <c r="B23" s="3074" t="s">
        <v>2851</v>
      </c>
      <c r="C23" s="2891">
        <f ca="1">ROUND((C18+C19+C20)*F23,0)</f>
        <v>1086</v>
      </c>
      <c r="D23" s="471"/>
      <c r="E23" s="471"/>
      <c r="F23" s="2895">
        <f>'数据-取费表'!B37</f>
        <v>1.4999999999999999E-2</v>
      </c>
      <c r="G23" s="2851" t="s">
        <v>2443</v>
      </c>
      <c r="H23" s="2852"/>
      <c r="I23" s="2852"/>
      <c r="J23" s="2852"/>
      <c r="K23" s="2853"/>
      <c r="L23" s="2128"/>
      <c r="M23" s="2128"/>
      <c r="N23" s="2128"/>
    </row>
    <row r="24" spans="1:14" s="2126" customFormat="1" ht="13.5" customHeight="1">
      <c r="A24" s="2889" t="s">
        <v>1864</v>
      </c>
      <c r="B24" s="3074" t="s">
        <v>2854</v>
      </c>
      <c r="C24" s="2891">
        <f ca="1">ROUND(C6*F24,0)</f>
        <v>4208</v>
      </c>
      <c r="D24" s="478"/>
      <c r="E24" s="476"/>
      <c r="F24" s="2895">
        <f>'数据-取费表'!B38</f>
        <v>1.4999999999999999E-2</v>
      </c>
      <c r="G24" s="2860" t="s">
        <v>499</v>
      </c>
      <c r="H24" s="2854"/>
      <c r="I24" s="2854"/>
      <c r="J24" s="2854"/>
      <c r="K24" s="279"/>
      <c r="L24" s="2128"/>
      <c r="M24" s="2128"/>
      <c r="N24" s="2128"/>
    </row>
    <row r="25" spans="1:14" s="2129" customFormat="1" ht="13.5" customHeight="1">
      <c r="A25" s="2889" t="s">
        <v>1865</v>
      </c>
      <c r="B25" s="3074" t="s">
        <v>2852</v>
      </c>
      <c r="C25" s="470">
        <f>ROUND(F25/(1+'数据-取费表'!C42),4)</f>
        <v>2.9000000000000001E-2</v>
      </c>
      <c r="D25" s="465" t="s">
        <v>2846</v>
      </c>
      <c r="E25" s="472"/>
      <c r="F25" s="2895">
        <f>'数据-取费表'!B48+'数据-取费表'!B49</f>
        <v>3.0499999999999999E-2</v>
      </c>
      <c r="G25" s="2859" t="s">
        <v>2299</v>
      </c>
      <c r="H25" s="2852"/>
      <c r="I25" s="2852"/>
      <c r="J25" s="2852"/>
      <c r="K25" s="2853"/>
    </row>
    <row r="26" spans="1:14" s="2128" customFormat="1" ht="13.5" customHeight="1">
      <c r="A26" s="2889" t="s">
        <v>1866</v>
      </c>
      <c r="B26" s="3075" t="s">
        <v>2853</v>
      </c>
      <c r="C26" s="2896">
        <f ca="1">C28</f>
        <v>4638</v>
      </c>
      <c r="D26" s="470">
        <f ca="1">C27</f>
        <v>0.12659999999999999</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0.12659999999999999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2855</v>
      </c>
      <c r="C28" s="2899">
        <f ca="1">ROUND(IF('数据-取费表'!B22&lt;=1,(C18+C19+C20+C23+C24)*F26*'数据-取费表'!B24/2,(C18+C19+C20+C23+C24)*(POWER((1+F26),'数据-取费表'!B24/2)-1)),0)</f>
        <v>4638</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 ca="1">ROUND(C6*F29/(1+'数据-取费表'!C42),0)</f>
        <v>14962</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97261</v>
      </c>
      <c r="D30" s="480">
        <f ca="1">C32</f>
        <v>0.15559999999999999</v>
      </c>
      <c r="E30" s="472" t="s">
        <v>495</v>
      </c>
      <c r="F30" s="474"/>
      <c r="G30" s="2851" t="s">
        <v>501</v>
      </c>
      <c r="H30" s="2852"/>
      <c r="I30" s="2852"/>
      <c r="J30" s="2852"/>
      <c r="K30" s="2853"/>
    </row>
    <row r="31" spans="1:14" s="2130" customFormat="1" ht="13.5" customHeight="1">
      <c r="A31" s="806" t="s">
        <v>1861</v>
      </c>
      <c r="B31" s="2897"/>
      <c r="C31" s="453">
        <f ca="1">C18+C19+C20+C23+C24+C26+C29</f>
        <v>97261</v>
      </c>
      <c r="D31" s="475"/>
      <c r="E31" s="476"/>
      <c r="F31" s="477"/>
      <c r="G31" s="261"/>
      <c r="H31" s="2854"/>
      <c r="I31" s="2854"/>
      <c r="J31" s="2854"/>
      <c r="K31" s="279"/>
    </row>
    <row r="32" spans="1:14" s="2130" customFormat="1" ht="13.5" customHeight="1">
      <c r="A32" s="806" t="s">
        <v>1862</v>
      </c>
      <c r="B32" s="2897"/>
      <c r="C32" s="53">
        <f ca="1">ROUND(C25+D26,4)</f>
        <v>0.15559999999999999</v>
      </c>
      <c r="D32" s="475"/>
      <c r="E32" s="476"/>
      <c r="F32" s="477"/>
      <c r="G32" s="261"/>
      <c r="H32" s="2854"/>
      <c r="I32" s="2854"/>
      <c r="J32" s="2854"/>
      <c r="K32" s="279"/>
    </row>
    <row r="33" spans="1:11" s="2132" customFormat="1" ht="13.5" customHeight="1">
      <c r="A33" s="3073" t="s">
        <v>2850</v>
      </c>
      <c r="B33" s="3071" t="s">
        <v>2848</v>
      </c>
      <c r="C33" s="481">
        <f ca="1">C35</f>
        <v>12426</v>
      </c>
      <c r="D33" s="470">
        <f ca="1">C34</f>
        <v>0.1646</v>
      </c>
      <c r="E33" s="472" t="s">
        <v>495</v>
      </c>
      <c r="F33" s="482">
        <f ca="1">IF(B1="",'数据-取费表'!Q16,INDIRECT("'数据-取费表'!q"&amp;$K$1))</f>
        <v>0.16</v>
      </c>
      <c r="G33" s="2855"/>
      <c r="H33" s="2856"/>
      <c r="I33" s="2856"/>
      <c r="J33" s="2856"/>
      <c r="K33" s="2857"/>
    </row>
    <row r="34" spans="1:11" s="2133" customFormat="1" ht="13.5" customHeight="1">
      <c r="A34" s="378" t="s">
        <v>1861</v>
      </c>
      <c r="B34" s="2902" t="s">
        <v>502</v>
      </c>
      <c r="C34" s="475">
        <f ca="1">ROUND((1+C25)*F33,4)</f>
        <v>0.1646</v>
      </c>
      <c r="D34" s="475"/>
      <c r="E34" s="476"/>
      <c r="F34" s="483"/>
      <c r="G34" s="261" t="s">
        <v>2300</v>
      </c>
      <c r="H34" s="2854"/>
      <c r="I34" s="2854"/>
      <c r="J34" s="2854"/>
      <c r="K34" s="279"/>
    </row>
    <row r="35" spans="1:11" s="2133" customFormat="1" ht="13.5" customHeight="1" thickBot="1">
      <c r="A35" s="1641" t="s">
        <v>1862</v>
      </c>
      <c r="B35" s="3072" t="s">
        <v>2856</v>
      </c>
      <c r="C35" s="1633">
        <f ca="1">ROUND((C18+C19+C20+C23+C24)*F33,0)</f>
        <v>12426</v>
      </c>
      <c r="D35" s="1634"/>
      <c r="E35" s="2903"/>
      <c r="F35" s="1635"/>
      <c r="G35" s="2861"/>
      <c r="H35" s="2862"/>
      <c r="I35" s="2862"/>
      <c r="J35" s="2862"/>
      <c r="K35" s="2863"/>
    </row>
    <row r="36" spans="1:11" s="2092" customFormat="1" ht="13.5" customHeight="1" thickBot="1">
      <c r="A36" s="284" t="s">
        <v>1849</v>
      </c>
      <c r="B36" s="2865"/>
      <c r="C36" s="2904">
        <f ca="1">ROUND((C6-C30-C33)/(1+D30+D33),0)</f>
        <v>129411</v>
      </c>
      <c r="D36" s="2865"/>
      <c r="E36" s="2865"/>
      <c r="F36" s="2865"/>
      <c r="G36" s="2864" t="s">
        <v>2857</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1" t="str">
        <f>项目基本情况!B1</f>
        <v>江苏省常州市湖塘镇武宜路西侧出让国有建设用地使用权市场价格预评估</v>
      </c>
      <c r="C37" s="3161"/>
      <c r="D37" s="3161"/>
      <c r="E37" s="3161"/>
      <c r="F37" s="3161"/>
      <c r="G37" s="3161"/>
      <c r="H37" s="3161"/>
      <c r="I37" s="3161"/>
    </row>
    <row r="38" spans="1:9">
      <c r="A38" s="1661"/>
      <c r="B38" s="1661"/>
    </row>
    <row r="39" spans="1:9">
      <c r="A39" s="1659" t="s">
        <v>1906</v>
      </c>
      <c r="B39" s="1659" t="s">
        <v>2056</v>
      </c>
    </row>
    <row r="40" spans="1:9">
      <c r="A40" s="1659"/>
      <c r="B40" s="1659" t="str">
        <f>项目基本情况!B5</f>
        <v>常州绿城置业有限公司</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梁津、王鹏</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10</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2669</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58571</v>
      </c>
      <c r="D13" s="454"/>
      <c r="E13" s="368"/>
      <c r="F13" s="455"/>
      <c r="G13" s="447"/>
      <c r="H13" s="450"/>
      <c r="I13" s="450"/>
      <c r="J13" s="450"/>
      <c r="K13" s="451"/>
    </row>
    <row r="14" spans="1:41" s="2126" customFormat="1" ht="13.5" customHeight="1">
      <c r="A14" s="1638" t="s">
        <v>1854</v>
      </c>
      <c r="B14" s="452" t="s">
        <v>480</v>
      </c>
      <c r="C14" s="53">
        <f ca="1">ROUND(C13*F14,0)</f>
        <v>1757</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2317</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5799</v>
      </c>
      <c r="D16" s="454">
        <f ca="1">IF(B1="",'数据-汇总表'!E3,INDIRECT("'数据-取费表'!K"&amp;$K$1)+INDIRECT("'数据-取费表'!S"&amp;$K$1))</f>
        <v>289959.02999999997</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879</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69323</v>
      </c>
      <c r="D18" s="464"/>
      <c r="E18" s="465"/>
      <c r="F18" s="465"/>
      <c r="G18" s="1330" t="s">
        <v>2444</v>
      </c>
      <c r="H18" s="450"/>
      <c r="I18" s="450"/>
      <c r="J18" s="450"/>
      <c r="K18" s="451"/>
    </row>
    <row r="19" spans="1:14" s="2129" customFormat="1" ht="13.5" customHeight="1">
      <c r="A19" s="1639" t="s">
        <v>1859</v>
      </c>
      <c r="B19" s="462" t="s">
        <v>493</v>
      </c>
      <c r="C19" s="463">
        <f ca="1">ROUND(C18*F19,0)</f>
        <v>1040</v>
      </c>
      <c r="D19" s="465"/>
      <c r="E19" s="465"/>
      <c r="F19" s="469">
        <f>'数据-取费表'!B37</f>
        <v>1.4999999999999999E-2</v>
      </c>
      <c r="G19" s="447" t="s">
        <v>504</v>
      </c>
      <c r="H19" s="450"/>
      <c r="I19" s="450"/>
      <c r="J19" s="450"/>
      <c r="K19" s="451"/>
      <c r="L19" s="2131"/>
      <c r="M19" s="2131"/>
      <c r="N19" s="2131"/>
    </row>
    <row r="20" spans="1:14" s="2129" customFormat="1" ht="13.5" customHeight="1">
      <c r="A20" s="1639" t="s">
        <v>1860</v>
      </c>
      <c r="B20" s="462" t="s">
        <v>505</v>
      </c>
      <c r="C20" s="3069">
        <f>F20</f>
        <v>1.4999999999999999E-2</v>
      </c>
      <c r="D20" s="472" t="s">
        <v>506</v>
      </c>
      <c r="E20" s="472"/>
      <c r="F20" s="489">
        <f>'数据-取费表'!B38</f>
        <v>1.4999999999999999E-2</v>
      </c>
      <c r="G20" s="1330" t="s">
        <v>507</v>
      </c>
      <c r="H20" s="450"/>
      <c r="I20" s="450"/>
      <c r="J20" s="450"/>
      <c r="K20" s="451"/>
      <c r="L20" s="2131"/>
      <c r="M20" s="2131"/>
      <c r="N20" s="2131"/>
    </row>
    <row r="21" spans="1:14" s="2131" customFormat="1" ht="13.5" customHeight="1">
      <c r="A21" s="1639" t="s">
        <v>1863</v>
      </c>
      <c r="B21" s="464" t="s">
        <v>494</v>
      </c>
      <c r="C21" s="473">
        <f ca="1">C22</f>
        <v>4202</v>
      </c>
      <c r="D21" s="470">
        <f ca="1">C23</f>
        <v>8.9999999999999998E-4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2466</v>
      </c>
    </row>
    <row r="22" spans="1:14" s="2130" customFormat="1" ht="13.5" customHeight="1">
      <c r="A22" s="1638" t="s">
        <v>1853</v>
      </c>
      <c r="B22" s="1331" t="s">
        <v>2447</v>
      </c>
      <c r="C22" s="490">
        <f ca="1">ROUND(IF('数据-取费表'!B22&lt;=1,(C18+C19)*F21*'数据-取费表'!B20/2,(C18+C19)*(POWER((1+F21),'数据-取费表'!B20/2)-1)),0)</f>
        <v>4202</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8.9999999999999998E-4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2849</v>
      </c>
      <c r="C24" s="481">
        <f ca="1">C25</f>
        <v>11258</v>
      </c>
      <c r="D24" s="492">
        <f ca="1">C26</f>
        <v>2.3999999999999998E-3</v>
      </c>
      <c r="E24" s="472" t="s">
        <v>508</v>
      </c>
      <c r="F24" s="482">
        <f ca="1">IF(B1="",'数据-取费表'!Q16,INDIRECT("'数据-取费表'!q"&amp;$K$1))</f>
        <v>0.16</v>
      </c>
      <c r="G24" s="447"/>
      <c r="H24" s="450"/>
      <c r="I24" s="450"/>
      <c r="J24" s="450"/>
      <c r="K24" s="451"/>
    </row>
    <row r="25" spans="1:14" s="2130" customFormat="1" ht="13.5" customHeight="1">
      <c r="A25" s="1638" t="s">
        <v>1853</v>
      </c>
      <c r="B25" s="1331" t="s">
        <v>2448</v>
      </c>
      <c r="C25" s="493">
        <f ca="1">ROUND((C18+C19)*F24,0)</f>
        <v>11258</v>
      </c>
      <c r="D25" s="475"/>
      <c r="E25" s="476"/>
      <c r="F25" s="483"/>
      <c r="G25" s="1329" t="s">
        <v>2445</v>
      </c>
      <c r="H25" s="460"/>
      <c r="I25" s="460"/>
      <c r="J25" s="460"/>
      <c r="K25" s="461"/>
    </row>
    <row r="26" spans="1:14" s="2130" customFormat="1" ht="13.5" customHeight="1">
      <c r="A26" s="1638" t="s">
        <v>1854</v>
      </c>
      <c r="B26" s="1331" t="s">
        <v>510</v>
      </c>
      <c r="C26" s="494">
        <f ca="1">ROUND(F20*F24,4)</f>
        <v>2.3999999999999998E-3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2847</v>
      </c>
      <c r="E27" s="465"/>
      <c r="F27" s="469">
        <f>'数据-取费表'!B41</f>
        <v>5.6000000000000001E-2</v>
      </c>
      <c r="G27" s="1966" t="s">
        <v>2301</v>
      </c>
      <c r="H27" s="450"/>
      <c r="I27" s="450"/>
      <c r="J27" s="450"/>
      <c r="K27" s="451"/>
    </row>
    <row r="28" spans="1:14" s="2131" customFormat="1" ht="13.5" customHeight="1">
      <c r="A28" s="1642" t="s">
        <v>1873</v>
      </c>
      <c r="B28" s="479" t="s">
        <v>513</v>
      </c>
      <c r="C28" s="473">
        <f ca="1">ROUND((C18+C19+C21+C24)/(1-C20-D21-D24-C27),0)</f>
        <v>92442</v>
      </c>
      <c r="D28" s="480"/>
      <c r="E28" s="472"/>
      <c r="F28" s="474"/>
      <c r="G28" s="1330" t="s">
        <v>2446</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35" t="s">
        <v>523</v>
      </c>
      <c r="D6" s="3336"/>
      <c r="E6" s="3370" t="s">
        <v>524</v>
      </c>
      <c r="F6" s="3371"/>
      <c r="G6" s="3335" t="s">
        <v>525</v>
      </c>
      <c r="H6" s="3336"/>
      <c r="I6" s="3335" t="s">
        <v>526</v>
      </c>
      <c r="J6" s="3336"/>
      <c r="K6" s="517" t="s">
        <v>527</v>
      </c>
      <c r="L6" s="2143"/>
      <c r="M6" s="2144"/>
      <c r="N6" s="2144"/>
      <c r="O6" s="2144"/>
      <c r="P6" s="3337" t="s">
        <v>528</v>
      </c>
      <c r="Q6" s="3338"/>
      <c r="R6" s="3343" t="s">
        <v>524</v>
      </c>
      <c r="S6" s="3344"/>
      <c r="T6" s="3343" t="s">
        <v>525</v>
      </c>
      <c r="U6" s="3344"/>
      <c r="V6" s="3330" t="s">
        <v>526</v>
      </c>
      <c r="W6" s="3330"/>
      <c r="X6" s="1572"/>
      <c r="Y6" s="3343" t="s">
        <v>528</v>
      </c>
      <c r="Z6" s="3344"/>
      <c r="AA6" s="3332" t="s">
        <v>524</v>
      </c>
      <c r="AB6" s="3333" t="s">
        <v>525</v>
      </c>
      <c r="AC6" s="3332" t="s">
        <v>526</v>
      </c>
    </row>
    <row r="7" spans="1:29" ht="15">
      <c r="A7" s="518"/>
      <c r="B7" s="519"/>
      <c r="C7" s="3353" t="s">
        <v>2944</v>
      </c>
      <c r="D7" s="3352"/>
      <c r="E7" s="3372" t="s">
        <v>2945</v>
      </c>
      <c r="F7" s="3373"/>
      <c r="G7" s="3353" t="s">
        <v>2946</v>
      </c>
      <c r="H7" s="3352"/>
      <c r="I7" s="3353" t="s">
        <v>2947</v>
      </c>
      <c r="J7" s="3352"/>
      <c r="K7" s="517"/>
      <c r="L7" s="2143"/>
      <c r="M7" s="2144"/>
      <c r="N7" s="2144"/>
      <c r="O7" s="2144"/>
      <c r="P7" s="3339"/>
      <c r="Q7" s="3340"/>
      <c r="R7" s="3345"/>
      <c r="S7" s="3346"/>
      <c r="T7" s="3345"/>
      <c r="U7" s="3346"/>
      <c r="V7" s="3330"/>
      <c r="W7" s="3330"/>
      <c r="X7" s="1572"/>
      <c r="Y7" s="3345"/>
      <c r="Z7" s="3346"/>
      <c r="AA7" s="3333"/>
      <c r="AB7" s="3333"/>
      <c r="AC7" s="3333"/>
    </row>
    <row r="8" spans="1:29" ht="15.75" thickBot="1">
      <c r="A8" s="520"/>
      <c r="B8" s="521"/>
      <c r="C8" s="3349" t="s">
        <v>2948</v>
      </c>
      <c r="D8" s="3350"/>
      <c r="E8" s="3368" t="s">
        <v>2948</v>
      </c>
      <c r="F8" s="3369"/>
      <c r="G8" s="3349" t="s">
        <v>2948</v>
      </c>
      <c r="H8" s="3350"/>
      <c r="I8" s="3349" t="s">
        <v>2948</v>
      </c>
      <c r="J8" s="3350"/>
      <c r="K8" s="517" t="s">
        <v>529</v>
      </c>
      <c r="L8" s="2143"/>
      <c r="M8" s="2144"/>
      <c r="N8" s="2144"/>
      <c r="O8" s="2144"/>
      <c r="P8" s="3341"/>
      <c r="Q8" s="3342"/>
      <c r="R8" s="3345"/>
      <c r="S8" s="3346"/>
      <c r="T8" s="3347"/>
      <c r="U8" s="3348"/>
      <c r="V8" s="3330"/>
      <c r="W8" s="3330"/>
      <c r="X8" s="1572"/>
      <c r="Y8" s="3347"/>
      <c r="Z8" s="3348"/>
      <c r="AA8" s="3334"/>
      <c r="AB8" s="3334"/>
      <c r="AC8" s="3334"/>
    </row>
    <row r="9" spans="1:29" s="1223" customFormat="1" ht="15.75" thickBot="1">
      <c r="A9" s="2951"/>
      <c r="B9" s="2958" t="s">
        <v>530</v>
      </c>
      <c r="C9" s="522">
        <f>'数据-取费表'!B2</f>
        <v>42921</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61" t="s">
        <v>531</v>
      </c>
      <c r="Q9" s="3363"/>
      <c r="R9" s="1573" t="s">
        <v>8</v>
      </c>
      <c r="S9" s="1574">
        <f t="shared" ref="S9:S17" si="0">F9</f>
        <v>0</v>
      </c>
      <c r="T9" s="1573" t="s">
        <v>8</v>
      </c>
      <c r="U9" s="1574">
        <f t="shared" ref="U9:U17" si="1">H9</f>
        <v>0</v>
      </c>
      <c r="V9" s="1573" t="s">
        <v>8</v>
      </c>
      <c r="W9" s="1574">
        <f t="shared" ref="W9:W17" si="2">J9</f>
        <v>0</v>
      </c>
      <c r="X9" s="1575"/>
      <c r="Y9" s="3361" t="s">
        <v>531</v>
      </c>
      <c r="Z9" s="3362"/>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61" t="s">
        <v>534</v>
      </c>
      <c r="Q10" s="3362"/>
      <c r="R10" s="1573" t="s">
        <v>8</v>
      </c>
      <c r="S10" s="1574">
        <f t="shared" si="0"/>
        <v>0</v>
      </c>
      <c r="T10" s="1573" t="s">
        <v>8</v>
      </c>
      <c r="U10" s="1574">
        <f t="shared" si="1"/>
        <v>0</v>
      </c>
      <c r="V10" s="1573" t="s">
        <v>8</v>
      </c>
      <c r="W10" s="1574">
        <f t="shared" si="2"/>
        <v>0</v>
      </c>
      <c r="X10" s="1575"/>
      <c r="Y10" s="3361" t="s">
        <v>534</v>
      </c>
      <c r="Z10" s="3362"/>
      <c r="AA10" s="1576" t="e">
        <f t="shared" ref="AA10:AA42" si="3">D10/F10</f>
        <v>#DIV/0!</v>
      </c>
      <c r="AB10" s="1576" t="e">
        <f t="shared" ref="AB10:AB42" si="4">D10/H10</f>
        <v>#DIV/0!</v>
      </c>
      <c r="AC10" s="1576" t="e">
        <f t="shared" ref="AC10:AC42" si="5">D10/J10</f>
        <v>#DIV/0!</v>
      </c>
    </row>
    <row r="11" spans="1:29" s="1223" customFormat="1" ht="15">
      <c r="A11" s="2953"/>
      <c r="B11" s="2960" t="s">
        <v>2773</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29" t="s">
        <v>536</v>
      </c>
      <c r="Q11" s="1154" t="str">
        <f t="shared" ref="Q11:Q17" si="6">B11</f>
        <v>用途</v>
      </c>
      <c r="R11" s="1573" t="s">
        <v>8</v>
      </c>
      <c r="S11" s="1574">
        <f t="shared" si="0"/>
        <v>100</v>
      </c>
      <c r="T11" s="1573" t="s">
        <v>8</v>
      </c>
      <c r="U11" s="1574">
        <f t="shared" si="1"/>
        <v>100</v>
      </c>
      <c r="V11" s="1573" t="s">
        <v>8</v>
      </c>
      <c r="W11" s="1574">
        <f t="shared" si="2"/>
        <v>100</v>
      </c>
      <c r="X11" s="1575"/>
      <c r="Y11" s="3275" t="s">
        <v>537</v>
      </c>
      <c r="Z11" s="1153" t="str">
        <f t="shared" ref="Z11:Z17" si="7">Q11</f>
        <v>用途</v>
      </c>
      <c r="AA11" s="1576">
        <f t="shared" si="3"/>
        <v>1</v>
      </c>
      <c r="AB11" s="1576">
        <f t="shared" si="4"/>
        <v>1</v>
      </c>
      <c r="AC11" s="1576">
        <f t="shared" si="5"/>
        <v>1</v>
      </c>
    </row>
    <row r="12" spans="1:29" s="1341" customFormat="1" ht="27">
      <c r="A12" s="2954"/>
      <c r="B12" s="2959" t="s">
        <v>2774</v>
      </c>
      <c r="C12" s="531"/>
      <c r="D12" s="255">
        <v>100</v>
      </c>
      <c r="E12" s="531"/>
      <c r="F12" s="255">
        <f>ROUND(100/'数据-取费表'!G16,0)</f>
        <v>102</v>
      </c>
      <c r="G12" s="531"/>
      <c r="H12" s="255">
        <f>ROUND(100/'数据-取费表'!G16,0)</f>
        <v>102</v>
      </c>
      <c r="I12" s="531"/>
      <c r="J12" s="255">
        <f>ROUND(100/'数据-取费表'!G16,0)</f>
        <v>102</v>
      </c>
      <c r="K12" s="534"/>
      <c r="L12" s="2148"/>
      <c r="M12" s="2188"/>
      <c r="N12" s="2188"/>
      <c r="O12" s="2149"/>
      <c r="P12" s="3329"/>
      <c r="Q12" s="1154" t="str">
        <f t="shared" si="6"/>
        <v>土地使用年限（年）</v>
      </c>
      <c r="R12" s="1573" t="s">
        <v>8</v>
      </c>
      <c r="S12" s="1574">
        <f t="shared" si="0"/>
        <v>102</v>
      </c>
      <c r="T12" s="1573" t="s">
        <v>8</v>
      </c>
      <c r="U12" s="1574">
        <f t="shared" si="1"/>
        <v>102</v>
      </c>
      <c r="V12" s="1573" t="s">
        <v>8</v>
      </c>
      <c r="W12" s="1574">
        <f t="shared" si="2"/>
        <v>102</v>
      </c>
      <c r="X12" s="1575"/>
      <c r="Y12" s="3275"/>
      <c r="Z12" s="1153" t="str">
        <f t="shared" si="7"/>
        <v>土地使用年限（年）</v>
      </c>
      <c r="AA12" s="1576">
        <f t="shared" si="3"/>
        <v>0.98039215686274506</v>
      </c>
      <c r="AB12" s="1576">
        <f t="shared" si="4"/>
        <v>0.98039215686274506</v>
      </c>
      <c r="AC12" s="1576">
        <f t="shared" si="5"/>
        <v>0.98039215686274506</v>
      </c>
    </row>
    <row r="13" spans="1:29" ht="15">
      <c r="A13" s="2955"/>
      <c r="B13" s="2959" t="s">
        <v>2775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29"/>
      <c r="Q13" s="1154" t="str">
        <f t="shared" si="6"/>
        <v>容积率</v>
      </c>
      <c r="R13" s="1573" t="s">
        <v>8</v>
      </c>
      <c r="S13" s="1574" t="e">
        <f t="shared" si="0"/>
        <v>#N/A</v>
      </c>
      <c r="T13" s="1573" t="s">
        <v>8</v>
      </c>
      <c r="U13" s="1574" t="e">
        <f t="shared" si="1"/>
        <v>#N/A</v>
      </c>
      <c r="V13" s="1573" t="s">
        <v>8</v>
      </c>
      <c r="W13" s="1574" t="e">
        <f t="shared" si="2"/>
        <v>#N/A</v>
      </c>
      <c r="X13" s="1575"/>
      <c r="Y13" s="3275"/>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29"/>
      <c r="Q14" s="1154">
        <f t="shared" si="6"/>
        <v>111</v>
      </c>
      <c r="R14" s="1573" t="s">
        <v>8</v>
      </c>
      <c r="S14" s="1574">
        <f t="shared" si="0"/>
        <v>100</v>
      </c>
      <c r="T14" s="1573" t="s">
        <v>8</v>
      </c>
      <c r="U14" s="1574">
        <f t="shared" si="1"/>
        <v>100</v>
      </c>
      <c r="V14" s="1573" t="s">
        <v>8</v>
      </c>
      <c r="W14" s="1574">
        <f t="shared" si="2"/>
        <v>100</v>
      </c>
      <c r="X14" s="1575"/>
      <c r="Y14" s="3275"/>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29"/>
      <c r="Q15" s="1154">
        <f t="shared" si="6"/>
        <v>111</v>
      </c>
      <c r="R15" s="1573" t="s">
        <v>8</v>
      </c>
      <c r="S15" s="1574">
        <f t="shared" si="0"/>
        <v>100</v>
      </c>
      <c r="T15" s="1573" t="s">
        <v>8</v>
      </c>
      <c r="U15" s="1574">
        <f t="shared" si="1"/>
        <v>100</v>
      </c>
      <c r="V15" s="1573" t="s">
        <v>8</v>
      </c>
      <c r="W15" s="1574">
        <f t="shared" si="2"/>
        <v>100</v>
      </c>
      <c r="X15" s="1575"/>
      <c r="Y15" s="3275"/>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29"/>
      <c r="Q16" s="1154">
        <f t="shared" si="6"/>
        <v>111</v>
      </c>
      <c r="R16" s="1573" t="s">
        <v>8</v>
      </c>
      <c r="S16" s="1574">
        <f t="shared" si="0"/>
        <v>100</v>
      </c>
      <c r="T16" s="1573" t="s">
        <v>8</v>
      </c>
      <c r="U16" s="1574">
        <f t="shared" si="1"/>
        <v>100</v>
      </c>
      <c r="V16" s="1573" t="s">
        <v>8</v>
      </c>
      <c r="W16" s="1574">
        <f t="shared" si="2"/>
        <v>100</v>
      </c>
      <c r="X16" s="1575"/>
      <c r="Y16" s="3275"/>
      <c r="Z16" s="1153">
        <f t="shared" si="7"/>
        <v>111</v>
      </c>
      <c r="AA16" s="1576">
        <f t="shared" si="3"/>
        <v>1</v>
      </c>
      <c r="AB16" s="1576">
        <f t="shared" si="4"/>
        <v>1</v>
      </c>
      <c r="AC16" s="1576">
        <f t="shared" si="5"/>
        <v>1</v>
      </c>
    </row>
    <row r="17" spans="1:29" ht="57">
      <c r="A17" s="2949" t="s">
        <v>2771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4" t="s">
        <v>541</v>
      </c>
      <c r="Q17" s="1577" t="str">
        <f t="shared" si="6"/>
        <v>产业集聚程度</v>
      </c>
      <c r="R17" s="1578" t="s">
        <v>8</v>
      </c>
      <c r="S17" s="1579">
        <f t="shared" si="0"/>
        <v>100</v>
      </c>
      <c r="T17" s="1578" t="s">
        <v>8</v>
      </c>
      <c r="U17" s="1579">
        <f t="shared" si="1"/>
        <v>100</v>
      </c>
      <c r="V17" s="1578" t="s">
        <v>8</v>
      </c>
      <c r="W17" s="1579">
        <f t="shared" si="2"/>
        <v>100</v>
      </c>
      <c r="X17" s="1572"/>
      <c r="Y17" s="3364"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5"/>
      <c r="Q18" s="1577"/>
      <c r="R18" s="1578"/>
      <c r="S18" s="1579"/>
      <c r="T18" s="1578"/>
      <c r="U18" s="1579"/>
      <c r="V18" s="1578"/>
      <c r="W18" s="1579"/>
      <c r="X18" s="1572"/>
      <c r="Y18" s="3365"/>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5"/>
      <c r="Q19" s="1577" t="str">
        <f>B19</f>
        <v>交通便捷度</v>
      </c>
      <c r="R19" s="1578" t="s">
        <v>8</v>
      </c>
      <c r="S19" s="1579">
        <f>F19</f>
        <v>100</v>
      </c>
      <c r="T19" s="1578" t="s">
        <v>8</v>
      </c>
      <c r="U19" s="1579">
        <f>H19</f>
        <v>100</v>
      </c>
      <c r="V19" s="1578" t="s">
        <v>8</v>
      </c>
      <c r="W19" s="1579">
        <f>J19</f>
        <v>100</v>
      </c>
      <c r="X19" s="1572"/>
      <c r="Y19" s="3365"/>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5"/>
      <c r="Q20" s="1577"/>
      <c r="R20" s="1578"/>
      <c r="S20" s="1579"/>
      <c r="T20" s="1578"/>
      <c r="U20" s="1579"/>
      <c r="V20" s="1578"/>
      <c r="W20" s="1579"/>
      <c r="X20" s="1572"/>
      <c r="Y20" s="3365"/>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5"/>
      <c r="Q21" s="1577" t="str">
        <f t="shared" ref="Q21:Q35" si="8">B21</f>
        <v>区域土地利用方向</v>
      </c>
      <c r="R21" s="1578" t="s">
        <v>8</v>
      </c>
      <c r="S21" s="1579">
        <f>F21</f>
        <v>100</v>
      </c>
      <c r="T21" s="1578" t="s">
        <v>8</v>
      </c>
      <c r="U21" s="1579">
        <f>H21</f>
        <v>100</v>
      </c>
      <c r="V21" s="1578" t="s">
        <v>8</v>
      </c>
      <c r="W21" s="1579">
        <f>J21</f>
        <v>100</v>
      </c>
      <c r="X21" s="1572"/>
      <c r="Y21" s="3365"/>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5"/>
      <c r="Q22" s="1577"/>
      <c r="R22" s="1578"/>
      <c r="S22" s="1579"/>
      <c r="T22" s="1578"/>
      <c r="U22" s="1579"/>
      <c r="V22" s="1578"/>
      <c r="W22" s="1579"/>
      <c r="X22" s="1572"/>
      <c r="Y22" s="3365"/>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5"/>
      <c r="Q23" s="1577" t="str">
        <f t="shared" si="8"/>
        <v>环境状况</v>
      </c>
      <c r="R23" s="1578" t="s">
        <v>8</v>
      </c>
      <c r="S23" s="1579">
        <f>F23</f>
        <v>100</v>
      </c>
      <c r="T23" s="1578" t="s">
        <v>8</v>
      </c>
      <c r="U23" s="1579">
        <f>H23</f>
        <v>100</v>
      </c>
      <c r="V23" s="1578" t="s">
        <v>8</v>
      </c>
      <c r="W23" s="1579">
        <f>J23</f>
        <v>100</v>
      </c>
      <c r="X23" s="1572"/>
      <c r="Y23" s="3365"/>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5"/>
      <c r="Q24" s="1577"/>
      <c r="R24" s="1578"/>
      <c r="S24" s="1579"/>
      <c r="T24" s="1578"/>
      <c r="U24" s="1579"/>
      <c r="V24" s="1578"/>
      <c r="W24" s="1579"/>
      <c r="X24" s="1572"/>
      <c r="Y24" s="3365"/>
      <c r="Z24" s="1580"/>
      <c r="AA24" s="1581">
        <v>1</v>
      </c>
      <c r="AB24" s="1581">
        <v>1</v>
      </c>
      <c r="AC24" s="1581">
        <v>1</v>
      </c>
    </row>
    <row r="25" spans="1:29" s="1223" customFormat="1" ht="42.75">
      <c r="A25" s="580"/>
      <c r="B25" s="2628" t="s">
        <v>2562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5"/>
      <c r="Q25" s="1154" t="str">
        <f t="shared" si="8"/>
        <v>公共配套设施</v>
      </c>
      <c r="R25" s="1573" t="s">
        <v>8</v>
      </c>
      <c r="S25" s="1574">
        <f>F25</f>
        <v>100</v>
      </c>
      <c r="T25" s="1573" t="s">
        <v>8</v>
      </c>
      <c r="U25" s="1574">
        <f>H25</f>
        <v>100</v>
      </c>
      <c r="V25" s="1573" t="s">
        <v>8</v>
      </c>
      <c r="W25" s="1574">
        <f>J25</f>
        <v>100</v>
      </c>
      <c r="X25" s="1575"/>
      <c r="Y25" s="3365"/>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5"/>
      <c r="Q26" s="1154"/>
      <c r="R26" s="1573"/>
      <c r="S26" s="1574"/>
      <c r="T26" s="1573"/>
      <c r="U26" s="1574"/>
      <c r="V26" s="1573"/>
      <c r="W26" s="1574"/>
      <c r="X26" s="1575"/>
      <c r="Y26" s="3365"/>
      <c r="Z26" s="1153"/>
      <c r="AA26" s="1576">
        <v>1</v>
      </c>
      <c r="AB26" s="1576">
        <v>1</v>
      </c>
      <c r="AC26" s="1576">
        <v>1</v>
      </c>
    </row>
    <row r="27" spans="1:29" s="1223" customFormat="1" ht="28.5">
      <c r="A27" s="580"/>
      <c r="B27" s="2628" t="s">
        <v>2563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5"/>
      <c r="Q27" s="2613" t="str">
        <f t="shared" ref="Q27" si="9">B27</f>
        <v>基础设施水平</v>
      </c>
      <c r="R27" s="1573" t="s">
        <v>8</v>
      </c>
      <c r="S27" s="1574">
        <f>F27</f>
        <v>100</v>
      </c>
      <c r="T27" s="1573" t="s">
        <v>8</v>
      </c>
      <c r="U27" s="1574">
        <f>H27</f>
        <v>100</v>
      </c>
      <c r="V27" s="1573" t="s">
        <v>8</v>
      </c>
      <c r="W27" s="1574">
        <f>J27</f>
        <v>100</v>
      </c>
      <c r="X27" s="1575"/>
      <c r="Y27" s="3365"/>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5"/>
      <c r="Q28" s="2613"/>
      <c r="R28" s="1573"/>
      <c r="S28" s="1574"/>
      <c r="T28" s="1573"/>
      <c r="U28" s="1574"/>
      <c r="V28" s="1573"/>
      <c r="W28" s="1574"/>
      <c r="X28" s="1575"/>
      <c r="Y28" s="3365"/>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5"/>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5"/>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5"/>
      <c r="Q30" s="1577" t="str">
        <f t="shared" si="8"/>
        <v>毗邻道路的类型与等级</v>
      </c>
      <c r="R30" s="1578" t="s">
        <v>8</v>
      </c>
      <c r="S30" s="1579">
        <f t="shared" si="10"/>
        <v>100</v>
      </c>
      <c r="T30" s="1578" t="s">
        <v>8</v>
      </c>
      <c r="U30" s="1579">
        <f t="shared" si="11"/>
        <v>100</v>
      </c>
      <c r="V30" s="1578" t="s">
        <v>8</v>
      </c>
      <c r="W30" s="1579">
        <f t="shared" si="12"/>
        <v>100</v>
      </c>
      <c r="X30" s="1572"/>
      <c r="Y30" s="3365"/>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5"/>
      <c r="Q31" s="1577"/>
      <c r="R31" s="1578"/>
      <c r="S31" s="1579"/>
      <c r="T31" s="1578"/>
      <c r="U31" s="1579"/>
      <c r="V31" s="1578"/>
      <c r="W31" s="1579"/>
      <c r="X31" s="1572"/>
      <c r="Y31" s="3365"/>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5"/>
      <c r="Q32" s="1577" t="str">
        <f t="shared" si="8"/>
        <v>土地级别</v>
      </c>
      <c r="R32" s="1578" t="s">
        <v>8</v>
      </c>
      <c r="S32" s="1579">
        <f t="shared" si="10"/>
        <v>100</v>
      </c>
      <c r="T32" s="1578" t="s">
        <v>8</v>
      </c>
      <c r="U32" s="1579">
        <f t="shared" si="11"/>
        <v>100</v>
      </c>
      <c r="V32" s="1578" t="s">
        <v>8</v>
      </c>
      <c r="W32" s="1579">
        <f t="shared" si="12"/>
        <v>100</v>
      </c>
      <c r="X32" s="1572"/>
      <c r="Y32" s="3365"/>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5"/>
      <c r="Q33" s="1577">
        <f t="shared" si="8"/>
        <v>111</v>
      </c>
      <c r="R33" s="1578" t="s">
        <v>8</v>
      </c>
      <c r="S33" s="1579">
        <f t="shared" si="10"/>
        <v>100</v>
      </c>
      <c r="T33" s="1578" t="s">
        <v>8</v>
      </c>
      <c r="U33" s="1579">
        <f t="shared" si="11"/>
        <v>100</v>
      </c>
      <c r="V33" s="1578" t="s">
        <v>8</v>
      </c>
      <c r="W33" s="1579">
        <f t="shared" si="12"/>
        <v>100</v>
      </c>
      <c r="X33" s="1572"/>
      <c r="Y33" s="3365"/>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6" t="s">
        <v>551</v>
      </c>
      <c r="Q34" s="1577">
        <f t="shared" si="8"/>
        <v>111</v>
      </c>
      <c r="R34" s="1578" t="s">
        <v>8</v>
      </c>
      <c r="S34" s="1579">
        <f t="shared" si="10"/>
        <v>100</v>
      </c>
      <c r="T34" s="1578" t="s">
        <v>8</v>
      </c>
      <c r="U34" s="1579">
        <f t="shared" si="11"/>
        <v>100</v>
      </c>
      <c r="V34" s="1578" t="s">
        <v>8</v>
      </c>
      <c r="W34" s="1579">
        <f t="shared" si="12"/>
        <v>100</v>
      </c>
      <c r="X34" s="1572"/>
      <c r="Y34" s="3367"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7"/>
      <c r="Q35" s="1577">
        <f t="shared" si="8"/>
        <v>111</v>
      </c>
      <c r="R35" s="1582" t="s">
        <v>8</v>
      </c>
      <c r="S35" s="1583">
        <f t="shared" si="10"/>
        <v>100</v>
      </c>
      <c r="T35" s="1582" t="s">
        <v>8</v>
      </c>
      <c r="U35" s="1583">
        <f t="shared" si="11"/>
        <v>100</v>
      </c>
      <c r="V35" s="1582" t="s">
        <v>8</v>
      </c>
      <c r="W35" s="1583">
        <f t="shared" si="12"/>
        <v>100</v>
      </c>
      <c r="X35" s="1584"/>
      <c r="Y35" s="3367"/>
      <c r="Z35" s="1585">
        <f t="shared" si="13"/>
        <v>111</v>
      </c>
      <c r="AA35" s="1581">
        <f t="shared" si="3"/>
        <v>1</v>
      </c>
      <c r="AB35" s="1581">
        <f t="shared" si="4"/>
        <v>1</v>
      </c>
      <c r="AC35" s="1581">
        <f t="shared" si="5"/>
        <v>1</v>
      </c>
    </row>
    <row r="36" spans="1:29" ht="15">
      <c r="A36" s="2946" t="s">
        <v>2772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7"/>
      <c r="Q36" s="1577" t="str">
        <f>B36</f>
        <v>宗地面积</v>
      </c>
      <c r="R36" s="1578" t="s">
        <v>8</v>
      </c>
      <c r="S36" s="1579" t="e">
        <f t="shared" si="10"/>
        <v>#N/A</v>
      </c>
      <c r="T36" s="1578" t="s">
        <v>8</v>
      </c>
      <c r="U36" s="1579" t="e">
        <f t="shared" si="11"/>
        <v>#N/A</v>
      </c>
      <c r="V36" s="1578" t="s">
        <v>8</v>
      </c>
      <c r="W36" s="1579" t="e">
        <f t="shared" si="12"/>
        <v>#N/A</v>
      </c>
      <c r="X36" s="1572"/>
      <c r="Y36" s="3367"/>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7"/>
      <c r="Q37" s="1577" t="str">
        <f t="shared" ref="Q37:Q42" si="14">B37</f>
        <v>宗地形状</v>
      </c>
      <c r="R37" s="1578" t="s">
        <v>8</v>
      </c>
      <c r="S37" s="1579">
        <f t="shared" si="10"/>
        <v>100</v>
      </c>
      <c r="T37" s="1578" t="s">
        <v>8</v>
      </c>
      <c r="U37" s="1579">
        <f t="shared" si="11"/>
        <v>100</v>
      </c>
      <c r="V37" s="1578" t="s">
        <v>8</v>
      </c>
      <c r="W37" s="1579">
        <f t="shared" si="12"/>
        <v>100</v>
      </c>
      <c r="X37" s="1572"/>
      <c r="Y37" s="3367"/>
      <c r="Z37" s="1580" t="str">
        <f t="shared" si="13"/>
        <v>宗地形状</v>
      </c>
      <c r="AA37" s="1581">
        <f t="shared" si="3"/>
        <v>1</v>
      </c>
      <c r="AB37" s="1581">
        <f t="shared" si="4"/>
        <v>1</v>
      </c>
      <c r="AC37" s="1581">
        <f t="shared" si="5"/>
        <v>1</v>
      </c>
    </row>
    <row r="38" spans="1:29" s="1223" customFormat="1" ht="15">
      <c r="A38" s="603"/>
      <c r="B38" s="1901" t="s">
        <v>2436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7"/>
      <c r="Q38" s="1577" t="str">
        <f t="shared" si="14"/>
        <v>宗地开发程度</v>
      </c>
      <c r="R38" s="1573" t="s">
        <v>8</v>
      </c>
      <c r="S38" s="1574">
        <f t="shared" si="10"/>
        <v>100</v>
      </c>
      <c r="T38" s="1573" t="s">
        <v>8</v>
      </c>
      <c r="U38" s="1574">
        <f t="shared" si="11"/>
        <v>100</v>
      </c>
      <c r="V38" s="1573" t="s">
        <v>8</v>
      </c>
      <c r="W38" s="1574">
        <f t="shared" si="12"/>
        <v>100</v>
      </c>
      <c r="X38" s="1575"/>
      <c r="Y38" s="3367"/>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7" t="s">
        <v>602</v>
      </c>
      <c r="Q39" s="1577" t="str">
        <f t="shared" si="14"/>
        <v>工程地质条件</v>
      </c>
      <c r="R39" s="1578" t="s">
        <v>8</v>
      </c>
      <c r="S39" s="1579">
        <f t="shared" si="10"/>
        <v>100</v>
      </c>
      <c r="T39" s="1578" t="s">
        <v>8</v>
      </c>
      <c r="U39" s="1579">
        <f t="shared" si="11"/>
        <v>100</v>
      </c>
      <c r="V39" s="1578" t="s">
        <v>8</v>
      </c>
      <c r="W39" s="1579">
        <f t="shared" si="12"/>
        <v>100</v>
      </c>
      <c r="X39" s="1572"/>
      <c r="Y39" s="3367"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7"/>
      <c r="Q40" s="1577">
        <f t="shared" si="14"/>
        <v>111</v>
      </c>
      <c r="R40" s="1578" t="s">
        <v>8</v>
      </c>
      <c r="S40" s="1579">
        <f t="shared" si="10"/>
        <v>100</v>
      </c>
      <c r="T40" s="1578" t="s">
        <v>8</v>
      </c>
      <c r="U40" s="1579">
        <f t="shared" si="11"/>
        <v>100</v>
      </c>
      <c r="V40" s="1578" t="s">
        <v>8</v>
      </c>
      <c r="W40" s="1579">
        <f t="shared" si="12"/>
        <v>100</v>
      </c>
      <c r="X40" s="1572"/>
      <c r="Y40" s="3367"/>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7"/>
      <c r="Q41" s="1577">
        <f t="shared" si="14"/>
        <v>111</v>
      </c>
      <c r="R41" s="1578" t="s">
        <v>8</v>
      </c>
      <c r="S41" s="1579">
        <f t="shared" si="10"/>
        <v>100</v>
      </c>
      <c r="T41" s="1578" t="s">
        <v>8</v>
      </c>
      <c r="U41" s="1579">
        <f t="shared" si="11"/>
        <v>100</v>
      </c>
      <c r="V41" s="1578" t="s">
        <v>8</v>
      </c>
      <c r="W41" s="1579">
        <f t="shared" si="12"/>
        <v>100</v>
      </c>
      <c r="X41" s="1572"/>
      <c r="Y41" s="3367"/>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7"/>
      <c r="Q42" s="1577">
        <f t="shared" si="14"/>
        <v>111</v>
      </c>
      <c r="R42" s="1582" t="s">
        <v>8</v>
      </c>
      <c r="S42" s="1583">
        <f t="shared" si="10"/>
        <v>100</v>
      </c>
      <c r="T42" s="1582" t="s">
        <v>8</v>
      </c>
      <c r="U42" s="1583">
        <f t="shared" si="11"/>
        <v>100</v>
      </c>
      <c r="V42" s="1582" t="s">
        <v>8</v>
      </c>
      <c r="W42" s="1583">
        <f t="shared" si="12"/>
        <v>100</v>
      </c>
      <c r="X42" s="1584"/>
      <c r="Y42" s="3367"/>
      <c r="Z42" s="1585">
        <f t="shared" si="13"/>
        <v>111</v>
      </c>
      <c r="AA42" s="1581">
        <f t="shared" si="3"/>
        <v>1</v>
      </c>
      <c r="AB42" s="1581">
        <f t="shared" si="4"/>
        <v>1</v>
      </c>
      <c r="AC42" s="1581">
        <f t="shared" si="5"/>
        <v>1</v>
      </c>
    </row>
    <row r="43" spans="1:29" ht="15">
      <c r="A43" s="610" t="s">
        <v>557</v>
      </c>
      <c r="B43" s="611" t="s">
        <v>2949</v>
      </c>
      <c r="C43" s="612" t="s">
        <v>1</v>
      </c>
      <c r="D43" s="613"/>
      <c r="E43" s="614"/>
      <c r="F43" s="615"/>
      <c r="G43" s="616"/>
      <c r="H43" s="617"/>
      <c r="I43" s="614"/>
      <c r="J43" s="617"/>
      <c r="K43" s="1343"/>
      <c r="L43" s="2154"/>
      <c r="M43" s="2144"/>
      <c r="N43" s="2144"/>
      <c r="O43" s="2155"/>
      <c r="P43" s="3329" t="str">
        <f>A43</f>
        <v>成交单价</v>
      </c>
      <c r="Q43" s="3329"/>
      <c r="R43" s="3330">
        <f>E43</f>
        <v>0</v>
      </c>
      <c r="S43" s="3330"/>
      <c r="T43" s="3330">
        <f>G43</f>
        <v>0</v>
      </c>
      <c r="U43" s="3330"/>
      <c r="V43" s="3330">
        <f>I43</f>
        <v>0</v>
      </c>
      <c r="W43" s="3330"/>
      <c r="X43" s="1564"/>
      <c r="Y43" s="1586"/>
      <c r="Z43" s="1564"/>
      <c r="AA43" s="1564"/>
      <c r="AB43" s="1564"/>
      <c r="AC43" s="1564"/>
    </row>
    <row r="44" spans="1:29" ht="15.75" thickBot="1">
      <c r="A44" s="618" t="s">
        <v>2710</v>
      </c>
      <c r="B44" s="619"/>
      <c r="C44" s="620" t="e">
        <f>R45</f>
        <v>#DIV/0!</v>
      </c>
      <c r="D44" s="621"/>
      <c r="E44" s="620" t="e">
        <f>R44</f>
        <v>#DIV/0!</v>
      </c>
      <c r="F44" s="622"/>
      <c r="G44" s="623" t="e">
        <f>T44</f>
        <v>#DIV/0!</v>
      </c>
      <c r="H44" s="621"/>
      <c r="I44" s="620" t="e">
        <f>V44</f>
        <v>#DIV/0!</v>
      </c>
      <c r="J44" s="621"/>
      <c r="K44" s="1344"/>
      <c r="L44" s="2154"/>
      <c r="M44" s="2144"/>
      <c r="N44" s="2144"/>
      <c r="O44" s="2155"/>
      <c r="P44" s="3329" t="str">
        <f>A44</f>
        <v>比较价格（元/平方米）</v>
      </c>
      <c r="Q44" s="3329"/>
      <c r="R44" s="3331" t="e">
        <f>ROUND(PRODUCT(R43,AA9:AA42),0)</f>
        <v>#DIV/0!</v>
      </c>
      <c r="S44" s="3331"/>
      <c r="T44" s="3331" t="e">
        <f>ROUND(PRODUCT(T43,AB9:AB42),0)</f>
        <v>#DIV/0!</v>
      </c>
      <c r="U44" s="3331"/>
      <c r="V44" s="3331" t="e">
        <f>ROUND(PRODUCT(V43,AC9:AC42),0)</f>
        <v>#DIV/0!</v>
      </c>
      <c r="W44" s="3331"/>
      <c r="X44" s="1564"/>
      <c r="Y44" s="1564"/>
      <c r="Z44" s="1564"/>
      <c r="AA44" s="1564"/>
      <c r="AB44" s="1564"/>
      <c r="AC44" s="1564"/>
    </row>
    <row r="45" spans="1:29" ht="15.75" thickBot="1">
      <c r="A45" s="624" t="s">
        <v>2950</v>
      </c>
      <c r="B45" s="625"/>
      <c r="C45" s="626" t="e">
        <f>R45</f>
        <v>#DIV/0!</v>
      </c>
      <c r="D45" s="626"/>
      <c r="E45" s="626"/>
      <c r="F45" s="626"/>
      <c r="G45" s="626"/>
      <c r="H45" s="626"/>
      <c r="I45" s="626"/>
      <c r="J45" s="626"/>
      <c r="K45" s="1345"/>
      <c r="L45" s="2154"/>
      <c r="M45" s="2144"/>
      <c r="N45" s="2144"/>
      <c r="O45" s="2155"/>
      <c r="P45" s="3326" t="str">
        <f>A45</f>
        <v>估价对象XX用房的比较价格（楼面单价，元/平方米）</v>
      </c>
      <c r="Q45" s="3327"/>
      <c r="R45" s="3328" t="e">
        <f>ROUND(AVERAGE(R44:V44),0)</f>
        <v>#DIV/0!</v>
      </c>
      <c r="S45" s="3328"/>
      <c r="T45" s="3328"/>
      <c r="U45" s="3328"/>
      <c r="V45" s="3328"/>
      <c r="W45" s="3328"/>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2303</v>
      </c>
      <c r="E52" s="634" t="s">
        <v>563</v>
      </c>
      <c r="F52" s="1957" t="s">
        <v>564</v>
      </c>
      <c r="G52" s="3374" t="s">
        <v>2294</v>
      </c>
      <c r="H52" s="3375"/>
      <c r="I52" s="1958" t="s">
        <v>1955</v>
      </c>
      <c r="J52" s="1560" t="str">
        <f>项目基本情况!F41</f>
        <v>江苏省常州市</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231968.3</v>
      </c>
      <c r="F53" s="1956" t="e">
        <f t="shared" ref="F53:F62" si="15">ROUND(B53*E53/10000,0)</f>
        <v>#DIV/0!</v>
      </c>
      <c r="G53" s="3376"/>
      <c r="H53" s="3377"/>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78"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78"/>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78"/>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78"/>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2339</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100574</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2017-7-1</v>
      </c>
      <c r="D65" s="2838">
        <f>EDATE(C65,-3)</f>
        <v>42826</v>
      </c>
      <c r="E65" s="2838">
        <f t="shared" ref="E65:N65" si="18">EDATE(D65,-3)</f>
        <v>42736</v>
      </c>
      <c r="F65" s="2838">
        <f t="shared" si="18"/>
        <v>42644</v>
      </c>
      <c r="G65" s="2838">
        <f t="shared" si="18"/>
        <v>42552</v>
      </c>
      <c r="H65" s="2838">
        <f t="shared" si="18"/>
        <v>42461</v>
      </c>
      <c r="I65" s="2838">
        <f t="shared" si="18"/>
        <v>42370</v>
      </c>
      <c r="J65" s="2838">
        <f t="shared" si="18"/>
        <v>42278</v>
      </c>
      <c r="K65" s="2838">
        <f t="shared" si="18"/>
        <v>42186</v>
      </c>
      <c r="L65" s="2838">
        <f t="shared" si="18"/>
        <v>42095</v>
      </c>
      <c r="M65" s="2838">
        <f t="shared" si="18"/>
        <v>42005</v>
      </c>
      <c r="N65" s="2838">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2547</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2666</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2562</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2564</v>
      </c>
      <c r="C95" s="2633" t="s">
        <v>2565</v>
      </c>
      <c r="D95" s="2633" t="s">
        <v>2566</v>
      </c>
      <c r="E95" s="2633" t="s">
        <v>2567</v>
      </c>
      <c r="F95" s="2633" t="s">
        <v>2568</v>
      </c>
      <c r="G95" s="2633" t="s">
        <v>2569</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2437</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2438</v>
      </c>
      <c r="D1" s="1526">
        <f>SUM(D29:D30,D33:D39)</f>
        <v>0</v>
      </c>
      <c r="E1" s="1410" t="s">
        <v>2439</v>
      </c>
      <c r="F1" s="2487"/>
      <c r="G1" s="1405"/>
      <c r="H1" s="1405"/>
      <c r="I1" s="1405"/>
      <c r="J1" s="1405"/>
      <c r="K1" s="1405"/>
      <c r="L1" s="1888" t="s">
        <v>2248</v>
      </c>
      <c r="M1" s="1889">
        <f>SUMPRODUCT((区片价!B5:B9=I2)*(区片价!C3:F3=E2)*(区片价!C5:F9))</f>
        <v>0</v>
      </c>
      <c r="N1" s="1890">
        <f>SUMPRODUCT((因素修正幅度!B5:B9=I2)*(因素修正幅度!C3:F3=E2)*(因素修正幅度!C5:F9))</f>
        <v>0</v>
      </c>
      <c r="O1" s="2199"/>
      <c r="P1" s="2199"/>
      <c r="Q1" s="2199"/>
      <c r="R1" s="2975" t="s">
        <v>2779</v>
      </c>
      <c r="S1" s="2975" t="s">
        <v>2780</v>
      </c>
      <c r="T1" s="2975" t="s">
        <v>2801</v>
      </c>
      <c r="U1" s="2975" t="s">
        <v>2802</v>
      </c>
      <c r="V1" s="2975" t="s">
        <v>2803</v>
      </c>
      <c r="W1" s="2199"/>
      <c r="X1" s="2199"/>
      <c r="Y1" s="2199"/>
      <c r="Z1" s="2199"/>
      <c r="AA1" s="2199"/>
      <c r="AB1" s="2199"/>
      <c r="AC1" s="2200"/>
    </row>
    <row r="2" spans="1:39" ht="15.75">
      <c r="A2" s="1410" t="s">
        <v>923</v>
      </c>
      <c r="B2" s="1041" t="e">
        <f>C26</f>
        <v>#DIV/0!</v>
      </c>
      <c r="C2" s="1411" t="s">
        <v>924</v>
      </c>
      <c r="D2" s="1412" t="s">
        <v>925</v>
      </c>
      <c r="E2" s="1413"/>
      <c r="F2" s="1412" t="s">
        <v>927</v>
      </c>
      <c r="G2" s="1657">
        <f>IF(E2="商业",项目基本情况!B43,IF(E2="办公",项目基本情况!C43,IF(E2="住宅",项目基本情况!D43,项目基本情况!E43)))</f>
        <v>0</v>
      </c>
      <c r="H2" s="1412" t="s">
        <v>929</v>
      </c>
      <c r="I2" s="1658">
        <f>IF(E2="商业",项目基本情况!B44,IF(E2="办公",项目基本情况!C44,IF(E2="住宅",项目基本情况!D44,项目基本情况!E44)))</f>
        <v>0</v>
      </c>
      <c r="J2" s="1414"/>
      <c r="K2" s="1405"/>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5" t="s">
        <v>1691</v>
      </c>
      <c r="B3" s="1041" t="e">
        <f>ROUND(B2*10000/D1,0)</f>
        <v>#DIV/0!</v>
      </c>
      <c r="C3" s="1411" t="s">
        <v>930</v>
      </c>
      <c r="D3" s="1412" t="s">
        <v>931</v>
      </c>
      <c r="E3" s="1416"/>
      <c r="F3" s="1417" t="s">
        <v>2951</v>
      </c>
      <c r="G3" s="1042">
        <f>IF(F3="宗地容积率",'数据-汇总表'!I4,IF(F3="估价对象容积率",'数据-汇总表'!I6,'数据-汇总表'!I7))</f>
        <v>2.31</v>
      </c>
      <c r="H3" s="1418" t="s">
        <v>932</v>
      </c>
      <c r="I3" s="1043">
        <v>8</v>
      </c>
      <c r="J3" s="1414" t="s">
        <v>933</v>
      </c>
      <c r="K3" s="1405"/>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5"/>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19" t="s">
        <v>934</v>
      </c>
      <c r="C5" s="1044" t="e">
        <f>ROUND(IF(E2="商业",IF(F16="增加",C6*C7+C16,C6*C7-C16),IF(E2="住宅",IF(F16="增加",C6*C12+C16,C6*C12-C16),IF(F16="增加",C6+C16,C6-C16))),0)</f>
        <v>#DIV/0!</v>
      </c>
      <c r="D5" s="1420"/>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88"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2782</v>
      </c>
      <c r="X7" s="2966">
        <f>G2</f>
        <v>0</v>
      </c>
      <c r="Y7" s="2966" t="s">
        <v>2783</v>
      </c>
      <c r="Z7" s="2967">
        <f>G3</f>
        <v>2.31</v>
      </c>
      <c r="AA7" s="2202"/>
      <c r="AB7" s="2202"/>
      <c r="AC7" s="2203"/>
      <c r="AD7" s="2968"/>
      <c r="AE7" s="2968"/>
      <c r="AF7" s="2968"/>
      <c r="AG7" s="2968"/>
      <c r="AH7" s="2968"/>
      <c r="AI7" s="2968"/>
      <c r="AJ7" s="2969"/>
    </row>
    <row r="8" spans="1:39" ht="15">
      <c r="A8" s="3389"/>
      <c r="B8" s="1418" t="s">
        <v>937</v>
      </c>
      <c r="C8" s="1534"/>
      <c r="D8" s="1048" t="s">
        <v>938</v>
      </c>
      <c r="E8" s="1049" t="e">
        <f>ROUND(C11/E7,4)</f>
        <v>#DIV/0!</v>
      </c>
      <c r="F8" s="1437" t="s">
        <v>939</v>
      </c>
      <c r="G8" s="1438"/>
      <c r="H8" s="1438"/>
      <c r="I8" s="1438"/>
      <c r="J8" s="1439"/>
      <c r="K8" s="1405"/>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80" t="s">
        <v>2800</v>
      </c>
      <c r="X8" s="3381"/>
      <c r="Y8" s="1855" t="s">
        <v>2784</v>
      </c>
      <c r="Z8" s="1855" t="s">
        <v>2785</v>
      </c>
      <c r="AA8" s="1855" t="s">
        <v>2786</v>
      </c>
      <c r="AB8" s="1855" t="s">
        <v>2787</v>
      </c>
      <c r="AC8" s="1855" t="s">
        <v>2788</v>
      </c>
      <c r="AD8" s="1855" t="s">
        <v>2789</v>
      </c>
      <c r="AE8" s="1855" t="s">
        <v>2790</v>
      </c>
      <c r="AF8" s="1855" t="s">
        <v>2791</v>
      </c>
      <c r="AG8" s="1855" t="s">
        <v>2792</v>
      </c>
      <c r="AH8" s="1855" t="s">
        <v>2793</v>
      </c>
      <c r="AI8" s="1855" t="s">
        <v>2794</v>
      </c>
      <c r="AJ8" s="1855" t="s">
        <v>2795</v>
      </c>
    </row>
    <row r="9" spans="1:39" ht="15">
      <c r="A9" s="3389"/>
      <c r="B9" s="1418" t="s">
        <v>940</v>
      </c>
      <c r="C9" s="1050">
        <f>SUMIF(修正!C59:C119,C8,修正!E59:E119)</f>
        <v>0</v>
      </c>
      <c r="D9" s="1051" t="s">
        <v>941</v>
      </c>
      <c r="E9" s="1051" t="e">
        <f>ROUND(C11/E7,4)</f>
        <v>#DIV/0!</v>
      </c>
      <c r="F9" s="1437" t="s">
        <v>942</v>
      </c>
      <c r="G9" s="1438"/>
      <c r="H9" s="1438"/>
      <c r="I9" s="1438"/>
      <c r="J9" s="1439"/>
      <c r="K9" s="1405"/>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79" t="s">
        <v>2796</v>
      </c>
      <c r="X9" s="2970" t="s">
        <v>2797</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89"/>
      <c r="B10" s="1418" t="s">
        <v>943</v>
      </c>
      <c r="C10" s="1051">
        <f>SUMIF(修正!C59:C119,C8,修正!F59:F119)</f>
        <v>0</v>
      </c>
      <c r="D10" s="1051" t="s">
        <v>944</v>
      </c>
      <c r="E10" s="1051" t="e">
        <f>ROUND(C11/E7,4)</f>
        <v>#DIV/0!</v>
      </c>
      <c r="F10" s="1437" t="s">
        <v>945</v>
      </c>
      <c r="G10" s="1438"/>
      <c r="H10" s="1438"/>
      <c r="I10" s="1438"/>
      <c r="J10" s="1439"/>
      <c r="K10" s="1405"/>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79"/>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89"/>
      <c r="B11" s="1440" t="s">
        <v>946</v>
      </c>
      <c r="C11" s="1052">
        <f>C10/4</f>
        <v>0</v>
      </c>
      <c r="D11" s="1052" t="s">
        <v>947</v>
      </c>
      <c r="E11" s="1052" t="e">
        <f>ROUND(C11/E7,4)</f>
        <v>#DIV/0!</v>
      </c>
      <c r="F11" s="1441" t="s">
        <v>948</v>
      </c>
      <c r="G11" s="1442"/>
      <c r="H11" s="1442"/>
      <c r="I11" s="1442"/>
      <c r="J11" s="1443"/>
      <c r="K11" s="1405"/>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79" t="s">
        <v>2798</v>
      </c>
      <c r="X11" s="1051" t="s">
        <v>2783</v>
      </c>
      <c r="Y11" s="1658">
        <f>$G$3</f>
        <v>2.31</v>
      </c>
      <c r="Z11" s="1658">
        <f t="shared" ref="Z11:AJ11" si="3">$G$3</f>
        <v>2.31</v>
      </c>
      <c r="AA11" s="1658">
        <f t="shared" si="3"/>
        <v>2.31</v>
      </c>
      <c r="AB11" s="1658">
        <f t="shared" si="3"/>
        <v>2.31</v>
      </c>
      <c r="AC11" s="1658">
        <f t="shared" si="3"/>
        <v>2.31</v>
      </c>
      <c r="AD11" s="1658">
        <f t="shared" si="3"/>
        <v>2.31</v>
      </c>
      <c r="AE11" s="1658">
        <f t="shared" si="3"/>
        <v>2.31</v>
      </c>
      <c r="AF11" s="1658">
        <f t="shared" si="3"/>
        <v>2.31</v>
      </c>
      <c r="AG11" s="1658">
        <f t="shared" si="3"/>
        <v>2.31</v>
      </c>
      <c r="AH11" s="1658">
        <f t="shared" si="3"/>
        <v>2.31</v>
      </c>
      <c r="AI11" s="1658">
        <f t="shared" si="3"/>
        <v>2.31</v>
      </c>
      <c r="AJ11" s="1658">
        <f t="shared" si="3"/>
        <v>2.31</v>
      </c>
    </row>
    <row r="12" spans="1:39" ht="25.5" thickBot="1">
      <c r="A12" s="3388" t="s">
        <v>1876</v>
      </c>
      <c r="B12" s="1444" t="s">
        <v>949</v>
      </c>
      <c r="C12" s="1046">
        <f>ROUND(C15*D15*E15*F15*G15*H15*I15*J15,4)</f>
        <v>1</v>
      </c>
      <c r="D12" s="1445" t="s">
        <v>950</v>
      </c>
      <c r="E12" s="1446"/>
      <c r="F12" s="1446"/>
      <c r="G12" s="1447"/>
      <c r="H12" s="1447"/>
      <c r="I12" s="1447"/>
      <c r="J12" s="1448"/>
      <c r="K12" s="1405"/>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79"/>
      <c r="X12" s="2973" t="s">
        <v>2799</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90"/>
      <c r="B13" s="1449" t="s">
        <v>1700</v>
      </c>
      <c r="C13" s="1450" t="s">
        <v>1701</v>
      </c>
      <c r="D13" s="1092" t="s">
        <v>1702</v>
      </c>
      <c r="E13" s="1092" t="s">
        <v>1703</v>
      </c>
      <c r="F13" s="1451" t="s">
        <v>951</v>
      </c>
      <c r="G13" s="1452" t="s">
        <v>1646</v>
      </c>
      <c r="H13" s="1453" t="s">
        <v>1646</v>
      </c>
      <c r="I13" s="1454" t="s">
        <v>1646</v>
      </c>
      <c r="J13" s="1455" t="s">
        <v>1646</v>
      </c>
      <c r="K13" s="1405"/>
      <c r="L13" s="2199"/>
      <c r="M13" s="2199"/>
      <c r="N13" s="2199"/>
      <c r="O13" s="2199"/>
      <c r="P13" s="2199"/>
      <c r="Q13" s="2199"/>
      <c r="R13" s="2976">
        <v>12</v>
      </c>
      <c r="S13" s="2965"/>
      <c r="T13" s="2976" t="e">
        <f t="shared" si="0"/>
        <v>#DIV/0!</v>
      </c>
      <c r="U13" s="2965"/>
      <c r="V13" s="2976" t="e">
        <f t="shared" si="1"/>
        <v>#DIV/0!</v>
      </c>
      <c r="W13" s="3379"/>
      <c r="X13" s="2973"/>
      <c r="Y13" s="2972">
        <f>(-0.163*(Y12^2)-0.59*Y12+7617)*(10^(-4))/Y11</f>
        <v>0.32974025974025978</v>
      </c>
      <c r="Z13" s="2972">
        <f t="shared" ref="Z13:AJ13" si="5">(-0.163*(Z12^2)-0.59*Z12+7617)*(10^(-4))/Z11</f>
        <v>0.32974025974025978</v>
      </c>
      <c r="AA13" s="2972">
        <f t="shared" si="5"/>
        <v>0.32974025974025978</v>
      </c>
      <c r="AB13" s="2972">
        <f t="shared" si="5"/>
        <v>0.32974025974025978</v>
      </c>
      <c r="AC13" s="2972">
        <f t="shared" si="5"/>
        <v>0.32974025974025978</v>
      </c>
      <c r="AD13" s="2972">
        <f t="shared" si="5"/>
        <v>0.32974025974025978</v>
      </c>
      <c r="AE13" s="2972">
        <f t="shared" si="5"/>
        <v>0.32974025974025978</v>
      </c>
      <c r="AF13" s="2972">
        <f t="shared" si="5"/>
        <v>0.32974025974025978</v>
      </c>
      <c r="AG13" s="2972">
        <f t="shared" si="5"/>
        <v>0.32974025974025978</v>
      </c>
      <c r="AH13" s="2972">
        <f t="shared" si="5"/>
        <v>0.32974025974025978</v>
      </c>
      <c r="AI13" s="2972">
        <f t="shared" si="5"/>
        <v>0.32974025974025978</v>
      </c>
      <c r="AJ13" s="2972">
        <f t="shared" si="5"/>
        <v>0.32974025974025978</v>
      </c>
    </row>
    <row r="14" spans="1:39" ht="12.75" customHeight="1" thickBot="1">
      <c r="A14" s="3390"/>
      <c r="B14" s="1456"/>
      <c r="C14" s="1457"/>
      <c r="D14" s="1458"/>
      <c r="E14" s="1458"/>
      <c r="F14" s="1459"/>
      <c r="G14" s="1460" t="s">
        <v>952</v>
      </c>
      <c r="H14" s="1461"/>
      <c r="I14" s="1462"/>
      <c r="J14" s="1463"/>
      <c r="K14" s="1405"/>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91"/>
      <c r="B15" s="1464" t="s">
        <v>1704</v>
      </c>
      <c r="C15" s="1054">
        <f>IF(C14="有",1.1,1)</f>
        <v>1</v>
      </c>
      <c r="D15" s="1054">
        <f>IF(D14="有",1.1,1)</f>
        <v>1</v>
      </c>
      <c r="E15" s="1054">
        <f>IF(E14="有",1.1,1)</f>
        <v>1</v>
      </c>
      <c r="F15" s="1054">
        <f>IF(F14="500米范围内",1.2,IF(F14="500-1000米",1.1,1))</f>
        <v>1</v>
      </c>
      <c r="G15" s="1055">
        <v>1</v>
      </c>
      <c r="H15" s="1055">
        <v>1</v>
      </c>
      <c r="I15" s="1055">
        <v>1</v>
      </c>
      <c r="J15" s="1056">
        <v>1</v>
      </c>
      <c r="K15" s="1405"/>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88" t="s">
        <v>1843</v>
      </c>
      <c r="B16" s="1432" t="s">
        <v>953</v>
      </c>
      <c r="C16" s="1057" t="e">
        <f>ROUND(SUM(G17:J17)/C17,0)</f>
        <v>#DIV/0!</v>
      </c>
      <c r="D16" s="1465" t="s">
        <v>954</v>
      </c>
      <c r="E16" s="1466"/>
      <c r="F16" s="1467"/>
      <c r="G16" s="1468"/>
      <c r="H16" s="1468"/>
      <c r="I16" s="1468"/>
      <c r="J16" s="1468"/>
      <c r="K16" s="1405"/>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89"/>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42921</v>
      </c>
      <c r="H19" s="1480" t="s">
        <v>2952</v>
      </c>
      <c r="I19" s="2823" t="str">
        <f>IF(H19="季度增幅（自定义）",SUMIF(N21:N24,E2,O21:O24),"")</f>
        <v/>
      </c>
      <c r="J19" s="1476"/>
      <c r="K19" s="1486"/>
      <c r="L19" s="3079" t="s">
        <v>2858</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2859</v>
      </c>
      <c r="M20" s="3082">
        <f>ROUND(SUMPRODUCT((地价!A4:A19=YEAR(G19)&amp;"-"&amp;ROUNDUP(MONTH(G19)/3,0))*(地价!B2:F2=E2)*(地价!B4:F19)),0)</f>
        <v>0</v>
      </c>
      <c r="N20" s="2828" t="s">
        <v>2662</v>
      </c>
      <c r="O20" s="2826" t="s">
        <v>2661</v>
      </c>
      <c r="P20" s="2827" t="s">
        <v>2667</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2778</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1875</v>
      </c>
      <c r="B22" s="1488" t="s">
        <v>980</v>
      </c>
      <c r="C22" s="1063" t="s">
        <v>1706</v>
      </c>
      <c r="D22" s="1063">
        <f>IF(E22=G22,F22,IF(G3&lt;=10,ROUND(F22+(H22-F22)*(G3-E22)/(G22-E22),4),"——"))</f>
        <v>0</v>
      </c>
      <c r="E22" s="1042">
        <f>ROUNDDOWN(G3,1)</f>
        <v>2.2999999999999998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926</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1877</v>
      </c>
      <c r="B24" s="1419"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5"/>
      <c r="M25" s="2205"/>
      <c r="N25" s="2836" t="s">
        <v>2665</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998</v>
      </c>
      <c r="C30" s="1054" t="e">
        <f>ROUND(IF(E2="工业",C29*M39,C29*M38),0)</f>
        <v>#DIV/0!</v>
      </c>
      <c r="D30" s="1515"/>
      <c r="E30" s="1855" t="e">
        <f>ROUND(C30*D30/10000,0)</f>
        <v>#DIV/0!</v>
      </c>
      <c r="F30" s="1516" t="s">
        <v>999</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1003</v>
      </c>
      <c r="C33" s="1066" t="e">
        <f>ROUND(C5*C19*C20*C24*F33,0)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1004</v>
      </c>
      <c r="C34" s="1066" t="e">
        <f>ROUND(C5*C19*C20*C24*F34,0)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1005</v>
      </c>
      <c r="C35" s="1066" t="e">
        <f>ROUND(C5*C19*C20*C24*F35,0)</f>
        <v>#DIV/0!</v>
      </c>
      <c r="D35" s="1542"/>
      <c r="E35" s="1051" t="e">
        <f t="shared" si="7"/>
        <v>#DIV/0!</v>
      </c>
      <c r="F35" s="1051">
        <f>SUMIF(修正!A45:A56,G2,修正!D45:D56)</f>
        <v>0</v>
      </c>
      <c r="G35" s="1051" t="e">
        <f t="shared" si="6"/>
        <v>#DIV/0!</v>
      </c>
      <c r="H35" s="1051">
        <f t="shared" si="8"/>
        <v>0</v>
      </c>
      <c r="I35" s="1051"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1006</v>
      </c>
      <c r="C36" s="1066" t="e">
        <f>ROUND(C5*C19*C20*C24*F36,0)</f>
        <v>#DIV/0!</v>
      </c>
      <c r="D36" s="1542"/>
      <c r="E36" s="1051" t="e">
        <f t="shared" si="7"/>
        <v>#DIV/0!</v>
      </c>
      <c r="F36" s="1051">
        <f>SUMIF(修正!A45:A56,G2,修正!E45:E56)</f>
        <v>0</v>
      </c>
      <c r="G36" s="1051" t="e">
        <f t="shared" si="6"/>
        <v>#DIV/0!</v>
      </c>
      <c r="H36" s="1051">
        <f t="shared" si="8"/>
        <v>0</v>
      </c>
      <c r="I36" s="1051"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5"/>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5"/>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5"/>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1012</v>
      </c>
      <c r="B46" s="2443" t="s">
        <v>1013</v>
      </c>
      <c r="C46" s="2465" t="s">
        <v>1014</v>
      </c>
      <c r="D46" s="2466" t="s">
        <v>1015</v>
      </c>
      <c r="E46" s="2467" t="s">
        <v>1017</v>
      </c>
      <c r="F46" s="2468" t="s">
        <v>2260</v>
      </c>
      <c r="G46" s="2466" t="s">
        <v>1018</v>
      </c>
      <c r="H46" s="2449" t="s">
        <v>2430</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1027</v>
      </c>
      <c r="B50" s="3137" t="s">
        <v>2954</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1029</v>
      </c>
      <c r="B52" s="3136" t="s">
        <v>2953</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1012</v>
      </c>
      <c r="B57" s="2443"/>
      <c r="C57" s="2465" t="s">
        <v>1014</v>
      </c>
      <c r="D57" s="2466" t="s">
        <v>1015</v>
      </c>
      <c r="E57" s="2467" t="s">
        <v>1017</v>
      </c>
      <c r="F57" s="2468" t="s">
        <v>2261</v>
      </c>
      <c r="G57" s="2466" t="s">
        <v>1018</v>
      </c>
      <c r="H57" s="2449" t="s">
        <v>2430</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1027</v>
      </c>
      <c r="B61" s="3137" t="s">
        <v>2955</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1029</v>
      </c>
      <c r="B63" s="3136" t="s">
        <v>2953</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1012</v>
      </c>
      <c r="B68" s="2443"/>
      <c r="C68" s="2465" t="s">
        <v>1014</v>
      </c>
      <c r="D68" s="2466" t="s">
        <v>1015</v>
      </c>
      <c r="E68" s="2467" t="s">
        <v>1017</v>
      </c>
      <c r="F68" s="2468" t="s">
        <v>2262</v>
      </c>
      <c r="G68" s="2466" t="s">
        <v>1018</v>
      </c>
      <c r="H68" s="2449" t="s">
        <v>2430</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1029</v>
      </c>
      <c r="B75" s="3136" t="s">
        <v>2953</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1040</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1012</v>
      </c>
      <c r="B79" s="2443"/>
      <c r="C79" s="2465" t="s">
        <v>1014</v>
      </c>
      <c r="D79" s="2466" t="s">
        <v>1015</v>
      </c>
      <c r="E79" s="2467" t="s">
        <v>1017</v>
      </c>
      <c r="F79" s="2468" t="s">
        <v>2263</v>
      </c>
      <c r="G79" s="2466" t="s">
        <v>1018</v>
      </c>
      <c r="H79" s="2449" t="s">
        <v>2430</v>
      </c>
      <c r="I79" s="2466" t="s">
        <v>1016</v>
      </c>
      <c r="J79" s="2469" t="s">
        <v>1019</v>
      </c>
      <c r="K79" s="2469" t="s">
        <v>1020</v>
      </c>
      <c r="L79" s="2469" t="s">
        <v>1021</v>
      </c>
      <c r="M79" s="2469" t="s">
        <v>1022</v>
      </c>
      <c r="N79" s="2469" t="s">
        <v>1023</v>
      </c>
      <c r="AC79" s="1409"/>
      <c r="AD79" s="1408"/>
      <c r="AJ79" s="1407"/>
      <c r="AN79" s="1408"/>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1029</v>
      </c>
      <c r="B86" s="3136" t="s">
        <v>2953</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392" t="s">
        <v>1637</v>
      </c>
      <c r="B90" s="3392"/>
      <c r="C90" s="3392"/>
      <c r="D90" s="3392"/>
      <c r="E90" s="3392"/>
      <c r="F90" s="3392"/>
      <c r="G90" s="3392"/>
      <c r="H90" s="3392"/>
      <c r="I90" s="3392"/>
      <c r="J90" s="3392"/>
      <c r="K90" s="2485"/>
      <c r="L90" s="2485"/>
      <c r="M90" s="2485"/>
      <c r="N90" s="2485"/>
    </row>
    <row r="91" spans="1:40">
      <c r="A91" s="3393" t="s">
        <v>1447</v>
      </c>
      <c r="B91" s="3393" t="s">
        <v>1638</v>
      </c>
      <c r="C91" s="1143" t="s">
        <v>1639</v>
      </c>
      <c r="D91" s="1144"/>
      <c r="E91" s="1144"/>
      <c r="F91" s="1144"/>
      <c r="G91" s="1144"/>
      <c r="H91" s="1144"/>
      <c r="I91" s="1144"/>
      <c r="J91" s="1145"/>
      <c r="K91" s="1137"/>
      <c r="L91" s="1137"/>
      <c r="M91" s="1137"/>
      <c r="N91" s="1137"/>
    </row>
    <row r="92" spans="1:40">
      <c r="A92" s="3393"/>
      <c r="B92" s="3393"/>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82" t="s">
        <v>2781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3"/>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4"/>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2" t="s">
        <v>1641</v>
      </c>
      <c r="B101" s="1150" t="s">
        <v>909</v>
      </c>
      <c r="C101" s="1151">
        <f>$G$3</f>
        <v>2.31</v>
      </c>
      <c r="D101" s="1151">
        <f t="shared" ref="D101:N101" si="31">$G$3</f>
        <v>2.31</v>
      </c>
      <c r="E101" s="1151">
        <f t="shared" si="31"/>
        <v>2.31</v>
      </c>
      <c r="F101" s="1151">
        <f t="shared" si="31"/>
        <v>2.31</v>
      </c>
      <c r="G101" s="1151">
        <f t="shared" si="31"/>
        <v>2.31</v>
      </c>
      <c r="H101" s="1151">
        <f t="shared" si="31"/>
        <v>2.31</v>
      </c>
      <c r="I101" s="1151">
        <f t="shared" si="31"/>
        <v>2.31</v>
      </c>
      <c r="J101" s="1151">
        <f t="shared" si="31"/>
        <v>2.31</v>
      </c>
      <c r="K101" s="1151">
        <f t="shared" si="31"/>
        <v>2.31</v>
      </c>
      <c r="L101" s="1151">
        <f t="shared" si="31"/>
        <v>2.31</v>
      </c>
      <c r="M101" s="1151">
        <f t="shared" si="31"/>
        <v>2.31</v>
      </c>
      <c r="N101" s="1151">
        <f t="shared" si="31"/>
        <v>2.31</v>
      </c>
    </row>
    <row r="102" spans="1:14">
      <c r="A102" s="3383"/>
      <c r="B102" s="1146">
        <v>1</v>
      </c>
      <c r="C102" s="1147">
        <f>1.9362/C101</f>
        <v>0.83818181818181814</v>
      </c>
      <c r="D102" s="1147">
        <f>1.9362/D101</f>
        <v>0.83818181818181814</v>
      </c>
      <c r="E102" s="1147">
        <f>1.8629/E101</f>
        <v>0.80645021645021642</v>
      </c>
      <c r="F102" s="1147">
        <f>1.8629/F101</f>
        <v>0.80645021645021642</v>
      </c>
      <c r="G102" s="1147">
        <f>1.8629/G101</f>
        <v>0.80645021645021642</v>
      </c>
      <c r="H102" s="1147">
        <f>1.8629/H101</f>
        <v>0.80645021645021642</v>
      </c>
      <c r="I102" s="1147">
        <f>1.8629/I101</f>
        <v>0.80645021645021642</v>
      </c>
      <c r="J102" s="1147">
        <f>1.942/J101</f>
        <v>0.8406926406926406</v>
      </c>
      <c r="K102" s="1147">
        <f>1.942/K101</f>
        <v>0.8406926406926406</v>
      </c>
      <c r="L102" s="1147">
        <f>1.942/L101</f>
        <v>0.8406926406926406</v>
      </c>
      <c r="M102" s="1147">
        <f>1.942/M101</f>
        <v>0.8406926406926406</v>
      </c>
      <c r="N102" s="1147">
        <f>1.942/N101</f>
        <v>0.8406926406926406</v>
      </c>
    </row>
    <row r="103" spans="1:14">
      <c r="A103" s="3383"/>
      <c r="B103" s="1146">
        <v>2</v>
      </c>
      <c r="C103" s="1147">
        <f>1.4198/C101</f>
        <v>0.61463203463203464</v>
      </c>
      <c r="D103" s="1147">
        <f>1.4198/D101</f>
        <v>0.61463203463203464</v>
      </c>
      <c r="E103" s="1147">
        <f>1.3372/E101</f>
        <v>0.57887445887445887</v>
      </c>
      <c r="F103" s="1147">
        <f>1.3372/F101</f>
        <v>0.57887445887445887</v>
      </c>
      <c r="G103" s="1147">
        <f>1.3372/G101</f>
        <v>0.57887445887445887</v>
      </c>
      <c r="H103" s="1147">
        <f>1.3372/H101</f>
        <v>0.57887445887445887</v>
      </c>
      <c r="I103" s="1147">
        <f>1.3372/I101</f>
        <v>0.57887445887445887</v>
      </c>
      <c r="J103" s="1147">
        <f>1.2799/J101</f>
        <v>0.55406926406926404</v>
      </c>
      <c r="K103" s="1147">
        <f>1.2799/K101</f>
        <v>0.55406926406926404</v>
      </c>
      <c r="L103" s="1147">
        <f>1.2799/L101</f>
        <v>0.55406926406926404</v>
      </c>
      <c r="M103" s="1147">
        <f>1.2799/M101</f>
        <v>0.55406926406926404</v>
      </c>
      <c r="N103" s="1147">
        <f>1.2799/N101</f>
        <v>0.55406926406926404</v>
      </c>
    </row>
    <row r="104" spans="1:14">
      <c r="A104" s="3383"/>
      <c r="B104" s="1146">
        <v>3</v>
      </c>
      <c r="C104" s="1147">
        <f>1.1594/C101</f>
        <v>0.50190476190476185</v>
      </c>
      <c r="D104" s="1147">
        <f>1.1594/D101</f>
        <v>0.50190476190476185</v>
      </c>
      <c r="E104" s="1147">
        <f>1.0788/E101</f>
        <v>0.46701298701298699</v>
      </c>
      <c r="F104" s="1147">
        <f>1.0788/F101</f>
        <v>0.46701298701298699</v>
      </c>
      <c r="G104" s="1147">
        <f>1.0788/G101</f>
        <v>0.46701298701298699</v>
      </c>
      <c r="H104" s="1147">
        <f>1.0788/H101</f>
        <v>0.46701298701298699</v>
      </c>
      <c r="I104" s="1147">
        <f>1.0788/I101</f>
        <v>0.46701298701298699</v>
      </c>
      <c r="J104" s="1147">
        <f>1.0072/J101</f>
        <v>0.43601731601731603</v>
      </c>
      <c r="K104" s="1147">
        <f>1.0072/K101</f>
        <v>0.43601731601731603</v>
      </c>
      <c r="L104" s="1147">
        <f>1.0072/L101</f>
        <v>0.43601731601731603</v>
      </c>
      <c r="M104" s="1147">
        <f>1.0072/M101</f>
        <v>0.43601731601731603</v>
      </c>
      <c r="N104" s="1147">
        <f>1.0072/N101</f>
        <v>0.43601731601731603</v>
      </c>
    </row>
    <row r="105" spans="1:14">
      <c r="A105" s="3383"/>
      <c r="B105" s="1146">
        <v>4</v>
      </c>
      <c r="C105" s="1147">
        <f>0.9622/C101</f>
        <v>0.41653679653679654</v>
      </c>
      <c r="D105" s="1147">
        <f>0.9622/D101</f>
        <v>0.41653679653679654</v>
      </c>
      <c r="E105" s="1147">
        <f>0.8656/E101</f>
        <v>0.37471861471861473</v>
      </c>
      <c r="F105" s="1147">
        <f>0.8656/F101</f>
        <v>0.37471861471861473</v>
      </c>
      <c r="G105" s="1147">
        <f>0.8656/G101</f>
        <v>0.37471861471861473</v>
      </c>
      <c r="H105" s="1147">
        <f>0.8656/H101</f>
        <v>0.37471861471861473</v>
      </c>
      <c r="I105" s="1147">
        <f>0.8656/I101</f>
        <v>0.37471861471861473</v>
      </c>
      <c r="J105" s="1147">
        <f>0.7525/J101</f>
        <v>0.32575757575757575</v>
      </c>
      <c r="K105" s="1147">
        <f>0.7525/K101</f>
        <v>0.32575757575757575</v>
      </c>
      <c r="L105" s="1147">
        <f>0.7525/L101</f>
        <v>0.32575757575757575</v>
      </c>
      <c r="M105" s="1147">
        <f>0.7525/M101</f>
        <v>0.32575757575757575</v>
      </c>
      <c r="N105" s="1147">
        <f>0.7525/N101</f>
        <v>0.32575757575757575</v>
      </c>
    </row>
    <row r="106" spans="1:14">
      <c r="A106" s="3383"/>
      <c r="B106" s="1146">
        <v>5</v>
      </c>
      <c r="C106" s="1147">
        <f>0.8417/C101</f>
        <v>0.36437229437229435</v>
      </c>
      <c r="D106" s="1147">
        <f>0.8417/D101</f>
        <v>0.36437229437229435</v>
      </c>
      <c r="E106" s="1147">
        <f>0.7371/E101</f>
        <v>0.31909090909090909</v>
      </c>
      <c r="F106" s="1147">
        <f>0.7371/F101</f>
        <v>0.31909090909090909</v>
      </c>
      <c r="G106" s="1147">
        <f>0.7371/G101</f>
        <v>0.31909090909090909</v>
      </c>
      <c r="H106" s="1147">
        <f>0.7371/H101</f>
        <v>0.31909090909090909</v>
      </c>
      <c r="I106" s="1147">
        <f>0.7371/I101</f>
        <v>0.31909090909090909</v>
      </c>
      <c r="J106" s="1147">
        <f>0.5659/J101</f>
        <v>0.24497835497835496</v>
      </c>
      <c r="K106" s="1147">
        <f>0.5659/K101</f>
        <v>0.24497835497835496</v>
      </c>
      <c r="L106" s="1147">
        <f>0.5659/L101</f>
        <v>0.24497835497835496</v>
      </c>
      <c r="M106" s="1147">
        <f>0.5659/M101</f>
        <v>0.24497835497835496</v>
      </c>
      <c r="N106" s="1147">
        <f>0.5659/N101</f>
        <v>0.24497835497835496</v>
      </c>
    </row>
    <row r="107" spans="1:14">
      <c r="A107" s="3383"/>
      <c r="B107" s="1146">
        <v>6</v>
      </c>
      <c r="C107" s="1147">
        <f>0.7608/C101</f>
        <v>0.32935064935064934</v>
      </c>
      <c r="D107" s="1147">
        <f>0.7608/D101</f>
        <v>0.32935064935064934</v>
      </c>
      <c r="E107" s="1147">
        <f>0.6482/E101</f>
        <v>0.28060606060606058</v>
      </c>
      <c r="F107" s="1147">
        <f>0.6482/F101</f>
        <v>0.28060606060606058</v>
      </c>
      <c r="G107" s="1147">
        <f>0.6482/G101</f>
        <v>0.28060606060606058</v>
      </c>
      <c r="H107" s="1147">
        <f>0.6482/H101</f>
        <v>0.28060606060606058</v>
      </c>
      <c r="I107" s="1147">
        <f>0.6482/I101</f>
        <v>0.28060606060606058</v>
      </c>
      <c r="J107" s="1147">
        <f>0.4525/J101</f>
        <v>0.19588744588744589</v>
      </c>
      <c r="K107" s="1147">
        <f>0.4525/K101</f>
        <v>0.19588744588744589</v>
      </c>
      <c r="L107" s="1147">
        <f>0.4525/L101</f>
        <v>0.19588744588744589</v>
      </c>
      <c r="M107" s="1147">
        <f>0.4525/M101</f>
        <v>0.19588744588744589</v>
      </c>
      <c r="N107" s="1147">
        <f>0.4525/N101</f>
        <v>0.19588744588744589</v>
      </c>
    </row>
    <row r="108" spans="1:14">
      <c r="A108" s="3383"/>
      <c r="B108" s="3385"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4"/>
      <c r="B109" s="3386"/>
      <c r="C109" s="1149">
        <f>(-0.163*(C108^2)-0.59*C108+7617)*(10^(-4))/C101</f>
        <v>0.32908432900432899</v>
      </c>
      <c r="D109" s="1149">
        <f>(-0.163*(D108^2)-0.59*D108+7617)*(10^(-4))/D101</f>
        <v>0.32908432900432899</v>
      </c>
      <c r="E109" s="1149">
        <f>(-0.161*(E108^2)-7.509*E108+6533)*(10^(-4))/E101</f>
        <v>0.27976727272727275</v>
      </c>
      <c r="F109" s="1149">
        <f>(-0.161*(F108^2)-7.509*F108+6533)*(10^(-4))/F101</f>
        <v>0.27976727272727275</v>
      </c>
      <c r="G109" s="1149">
        <f>(-0.161*(G108^2)-7.509*G108+6533)*(10^(-4))/G101</f>
        <v>0.27976727272727275</v>
      </c>
      <c r="H109" s="1149">
        <f>(-0.161*(H108^2)-7.509*H108+6533)*(10^(-4))/H101</f>
        <v>0.27976727272727275</v>
      </c>
      <c r="I109" s="1149">
        <f>(-0.161*(I108^2)-7.509*I108+6533)*(10^(-4))/I101</f>
        <v>0.27976727272727275</v>
      </c>
      <c r="J109" s="1149">
        <f>(-0.214*(J108^2)-21.991*J108+4665)*(10^(-4))/J101</f>
        <v>0.19373922077922079</v>
      </c>
      <c r="K109" s="1149">
        <f>(-0.214*(K108^2)-21.991*K108+4665)*(10^(-4))/K101</f>
        <v>0.19373922077922079</v>
      </c>
      <c r="L109" s="1149">
        <f>(-0.214*(L108^2)-21.991*L108+4665)*(10^(-4))/L101</f>
        <v>0.19373922077922079</v>
      </c>
      <c r="M109" s="1149">
        <f>(-0.214*(M108^2)-21.991*M108+4665)*(10^(-4))/M101</f>
        <v>0.19373922077922079</v>
      </c>
      <c r="N109" s="1149">
        <f>(-0.214*(N108^2)-21.991*N108+4665)*(10^(-4))/N101</f>
        <v>0.19373922077922079</v>
      </c>
    </row>
    <row r="110" spans="1:14">
      <c r="A110" s="3387" t="s">
        <v>1643</v>
      </c>
      <c r="B110" s="3387"/>
      <c r="C110" s="3387"/>
      <c r="D110" s="3387"/>
      <c r="E110" s="3387"/>
      <c r="F110" s="3387"/>
      <c r="G110" s="3387"/>
      <c r="H110" s="3387"/>
      <c r="I110" s="3387"/>
      <c r="J110" s="3387"/>
      <c r="K110" s="2483"/>
      <c r="L110" s="2483"/>
      <c r="M110" s="2483"/>
      <c r="N110" s="2483"/>
    </row>
    <row r="112" spans="1:14" ht="12.75" thickBot="1"/>
    <row r="113" spans="1:13" ht="25.5" thickBot="1">
      <c r="A113" s="1019" t="s">
        <v>899</v>
      </c>
      <c r="B113" s="2486">
        <f>G3</f>
        <v>2.31</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0.91180000000000005</v>
      </c>
      <c r="C115" s="1033">
        <f>B115</f>
        <v>0.91180000000000005</v>
      </c>
      <c r="D115" s="1033">
        <f>ROUND(0.8331-0.0109*B113,4)</f>
        <v>0.80789999999999995</v>
      </c>
      <c r="E115" s="1033">
        <f>D115</f>
        <v>0.80789999999999995</v>
      </c>
      <c r="F115" s="1033">
        <f>E115</f>
        <v>0.80789999999999995</v>
      </c>
      <c r="G115" s="1033">
        <f>F115</f>
        <v>0.80789999999999995</v>
      </c>
      <c r="H115" s="1033">
        <f>G115</f>
        <v>0.80789999999999995</v>
      </c>
      <c r="I115" s="1033">
        <f>ROUND(0.689-0.0155*B113,4)</f>
        <v>0.6532</v>
      </c>
      <c r="J115" s="1033">
        <f t="shared" ref="J115:M118" si="33">I115</f>
        <v>0.6532</v>
      </c>
      <c r="K115" s="1033">
        <f t="shared" si="33"/>
        <v>0.6532</v>
      </c>
      <c r="L115" s="1033">
        <f t="shared" si="33"/>
        <v>0.6532</v>
      </c>
      <c r="M115" s="1034">
        <f t="shared" si="33"/>
        <v>0.6532</v>
      </c>
    </row>
    <row r="116" spans="1:13" ht="12.75">
      <c r="A116" s="1032" t="s">
        <v>904</v>
      </c>
      <c r="B116" s="1033">
        <f>ROUND(0.949-0.012*B113,4)</f>
        <v>0.92130000000000001</v>
      </c>
      <c r="C116" s="1033">
        <f>B116</f>
        <v>0.92130000000000001</v>
      </c>
      <c r="D116" s="1033">
        <f>ROUND(0.8567-0.013*B113,4)</f>
        <v>0.82669999999999999</v>
      </c>
      <c r="E116" s="1033">
        <f t="shared" ref="E116:H117" si="34">D116</f>
        <v>0.82669999999999999</v>
      </c>
      <c r="F116" s="1033">
        <f t="shared" si="34"/>
        <v>0.82669999999999999</v>
      </c>
      <c r="G116" s="1033">
        <f t="shared" si="34"/>
        <v>0.82669999999999999</v>
      </c>
      <c r="H116" s="1033">
        <f t="shared" si="34"/>
        <v>0.82669999999999999</v>
      </c>
      <c r="I116" s="1033">
        <f>ROUND(0.7694-0.014*B113,4)</f>
        <v>0.73709999999999998</v>
      </c>
      <c r="J116" s="1033">
        <f t="shared" si="33"/>
        <v>0.73709999999999998</v>
      </c>
      <c r="K116" s="1033">
        <f t="shared" si="33"/>
        <v>0.73709999999999998</v>
      </c>
      <c r="L116" s="1033">
        <f t="shared" si="33"/>
        <v>0.73709999999999998</v>
      </c>
      <c r="M116" s="1034">
        <f t="shared" si="33"/>
        <v>0.73709999999999998</v>
      </c>
    </row>
    <row r="117" spans="1:13" ht="12.75">
      <c r="A117" s="1035" t="s">
        <v>905</v>
      </c>
      <c r="B117" s="1033">
        <f>ROUND(0.8808-0.006*B113,4)</f>
        <v>0.8669</v>
      </c>
      <c r="C117" s="1033">
        <f>B117</f>
        <v>0.8669</v>
      </c>
      <c r="D117" s="1033">
        <f>ROUND(0.8748-0.008*B113,4)</f>
        <v>0.85629999999999995</v>
      </c>
      <c r="E117" s="1033">
        <f t="shared" si="34"/>
        <v>0.85629999999999995</v>
      </c>
      <c r="F117" s="1033">
        <f t="shared" si="34"/>
        <v>0.85629999999999995</v>
      </c>
      <c r="G117" s="1033">
        <f t="shared" si="34"/>
        <v>0.85629999999999995</v>
      </c>
      <c r="H117" s="1033">
        <f t="shared" si="34"/>
        <v>0.85629999999999995</v>
      </c>
      <c r="I117" s="1033">
        <f>ROUND(0.7412-0.0095*B113,4)</f>
        <v>0.71930000000000005</v>
      </c>
      <c r="J117" s="1033">
        <f t="shared" si="33"/>
        <v>0.71930000000000005</v>
      </c>
      <c r="K117" s="1033">
        <f t="shared" si="33"/>
        <v>0.71930000000000005</v>
      </c>
      <c r="L117" s="1033">
        <f t="shared" si="33"/>
        <v>0.71930000000000005</v>
      </c>
      <c r="M117" s="1034">
        <f t="shared" si="33"/>
        <v>0.71930000000000005</v>
      </c>
    </row>
    <row r="118" spans="1:13" ht="13.5" thickBot="1">
      <c r="A118" s="1036" t="s">
        <v>906</v>
      </c>
      <c r="B118" s="1037">
        <f>ROUND(0.7275-0.01*B113,4)</f>
        <v>0.70440000000000003</v>
      </c>
      <c r="C118" s="1037">
        <f>B118</f>
        <v>0.70440000000000003</v>
      </c>
      <c r="D118" s="1037">
        <f>ROUND(0.7043-0.012*B113,4)</f>
        <v>0.67659999999999998</v>
      </c>
      <c r="E118" s="1037">
        <f>D118</f>
        <v>0.67659999999999998</v>
      </c>
      <c r="F118" s="1037">
        <f>E118</f>
        <v>0.67659999999999998</v>
      </c>
      <c r="G118" s="1037">
        <f>ROUND(0.6299-0.0122*B113,4)</f>
        <v>0.60170000000000001</v>
      </c>
      <c r="H118" s="1037">
        <f>G118</f>
        <v>0.60170000000000001</v>
      </c>
      <c r="I118" s="1037">
        <f>ROUND(0.5667-0.0136*B113,4)</f>
        <v>0.5353</v>
      </c>
      <c r="J118" s="1037">
        <f t="shared" si="33"/>
        <v>0.5353</v>
      </c>
      <c r="K118" s="1037">
        <f t="shared" si="33"/>
        <v>0.5353</v>
      </c>
      <c r="L118" s="1037">
        <f t="shared" si="33"/>
        <v>0.5353</v>
      </c>
      <c r="M118" s="1038">
        <f t="shared" si="33"/>
        <v>0.5353</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93" t="s">
        <v>1011</v>
      </c>
      <c r="B18" s="1157" t="s">
        <v>1450</v>
      </c>
      <c r="C18" s="1134" t="s">
        <v>1451</v>
      </c>
      <c r="D18" s="1135"/>
      <c r="E18" s="1157">
        <v>1</v>
      </c>
      <c r="F18" s="1136" t="s">
        <v>1452</v>
      </c>
      <c r="G18" s="1137"/>
      <c r="H18" s="1108"/>
      <c r="I18" s="1108"/>
    </row>
    <row r="19" spans="1:9" s="1604" customFormat="1" ht="19.5" customHeight="1">
      <c r="A19" s="3393"/>
      <c r="B19" s="3393" t="s">
        <v>1453</v>
      </c>
      <c r="C19" s="1134" t="s">
        <v>1454</v>
      </c>
      <c r="D19" s="1135"/>
      <c r="E19" s="1157">
        <v>0.9</v>
      </c>
      <c r="F19" s="1136" t="s">
        <v>1455</v>
      </c>
      <c r="G19" s="1137"/>
      <c r="H19" s="1108"/>
      <c r="I19" s="1108"/>
    </row>
    <row r="20" spans="1:9" s="1604" customFormat="1" ht="19.5" customHeight="1">
      <c r="A20" s="3393"/>
      <c r="B20" s="3393"/>
      <c r="C20" s="1134" t="s">
        <v>1456</v>
      </c>
      <c r="D20" s="1135"/>
      <c r="E20" s="1157">
        <v>1.1000000000000001</v>
      </c>
      <c r="F20" s="1136" t="s">
        <v>1457</v>
      </c>
      <c r="G20" s="1137"/>
      <c r="H20" s="1108"/>
      <c r="I20" s="1108"/>
    </row>
    <row r="21" spans="1:9" s="1604" customFormat="1" ht="19.5" customHeight="1">
      <c r="A21" s="3393"/>
      <c r="B21" s="3393"/>
      <c r="C21" s="1134" t="s">
        <v>1458</v>
      </c>
      <c r="D21" s="1135"/>
      <c r="E21" s="1157">
        <v>0.8</v>
      </c>
      <c r="F21" s="1136" t="s">
        <v>1459</v>
      </c>
      <c r="G21" s="1137"/>
      <c r="H21" s="1108"/>
      <c r="I21" s="1108"/>
    </row>
    <row r="22" spans="1:9" s="1604" customFormat="1" ht="19.5" customHeight="1">
      <c r="A22" s="3393"/>
      <c r="B22" s="3393"/>
      <c r="C22" s="1134" t="s">
        <v>1460</v>
      </c>
      <c r="D22" s="1135"/>
      <c r="E22" s="1157">
        <v>0.5</v>
      </c>
      <c r="F22" s="1136"/>
      <c r="G22" s="1137"/>
      <c r="H22" s="1108"/>
      <c r="I22" s="1108"/>
    </row>
    <row r="23" spans="1:9" s="1604" customFormat="1" ht="19.5" customHeight="1">
      <c r="A23" s="3393" t="s">
        <v>1033</v>
      </c>
      <c r="B23" s="1157" t="s">
        <v>1450</v>
      </c>
      <c r="C23" s="1134" t="s">
        <v>1461</v>
      </c>
      <c r="D23" s="1135"/>
      <c r="E23" s="1157">
        <v>1</v>
      </c>
      <c r="F23" s="1136" t="s">
        <v>1462</v>
      </c>
      <c r="G23" s="1137"/>
      <c r="H23" s="1108"/>
      <c r="I23" s="1108"/>
    </row>
    <row r="24" spans="1:9" s="1604" customFormat="1" ht="19.5" customHeight="1">
      <c r="A24" s="3393"/>
      <c r="B24" s="3393" t="s">
        <v>1453</v>
      </c>
      <c r="C24" s="1134" t="s">
        <v>1463</v>
      </c>
      <c r="D24" s="1135"/>
      <c r="E24" s="1157">
        <v>0.5</v>
      </c>
      <c r="F24" s="1136"/>
      <c r="G24" s="1137"/>
      <c r="H24" s="1108"/>
      <c r="I24" s="1108"/>
    </row>
    <row r="25" spans="1:9" s="1604" customFormat="1" ht="19.5" customHeight="1">
      <c r="A25" s="3393"/>
      <c r="B25" s="3393"/>
      <c r="C25" s="1134" t="s">
        <v>1464</v>
      </c>
      <c r="D25" s="1135"/>
      <c r="E25" s="1157">
        <v>1.1000000000000001</v>
      </c>
      <c r="F25" s="1136"/>
      <c r="G25" s="1137"/>
      <c r="H25" s="1108"/>
      <c r="I25" s="1108"/>
    </row>
    <row r="26" spans="1:9" s="1604" customFormat="1" ht="19.5" customHeight="1">
      <c r="A26" s="3393"/>
      <c r="B26" s="3393"/>
      <c r="C26" s="1134" t="s">
        <v>1465</v>
      </c>
      <c r="D26" s="1135"/>
      <c r="E26" s="1157">
        <v>1.1000000000000001</v>
      </c>
      <c r="F26" s="1136"/>
      <c r="G26" s="1137"/>
      <c r="H26" s="1108"/>
      <c r="I26" s="1108"/>
    </row>
    <row r="27" spans="1:9" s="1604" customFormat="1" ht="19.5" customHeight="1">
      <c r="A27" s="3393"/>
      <c r="B27" s="3393"/>
      <c r="C27" s="1134" t="s">
        <v>1466</v>
      </c>
      <c r="D27" s="1135"/>
      <c r="E27" s="1157">
        <v>0.9</v>
      </c>
      <c r="F27" s="1136" t="s">
        <v>1467</v>
      </c>
      <c r="G27" s="1137"/>
      <c r="H27" s="1108"/>
      <c r="I27" s="1108"/>
    </row>
    <row r="28" spans="1:9" s="1604" customFormat="1" ht="19.5" customHeight="1">
      <c r="A28" s="3393"/>
      <c r="B28" s="3393"/>
      <c r="C28" s="1134" t="s">
        <v>1468</v>
      </c>
      <c r="D28" s="1135"/>
      <c r="E28" s="1157">
        <v>0.9</v>
      </c>
      <c r="F28" s="1136" t="s">
        <v>1469</v>
      </c>
      <c r="G28" s="1137"/>
      <c r="H28" s="1108"/>
      <c r="I28" s="1108"/>
    </row>
    <row r="29" spans="1:9" s="1604" customFormat="1" ht="19.5" customHeight="1">
      <c r="A29" s="3393"/>
      <c r="B29" s="3393"/>
      <c r="C29" s="1134" t="s">
        <v>1470</v>
      </c>
      <c r="D29" s="1135"/>
      <c r="E29" s="1157">
        <v>0.9</v>
      </c>
      <c r="F29" s="1136" t="s">
        <v>1471</v>
      </c>
      <c r="G29" s="1137"/>
      <c r="H29" s="1108"/>
      <c r="I29" s="1108"/>
    </row>
    <row r="30" spans="1:9" s="1604" customFormat="1" ht="19.5" customHeight="1">
      <c r="A30" s="3393"/>
      <c r="B30" s="3393"/>
      <c r="C30" s="1134" t="s">
        <v>1472</v>
      </c>
      <c r="D30" s="1135"/>
      <c r="E30" s="1157">
        <v>0.9</v>
      </c>
      <c r="F30" s="1136" t="s">
        <v>1473</v>
      </c>
      <c r="G30" s="1137"/>
      <c r="H30" s="1108"/>
      <c r="I30" s="1108"/>
    </row>
    <row r="31" spans="1:9" s="1604" customFormat="1" ht="19.5" customHeight="1">
      <c r="A31" s="3393"/>
      <c r="B31" s="3393"/>
      <c r="C31" s="1134" t="s">
        <v>1474</v>
      </c>
      <c r="D31" s="1135"/>
      <c r="E31" s="1157">
        <v>0.8</v>
      </c>
      <c r="F31" s="1136" t="s">
        <v>1475</v>
      </c>
      <c r="G31" s="1137"/>
      <c r="H31" s="1108"/>
      <c r="I31" s="1108"/>
    </row>
    <row r="32" spans="1:9" s="1604" customFormat="1" ht="19.5" customHeight="1">
      <c r="A32" s="3393"/>
      <c r="B32" s="3393"/>
      <c r="C32" s="1134" t="s">
        <v>1476</v>
      </c>
      <c r="D32" s="1135"/>
      <c r="E32" s="1157">
        <v>0.8</v>
      </c>
      <c r="F32" s="1136" t="s">
        <v>1477</v>
      </c>
      <c r="G32" s="1137"/>
      <c r="H32" s="1108"/>
      <c r="I32" s="1108"/>
    </row>
    <row r="33" spans="1:9" s="1604" customFormat="1" ht="19.5" customHeight="1">
      <c r="A33" s="3393" t="s">
        <v>1478</v>
      </c>
      <c r="B33" s="1157" t="s">
        <v>1450</v>
      </c>
      <c r="C33" s="1134" t="s">
        <v>1479</v>
      </c>
      <c r="D33" s="1135"/>
      <c r="E33" s="1157">
        <v>1</v>
      </c>
      <c r="F33" s="1136" t="s">
        <v>1480</v>
      </c>
      <c r="G33" s="1137"/>
      <c r="H33" s="1108"/>
      <c r="I33" s="1108"/>
    </row>
    <row r="34" spans="1:9" s="1604" customFormat="1" ht="19.5" customHeight="1">
      <c r="A34" s="3393"/>
      <c r="B34" s="1157" t="s">
        <v>1453</v>
      </c>
      <c r="C34" s="1134" t="s">
        <v>1481</v>
      </c>
      <c r="D34" s="1135"/>
      <c r="E34" s="1157">
        <v>1.5</v>
      </c>
      <c r="F34" s="1136" t="s">
        <v>1482</v>
      </c>
      <c r="G34" s="1137"/>
      <c r="H34" s="1108"/>
      <c r="I34" s="1108"/>
    </row>
    <row r="35" spans="1:9" s="1604" customFormat="1" ht="19.5" customHeight="1">
      <c r="A35" s="3393" t="s">
        <v>1436</v>
      </c>
      <c r="B35" s="1157" t="s">
        <v>1450</v>
      </c>
      <c r="C35" s="1134" t="s">
        <v>1483</v>
      </c>
      <c r="D35" s="1135"/>
      <c r="E35" s="1157">
        <v>1</v>
      </c>
      <c r="F35" s="1136" t="s">
        <v>1484</v>
      </c>
      <c r="G35" s="1137"/>
      <c r="H35" s="1108"/>
      <c r="I35" s="1108"/>
    </row>
    <row r="36" spans="1:9" s="1604" customFormat="1" ht="19.5" customHeight="1">
      <c r="A36" s="3393"/>
      <c r="B36" s="3393" t="s">
        <v>1453</v>
      </c>
      <c r="C36" s="1134" t="s">
        <v>1485</v>
      </c>
      <c r="D36" s="1135"/>
      <c r="E36" s="1157">
        <v>1</v>
      </c>
      <c r="F36" s="1136" t="s">
        <v>1486</v>
      </c>
      <c r="G36" s="1137"/>
      <c r="H36" s="1108"/>
      <c r="I36" s="1108"/>
    </row>
    <row r="37" spans="1:9" s="1604" customFormat="1" ht="19.5" customHeight="1">
      <c r="A37" s="3393"/>
      <c r="B37" s="3393"/>
      <c r="C37" s="1134" t="s">
        <v>1487</v>
      </c>
      <c r="D37" s="1135"/>
      <c r="E37" s="1157">
        <v>1.5</v>
      </c>
      <c r="F37" s="1136" t="s">
        <v>1488</v>
      </c>
      <c r="G37" s="1137"/>
      <c r="H37" s="1108"/>
      <c r="I37" s="1108"/>
    </row>
    <row r="38" spans="1:9" s="1604" customFormat="1" ht="19.5" customHeight="1">
      <c r="A38" s="3393"/>
      <c r="B38" s="3393"/>
      <c r="C38" s="1134" t="s">
        <v>1489</v>
      </c>
      <c r="D38" s="1135"/>
      <c r="E38" s="1157">
        <v>1</v>
      </c>
      <c r="F38" s="1136" t="s">
        <v>1490</v>
      </c>
      <c r="G38" s="1137"/>
      <c r="H38" s="1108"/>
      <c r="I38" s="1108"/>
    </row>
    <row r="39" spans="1:9" s="1604" customFormat="1" ht="19.5" customHeight="1">
      <c r="A39" s="3393"/>
      <c r="B39" s="3393"/>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3" t="s">
        <v>1505</v>
      </c>
      <c r="C61" s="1071" t="s">
        <v>1506</v>
      </c>
      <c r="D61" s="1071" t="s">
        <v>1507</v>
      </c>
      <c r="E61" s="1142">
        <v>0.5</v>
      </c>
      <c r="F61" s="1157">
        <v>80</v>
      </c>
      <c r="H61" s="1108">
        <f>SUMIF(C59:C119,基准地价!C8,E59:E119)</f>
        <v>0</v>
      </c>
    </row>
    <row r="62" spans="1:8" s="1108" customFormat="1" ht="24">
      <c r="A62" s="1157">
        <v>2</v>
      </c>
      <c r="B62" s="3393"/>
      <c r="C62" s="1071" t="s">
        <v>1508</v>
      </c>
      <c r="D62" s="1071" t="s">
        <v>1509</v>
      </c>
      <c r="E62" s="1142">
        <v>0.5</v>
      </c>
      <c r="F62" s="1157">
        <v>80</v>
      </c>
    </row>
    <row r="63" spans="1:8" s="1108" customFormat="1" ht="36">
      <c r="A63" s="1157">
        <v>3</v>
      </c>
      <c r="B63" s="3393"/>
      <c r="C63" s="1071" t="s">
        <v>1510</v>
      </c>
      <c r="D63" s="1071" t="s">
        <v>1511</v>
      </c>
      <c r="E63" s="1142">
        <v>0.5</v>
      </c>
      <c r="F63" s="1157">
        <v>80</v>
      </c>
    </row>
    <row r="64" spans="1:8" s="1108" customFormat="1" ht="36">
      <c r="A64" s="1157">
        <v>4</v>
      </c>
      <c r="B64" s="3393"/>
      <c r="C64" s="1071" t="s">
        <v>1512</v>
      </c>
      <c r="D64" s="1071" t="s">
        <v>1513</v>
      </c>
      <c r="E64" s="1142">
        <v>0.4</v>
      </c>
      <c r="F64" s="1157">
        <v>60</v>
      </c>
    </row>
    <row r="65" spans="1:6" s="1108" customFormat="1" ht="36">
      <c r="A65" s="1157">
        <v>5</v>
      </c>
      <c r="B65" s="3393"/>
      <c r="C65" s="1071" t="s">
        <v>1514</v>
      </c>
      <c r="D65" s="1071" t="s">
        <v>1515</v>
      </c>
      <c r="E65" s="1142">
        <v>0.2</v>
      </c>
      <c r="F65" s="1157">
        <v>30</v>
      </c>
    </row>
    <row r="66" spans="1:6" s="1108" customFormat="1" ht="36">
      <c r="A66" s="1157">
        <v>6</v>
      </c>
      <c r="B66" s="3393"/>
      <c r="C66" s="1071" t="s">
        <v>1516</v>
      </c>
      <c r="D66" s="1071" t="s">
        <v>1517</v>
      </c>
      <c r="E66" s="1142">
        <v>0.3</v>
      </c>
      <c r="F66" s="1157">
        <v>50</v>
      </c>
    </row>
    <row r="67" spans="1:6" s="1108" customFormat="1" ht="36">
      <c r="A67" s="1157">
        <v>7</v>
      </c>
      <c r="B67" s="3393"/>
      <c r="C67" s="1071" t="s">
        <v>1518</v>
      </c>
      <c r="D67" s="1071" t="s">
        <v>1519</v>
      </c>
      <c r="E67" s="1142">
        <v>0.2</v>
      </c>
      <c r="F67" s="1157">
        <v>30</v>
      </c>
    </row>
    <row r="68" spans="1:6" s="1108" customFormat="1" ht="36">
      <c r="A68" s="1157">
        <v>8</v>
      </c>
      <c r="B68" s="3393"/>
      <c r="C68" s="1071" t="s">
        <v>1520</v>
      </c>
      <c r="D68" s="1071" t="s">
        <v>1521</v>
      </c>
      <c r="E68" s="1142">
        <v>0.2</v>
      </c>
      <c r="F68" s="1157">
        <v>30</v>
      </c>
    </row>
    <row r="69" spans="1:6" s="1108" customFormat="1" ht="36">
      <c r="A69" s="1157">
        <v>9</v>
      </c>
      <c r="B69" s="3393"/>
      <c r="C69" s="1071" t="s">
        <v>1522</v>
      </c>
      <c r="D69" s="1071" t="s">
        <v>1523</v>
      </c>
      <c r="E69" s="1142">
        <v>0.2</v>
      </c>
      <c r="F69" s="1157">
        <v>30</v>
      </c>
    </row>
    <row r="70" spans="1:6" s="1108" customFormat="1" ht="48">
      <c r="A70" s="1157">
        <v>10</v>
      </c>
      <c r="B70" s="3393"/>
      <c r="C70" s="1071" t="s">
        <v>1524</v>
      </c>
      <c r="D70" s="1071" t="s">
        <v>1525</v>
      </c>
      <c r="E70" s="1142">
        <v>0.2</v>
      </c>
      <c r="F70" s="1157">
        <v>30</v>
      </c>
    </row>
    <row r="71" spans="1:6" s="1108" customFormat="1" ht="48">
      <c r="A71" s="1157">
        <v>11</v>
      </c>
      <c r="B71" s="3393"/>
      <c r="C71" s="1071" t="s">
        <v>1526</v>
      </c>
      <c r="D71" s="1071" t="s">
        <v>1527</v>
      </c>
      <c r="E71" s="1142">
        <v>0.2</v>
      </c>
      <c r="F71" s="1157">
        <v>30</v>
      </c>
    </row>
    <row r="72" spans="1:6" s="1108" customFormat="1" ht="36">
      <c r="A72" s="1157">
        <v>12</v>
      </c>
      <c r="B72" s="3393"/>
      <c r="C72" s="1071" t="s">
        <v>1528</v>
      </c>
      <c r="D72" s="1071" t="s">
        <v>1529</v>
      </c>
      <c r="E72" s="1142">
        <v>0.5</v>
      </c>
      <c r="F72" s="1157">
        <v>80</v>
      </c>
    </row>
    <row r="73" spans="1:6" s="1108" customFormat="1" ht="24">
      <c r="A73" s="1157">
        <v>13</v>
      </c>
      <c r="B73" s="3393"/>
      <c r="C73" s="1071" t="s">
        <v>1530</v>
      </c>
      <c r="D73" s="1071" t="s">
        <v>1531</v>
      </c>
      <c r="E73" s="1142">
        <v>0.4</v>
      </c>
      <c r="F73" s="1157">
        <v>60</v>
      </c>
    </row>
    <row r="74" spans="1:6" s="1108" customFormat="1" ht="24">
      <c r="A74" s="1157">
        <v>14</v>
      </c>
      <c r="B74" s="3393"/>
      <c r="C74" s="1071" t="s">
        <v>1532</v>
      </c>
      <c r="D74" s="1071" t="s">
        <v>1533</v>
      </c>
      <c r="E74" s="1142">
        <v>0.2</v>
      </c>
      <c r="F74" s="1157">
        <v>30</v>
      </c>
    </row>
    <row r="75" spans="1:6" s="1108" customFormat="1" ht="24">
      <c r="A75" s="1157">
        <v>15</v>
      </c>
      <c r="B75" s="3393"/>
      <c r="C75" s="1071" t="s">
        <v>1534</v>
      </c>
      <c r="D75" s="1071" t="s">
        <v>1535</v>
      </c>
      <c r="E75" s="1142">
        <v>0.2</v>
      </c>
      <c r="F75" s="1157">
        <v>30</v>
      </c>
    </row>
    <row r="76" spans="1:6" s="1108" customFormat="1" ht="24">
      <c r="A76" s="1157">
        <v>16</v>
      </c>
      <c r="B76" s="3393" t="s">
        <v>1536</v>
      </c>
      <c r="C76" s="1071" t="s">
        <v>1537</v>
      </c>
      <c r="D76" s="1071" t="s">
        <v>1538</v>
      </c>
      <c r="E76" s="1142">
        <v>0.5</v>
      </c>
      <c r="F76" s="1157">
        <v>80</v>
      </c>
    </row>
    <row r="77" spans="1:6" s="1108" customFormat="1" ht="24">
      <c r="A77" s="1157">
        <v>17</v>
      </c>
      <c r="B77" s="3393"/>
      <c r="C77" s="1071" t="s">
        <v>1539</v>
      </c>
      <c r="D77" s="1071" t="s">
        <v>1540</v>
      </c>
      <c r="E77" s="1142">
        <v>0.5</v>
      </c>
      <c r="F77" s="1157">
        <v>80</v>
      </c>
    </row>
    <row r="78" spans="1:6" s="1108" customFormat="1" ht="24">
      <c r="A78" s="1157">
        <v>18</v>
      </c>
      <c r="B78" s="3393"/>
      <c r="C78" s="1071" t="s">
        <v>1541</v>
      </c>
      <c r="D78" s="1071" t="s">
        <v>1542</v>
      </c>
      <c r="E78" s="1142">
        <v>0.2</v>
      </c>
      <c r="F78" s="1157">
        <v>30</v>
      </c>
    </row>
    <row r="79" spans="1:6" s="1108" customFormat="1" ht="24">
      <c r="A79" s="1157">
        <v>19</v>
      </c>
      <c r="B79" s="3393"/>
      <c r="C79" s="1071" t="s">
        <v>1543</v>
      </c>
      <c r="D79" s="1071" t="s">
        <v>1544</v>
      </c>
      <c r="E79" s="1142">
        <v>0.5</v>
      </c>
      <c r="F79" s="1157">
        <v>80</v>
      </c>
    </row>
    <row r="80" spans="1:6" s="1108" customFormat="1" ht="36">
      <c r="A80" s="1157">
        <v>20</v>
      </c>
      <c r="B80" s="3393"/>
      <c r="C80" s="1071" t="s">
        <v>1545</v>
      </c>
      <c r="D80" s="1071" t="s">
        <v>1546</v>
      </c>
      <c r="E80" s="1142">
        <v>0.2</v>
      </c>
      <c r="F80" s="1157">
        <v>30</v>
      </c>
    </row>
    <row r="81" spans="1:6" s="1108" customFormat="1" ht="36">
      <c r="A81" s="1157">
        <v>21</v>
      </c>
      <c r="B81" s="3393"/>
      <c r="C81" s="1071" t="s">
        <v>1547</v>
      </c>
      <c r="D81" s="1071" t="s">
        <v>1548</v>
      </c>
      <c r="E81" s="1142">
        <v>0.2</v>
      </c>
      <c r="F81" s="1157">
        <v>30</v>
      </c>
    </row>
    <row r="82" spans="1:6" s="1108" customFormat="1" ht="48">
      <c r="A82" s="1157">
        <v>22</v>
      </c>
      <c r="B82" s="3393"/>
      <c r="C82" s="1071" t="s">
        <v>1549</v>
      </c>
      <c r="D82" s="1071" t="s">
        <v>1550</v>
      </c>
      <c r="E82" s="1142">
        <v>0.2</v>
      </c>
      <c r="F82" s="1157">
        <v>30</v>
      </c>
    </row>
    <row r="83" spans="1:6" s="1108" customFormat="1" ht="48">
      <c r="A83" s="1157">
        <v>23</v>
      </c>
      <c r="B83" s="3393"/>
      <c r="C83" s="1071" t="s">
        <v>1551</v>
      </c>
      <c r="D83" s="1071" t="s">
        <v>1552</v>
      </c>
      <c r="E83" s="1142">
        <v>0.2</v>
      </c>
      <c r="F83" s="1157">
        <v>30</v>
      </c>
    </row>
    <row r="84" spans="1:6" s="1108" customFormat="1" ht="36">
      <c r="A84" s="1157">
        <v>24</v>
      </c>
      <c r="B84" s="3393"/>
      <c r="C84" s="1071" t="s">
        <v>1553</v>
      </c>
      <c r="D84" s="1071" t="s">
        <v>1554</v>
      </c>
      <c r="E84" s="1142">
        <v>0.2</v>
      </c>
      <c r="F84" s="1157">
        <v>30</v>
      </c>
    </row>
    <row r="85" spans="1:6" s="1108" customFormat="1" ht="36">
      <c r="A85" s="1157">
        <v>25</v>
      </c>
      <c r="B85" s="3393"/>
      <c r="C85" s="1071" t="s">
        <v>1555</v>
      </c>
      <c r="D85" s="1071" t="s">
        <v>1556</v>
      </c>
      <c r="E85" s="1142">
        <v>0.5</v>
      </c>
      <c r="F85" s="1157">
        <v>80</v>
      </c>
    </row>
    <row r="86" spans="1:6" s="1108" customFormat="1" ht="36">
      <c r="A86" s="1157">
        <v>26</v>
      </c>
      <c r="B86" s="3393"/>
      <c r="C86" s="1071" t="s">
        <v>1557</v>
      </c>
      <c r="D86" s="1071" t="s">
        <v>1558</v>
      </c>
      <c r="E86" s="1142">
        <v>0.2</v>
      </c>
      <c r="F86" s="1157">
        <v>30</v>
      </c>
    </row>
    <row r="87" spans="1:6" s="1108" customFormat="1" ht="36">
      <c r="A87" s="1157">
        <v>27</v>
      </c>
      <c r="B87" s="3393"/>
      <c r="C87" s="1071" t="s">
        <v>1559</v>
      </c>
      <c r="D87" s="1071" t="s">
        <v>1560</v>
      </c>
      <c r="E87" s="1142">
        <v>0.2</v>
      </c>
      <c r="F87" s="1157">
        <v>30</v>
      </c>
    </row>
    <row r="88" spans="1:6" s="1108" customFormat="1" ht="36">
      <c r="A88" s="1157">
        <v>28</v>
      </c>
      <c r="B88" s="3393"/>
      <c r="C88" s="1071" t="s">
        <v>1561</v>
      </c>
      <c r="D88" s="1071" t="s">
        <v>1562</v>
      </c>
      <c r="E88" s="1142">
        <v>0.2</v>
      </c>
      <c r="F88" s="1157">
        <v>30</v>
      </c>
    </row>
    <row r="89" spans="1:6" s="1108" customFormat="1" ht="24">
      <c r="A89" s="1157">
        <v>29</v>
      </c>
      <c r="B89" s="3393"/>
      <c r="C89" s="1071" t="s">
        <v>1563</v>
      </c>
      <c r="D89" s="1071" t="s">
        <v>1564</v>
      </c>
      <c r="E89" s="1142">
        <v>0.2</v>
      </c>
      <c r="F89" s="1157">
        <v>30</v>
      </c>
    </row>
    <row r="90" spans="1:6" s="1108" customFormat="1" ht="24">
      <c r="A90" s="1157">
        <v>30</v>
      </c>
      <c r="B90" s="3393"/>
      <c r="C90" s="1071" t="s">
        <v>1565</v>
      </c>
      <c r="D90" s="1071" t="s">
        <v>1566</v>
      </c>
      <c r="E90" s="1142">
        <v>0.2</v>
      </c>
      <c r="F90" s="1157">
        <v>30</v>
      </c>
    </row>
    <row r="91" spans="1:6" s="1108" customFormat="1" ht="36">
      <c r="A91" s="1157">
        <v>31</v>
      </c>
      <c r="B91" s="3393"/>
      <c r="C91" s="1071" t="s">
        <v>1567</v>
      </c>
      <c r="D91" s="1071" t="s">
        <v>1568</v>
      </c>
      <c r="E91" s="1142">
        <v>0.2</v>
      </c>
      <c r="F91" s="1157">
        <v>30</v>
      </c>
    </row>
    <row r="92" spans="1:6" s="1108" customFormat="1" ht="24">
      <c r="A92" s="1157">
        <v>32</v>
      </c>
      <c r="B92" s="3393" t="s">
        <v>1569</v>
      </c>
      <c r="C92" s="1157" t="s">
        <v>1570</v>
      </c>
      <c r="D92" s="1071" t="s">
        <v>1571</v>
      </c>
      <c r="E92" s="1142">
        <v>0.2</v>
      </c>
      <c r="F92" s="1157">
        <v>30</v>
      </c>
    </row>
    <row r="93" spans="1:6" s="1108" customFormat="1" ht="36">
      <c r="A93" s="1157">
        <v>33</v>
      </c>
      <c r="B93" s="3393"/>
      <c r="C93" s="1157" t="s">
        <v>1572</v>
      </c>
      <c r="D93" s="1071" t="s">
        <v>1573</v>
      </c>
      <c r="E93" s="1142">
        <v>0.2</v>
      </c>
      <c r="F93" s="1157">
        <v>30</v>
      </c>
    </row>
    <row r="94" spans="1:6" s="1108" customFormat="1" ht="48">
      <c r="A94" s="1157">
        <v>34</v>
      </c>
      <c r="B94" s="3393"/>
      <c r="C94" s="1157" t="s">
        <v>1574</v>
      </c>
      <c r="D94" s="1071" t="s">
        <v>1575</v>
      </c>
      <c r="E94" s="1142">
        <v>0.2</v>
      </c>
      <c r="F94" s="1157">
        <v>30</v>
      </c>
    </row>
    <row r="95" spans="1:6" s="1108" customFormat="1" ht="36">
      <c r="A95" s="1157">
        <v>35</v>
      </c>
      <c r="B95" s="3393"/>
      <c r="C95" s="1157" t="s">
        <v>1576</v>
      </c>
      <c r="D95" s="1071" t="s">
        <v>1577</v>
      </c>
      <c r="E95" s="1142">
        <v>0.2</v>
      </c>
      <c r="F95" s="1157">
        <v>30</v>
      </c>
    </row>
    <row r="96" spans="1:6" s="1108" customFormat="1" ht="48">
      <c r="A96" s="1157">
        <v>36</v>
      </c>
      <c r="B96" s="3393"/>
      <c r="C96" s="1071" t="s">
        <v>1578</v>
      </c>
      <c r="D96" s="1071" t="s">
        <v>1579</v>
      </c>
      <c r="E96" s="1142">
        <v>0.2</v>
      </c>
      <c r="F96" s="1157">
        <v>30</v>
      </c>
    </row>
    <row r="97" spans="1:6" s="1108" customFormat="1" ht="36">
      <c r="A97" s="1157">
        <v>37</v>
      </c>
      <c r="B97" s="3393"/>
      <c r="C97" s="1157" t="s">
        <v>1580</v>
      </c>
      <c r="D97" s="1071" t="s">
        <v>1581</v>
      </c>
      <c r="E97" s="1142">
        <v>0.2</v>
      </c>
      <c r="F97" s="1157">
        <v>30</v>
      </c>
    </row>
    <row r="98" spans="1:6" s="1108" customFormat="1" ht="36">
      <c r="A98" s="1157">
        <v>38</v>
      </c>
      <c r="B98" s="3393"/>
      <c r="C98" s="1157" t="s">
        <v>1582</v>
      </c>
      <c r="D98" s="1071" t="s">
        <v>1583</v>
      </c>
      <c r="E98" s="1142">
        <v>0.2</v>
      </c>
      <c r="F98" s="1157">
        <v>30</v>
      </c>
    </row>
    <row r="99" spans="1:6" s="1108" customFormat="1" ht="36">
      <c r="A99" s="1157">
        <v>39</v>
      </c>
      <c r="B99" s="3393" t="s">
        <v>1584</v>
      </c>
      <c r="C99" s="1157" t="s">
        <v>1585</v>
      </c>
      <c r="D99" s="1071" t="s">
        <v>1586</v>
      </c>
      <c r="E99" s="1142">
        <v>0.3</v>
      </c>
      <c r="F99" s="1157">
        <v>50</v>
      </c>
    </row>
    <row r="100" spans="1:6" s="1108" customFormat="1" ht="24">
      <c r="A100" s="1157">
        <v>40</v>
      </c>
      <c r="B100" s="3393"/>
      <c r="C100" s="1157" t="s">
        <v>1587</v>
      </c>
      <c r="D100" s="1071" t="s">
        <v>1588</v>
      </c>
      <c r="E100" s="1142">
        <v>0.2</v>
      </c>
      <c r="F100" s="1157">
        <v>30</v>
      </c>
    </row>
    <row r="101" spans="1:6" s="1108" customFormat="1" ht="36">
      <c r="A101" s="1157">
        <v>41</v>
      </c>
      <c r="B101" s="3393"/>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3" t="s">
        <v>1599</v>
      </c>
      <c r="C105" s="1157" t="s">
        <v>1600</v>
      </c>
      <c r="D105" s="1071" t="s">
        <v>1601</v>
      </c>
      <c r="E105" s="1142">
        <v>0.2</v>
      </c>
      <c r="F105" s="1157">
        <v>30</v>
      </c>
    </row>
    <row r="106" spans="1:6" s="1108" customFormat="1" ht="36">
      <c r="A106" s="1157">
        <v>46</v>
      </c>
      <c r="B106" s="3393"/>
      <c r="C106" s="1157" t="s">
        <v>1602</v>
      </c>
      <c r="D106" s="1071" t="s">
        <v>1603</v>
      </c>
      <c r="E106" s="1142">
        <v>0.2</v>
      </c>
      <c r="F106" s="1157">
        <v>30</v>
      </c>
    </row>
    <row r="107" spans="1:6" s="1108" customFormat="1" ht="36">
      <c r="A107" s="1157">
        <v>47</v>
      </c>
      <c r="B107" s="3393" t="s">
        <v>1604</v>
      </c>
      <c r="C107" s="1157" t="s">
        <v>1605</v>
      </c>
      <c r="D107" s="1071" t="s">
        <v>1606</v>
      </c>
      <c r="E107" s="1142">
        <v>0.3</v>
      </c>
      <c r="F107" s="1157">
        <v>50</v>
      </c>
    </row>
    <row r="108" spans="1:6" s="1108" customFormat="1" ht="36">
      <c r="A108" s="1157">
        <v>48</v>
      </c>
      <c r="B108" s="3393"/>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3" t="s">
        <v>1615</v>
      </c>
      <c r="C111" s="1157" t="s">
        <v>1616</v>
      </c>
      <c r="D111" s="1071" t="s">
        <v>1617</v>
      </c>
      <c r="E111" s="1142">
        <v>0.2</v>
      </c>
      <c r="F111" s="1157">
        <v>30</v>
      </c>
    </row>
    <row r="112" spans="1:6" s="1108" customFormat="1" ht="24">
      <c r="A112" s="1157">
        <v>52</v>
      </c>
      <c r="B112" s="3393"/>
      <c r="C112" s="1157" t="s">
        <v>1618</v>
      </c>
      <c r="D112" s="1071" t="s">
        <v>1619</v>
      </c>
      <c r="E112" s="1142">
        <v>0.2</v>
      </c>
      <c r="F112" s="1157">
        <v>30</v>
      </c>
    </row>
    <row r="113" spans="1:14" s="1108" customFormat="1" ht="24">
      <c r="A113" s="1157">
        <v>53</v>
      </c>
      <c r="B113" s="3393"/>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3" t="s">
        <v>1628</v>
      </c>
      <c r="C116" s="1157" t="s">
        <v>1629</v>
      </c>
      <c r="D116" s="1071" t="s">
        <v>1630</v>
      </c>
      <c r="E116" s="1142">
        <v>0.2</v>
      </c>
      <c r="F116" s="1157">
        <v>30</v>
      </c>
    </row>
    <row r="117" spans="1:14" ht="36">
      <c r="A117" s="1157">
        <v>57</v>
      </c>
      <c r="B117" s="3393"/>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2" t="s">
        <v>1637</v>
      </c>
      <c r="B121" s="3392"/>
      <c r="C121" s="3392"/>
      <c r="D121" s="3392"/>
      <c r="E121" s="3392"/>
      <c r="F121" s="3392"/>
      <c r="G121" s="3392"/>
      <c r="H121" s="3392"/>
      <c r="I121" s="3392"/>
      <c r="J121" s="3392"/>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4" t="s">
        <v>1043</v>
      </c>
      <c r="B1" s="3394"/>
      <c r="C1" s="3394"/>
      <c r="D1" s="3394"/>
      <c r="E1" s="3394"/>
      <c r="F1" s="3394"/>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5" t="s">
        <v>1056</v>
      </c>
      <c r="B2" s="3395"/>
      <c r="C2" s="3395"/>
      <c r="D2" s="3395"/>
      <c r="E2" s="3395"/>
      <c r="F2" s="3395"/>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6"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7"/>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2434</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2435</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398" t="s">
        <v>2089</v>
      </c>
      <c r="B1" s="3398"/>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05" t="s">
        <v>2590</v>
      </c>
      <c r="C1" s="3405"/>
      <c r="D1" s="3405"/>
      <c r="E1" s="3405"/>
      <c r="F1" s="3405"/>
      <c r="G1" s="3404" t="s">
        <v>2591</v>
      </c>
      <c r="H1" s="3404"/>
      <c r="I1" s="3404"/>
      <c r="J1" s="3404"/>
      <c r="K1" s="3404"/>
      <c r="L1" s="3404"/>
      <c r="N1" s="3404" t="s">
        <v>2592</v>
      </c>
      <c r="O1" s="3404"/>
      <c r="P1" s="3404"/>
      <c r="Q1" s="3404"/>
      <c r="R1" s="2690"/>
      <c r="S1" s="3404" t="s">
        <v>2593</v>
      </c>
      <c r="T1" s="3404"/>
      <c r="U1" s="3404"/>
      <c r="V1" s="3404"/>
      <c r="X1" s="3403" t="s">
        <v>2655</v>
      </c>
      <c r="Y1" s="3404"/>
      <c r="Z1" s="3404"/>
      <c r="AA1" s="3404"/>
      <c r="AB1" s="3404"/>
      <c r="AD1" s="3403" t="s">
        <v>2660</v>
      </c>
      <c r="AE1" s="3404"/>
      <c r="AF1" s="3404"/>
      <c r="AG1" s="3404"/>
      <c r="AH1" s="3404"/>
    </row>
    <row r="2" spans="1:34" s="2793" customFormat="1" ht="14.25" thickBot="1">
      <c r="B2" s="2803" t="s">
        <v>2594</v>
      </c>
      <c r="C2" s="2803" t="s">
        <v>2658</v>
      </c>
      <c r="D2" s="2794" t="s">
        <v>1648</v>
      </c>
      <c r="E2" s="2794" t="s">
        <v>1959</v>
      </c>
      <c r="F2" s="2803" t="s">
        <v>2659</v>
      </c>
      <c r="G2" s="2797"/>
      <c r="H2" s="2796"/>
      <c r="I2" s="2796"/>
      <c r="J2" s="2796"/>
      <c r="K2" s="2796"/>
      <c r="L2" s="2796"/>
      <c r="N2" s="2797"/>
      <c r="O2" s="2796"/>
      <c r="P2" s="2796"/>
      <c r="Q2" s="2796"/>
      <c r="R2" s="2795"/>
      <c r="S2" s="2797"/>
      <c r="T2" s="2796"/>
      <c r="U2" s="2796"/>
      <c r="V2" s="2796"/>
      <c r="X2" s="2803" t="s">
        <v>2594</v>
      </c>
      <c r="Y2" s="2803" t="s">
        <v>2658</v>
      </c>
      <c r="Z2" s="2794" t="s">
        <v>1648</v>
      </c>
      <c r="AA2" s="2794" t="s">
        <v>1959</v>
      </c>
      <c r="AB2" s="2803" t="s">
        <v>2659</v>
      </c>
      <c r="AD2" s="2803" t="s">
        <v>2594</v>
      </c>
      <c r="AE2" s="2803" t="s">
        <v>2658</v>
      </c>
      <c r="AF2" s="2794" t="s">
        <v>1648</v>
      </c>
      <c r="AG2" s="2794" t="s">
        <v>1959</v>
      </c>
      <c r="AH2" s="2803" t="s">
        <v>2659</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2595</v>
      </c>
      <c r="B4" s="2692"/>
      <c r="C4" s="2692"/>
      <c r="D4" s="2692"/>
      <c r="E4" s="2692"/>
      <c r="F4" s="2692"/>
      <c r="G4" s="3402">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2596</v>
      </c>
      <c r="B5" s="2692"/>
      <c r="C5" s="2692"/>
      <c r="D5" s="2692"/>
      <c r="E5" s="2692"/>
      <c r="F5" s="2692"/>
      <c r="G5" s="3400"/>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2597</v>
      </c>
      <c r="B6" s="2834">
        <f>B7*(1+N6)</f>
        <v>415.21602360000003</v>
      </c>
      <c r="C6" s="2834">
        <f>C7*(1+O6)</f>
        <v>312.63083488000001</v>
      </c>
      <c r="D6" s="2834">
        <f>C6</f>
        <v>312.63083488000001</v>
      </c>
      <c r="E6" s="2834">
        <f>E7*(1+P6)</f>
        <v>589.96402416000001</v>
      </c>
      <c r="F6" s="2834">
        <f>F7*(1+Q6)</f>
        <v>273.82351752000005</v>
      </c>
      <c r="G6" s="3400"/>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2656</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2598</v>
      </c>
      <c r="B7" s="2706">
        <f>B8*(1+N7)</f>
        <v>405.524</v>
      </c>
      <c r="C7" s="2706">
        <f>C8*(1+O7)</f>
        <v>307.79840000000002</v>
      </c>
      <c r="D7" s="2706">
        <f>C7</f>
        <v>307.79840000000002</v>
      </c>
      <c r="E7" s="2706">
        <f>E8*(1+P7)</f>
        <v>574.67759999999998</v>
      </c>
      <c r="F7" s="2706">
        <f>F8*(1+Q7)</f>
        <v>270.20280000000002</v>
      </c>
      <c r="G7" s="3401"/>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02">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400"/>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0"/>
        <v>360.06949782209392</v>
      </c>
      <c r="C10" s="2706">
        <f t="shared" si="10"/>
        <v>289.84672674747821</v>
      </c>
      <c r="D10" s="2706">
        <f t="shared" si="11"/>
        <v>289.84672674747821</v>
      </c>
      <c r="E10" s="2706">
        <f t="shared" si="12"/>
        <v>501.06543001181495</v>
      </c>
      <c r="F10" s="2706">
        <f t="shared" si="12"/>
        <v>256.82882500744967</v>
      </c>
      <c r="G10" s="3400"/>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0"/>
        <v>346.720748986128</v>
      </c>
      <c r="C11" s="2706">
        <f t="shared" si="10"/>
        <v>284.30282172386285</v>
      </c>
      <c r="D11" s="2706">
        <f t="shared" si="11"/>
        <v>284.30282172386285</v>
      </c>
      <c r="E11" s="2706">
        <f t="shared" si="12"/>
        <v>479.58023546306947</v>
      </c>
      <c r="F11" s="2706">
        <f t="shared" si="12"/>
        <v>253.25788877571213</v>
      </c>
      <c r="G11" s="3401"/>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1"/>
        <v>277</v>
      </c>
      <c r="E12" s="2698">
        <v>459</v>
      </c>
      <c r="F12" s="2699">
        <v>249</v>
      </c>
      <c r="G12" s="3399">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400"/>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4"/>
        <v>322.34053690220776</v>
      </c>
      <c r="C14" s="2706">
        <f t="shared" si="14"/>
        <v>271.46160770422546</v>
      </c>
      <c r="D14" s="2706">
        <f t="shared" si="11"/>
        <v>271.46160770422546</v>
      </c>
      <c r="E14" s="2706">
        <f t="shared" si="15"/>
        <v>442.69434542172456</v>
      </c>
      <c r="F14" s="2706">
        <f t="shared" si="15"/>
        <v>241.34030753190925</v>
      </c>
      <c r="G14" s="3400"/>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4"/>
        <v>319.87748030386797</v>
      </c>
      <c r="C15" s="2706">
        <f t="shared" si="14"/>
        <v>269.60135833173649</v>
      </c>
      <c r="D15" s="2706">
        <f t="shared" si="11"/>
        <v>269.60135833173649</v>
      </c>
      <c r="E15" s="2706">
        <f t="shared" si="15"/>
        <v>439.18089823583784</v>
      </c>
      <c r="F15" s="2706">
        <f t="shared" si="15"/>
        <v>239.23503918706311</v>
      </c>
      <c r="G15" s="3401"/>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1"/>
        <v>268</v>
      </c>
      <c r="E16" s="2720">
        <v>437</v>
      </c>
      <c r="F16" s="2721">
        <v>237</v>
      </c>
      <c r="G16" s="3399">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400"/>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6"/>
        <v>314.72141172386546</v>
      </c>
      <c r="C18" s="2706">
        <f t="shared" si="16"/>
        <v>263.03901319069001</v>
      </c>
      <c r="D18" s="2706">
        <f t="shared" si="11"/>
        <v>263.03901319069001</v>
      </c>
      <c r="E18" s="2706">
        <f t="shared" si="17"/>
        <v>433.65745506782821</v>
      </c>
      <c r="F18" s="2706">
        <f t="shared" si="17"/>
        <v>233.23005080045735</v>
      </c>
      <c r="G18" s="3400"/>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964</v>
      </c>
      <c r="B19" s="2725">
        <f t="shared" si="16"/>
        <v>307.34512863658733</v>
      </c>
      <c r="C19" s="2725">
        <f t="shared" si="16"/>
        <v>257.80556031626975</v>
      </c>
      <c r="D19" s="2725">
        <f t="shared" si="11"/>
        <v>257.80556031626975</v>
      </c>
      <c r="E19" s="2725">
        <f t="shared" si="17"/>
        <v>422.70928459677179</v>
      </c>
      <c r="F19" s="2725">
        <f t="shared" si="17"/>
        <v>229.73803270336617</v>
      </c>
      <c r="G19" s="3401"/>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2657</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2599</v>
      </c>
      <c r="B20" s="2698">
        <v>299</v>
      </c>
      <c r="C20" s="2698">
        <v>252</v>
      </c>
      <c r="D20" s="2698">
        <f t="shared" si="11"/>
        <v>252</v>
      </c>
      <c r="E20" s="2698">
        <v>409</v>
      </c>
      <c r="F20" s="2699">
        <v>227</v>
      </c>
      <c r="G20" s="3406">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2600</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07"/>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2601</v>
      </c>
      <c r="B22" s="2706">
        <f t="shared" si="20"/>
        <v>288.2649053828776</v>
      </c>
      <c r="C22" s="2706">
        <f t="shared" si="20"/>
        <v>243.64564425013293</v>
      </c>
      <c r="D22" s="2706">
        <f t="shared" si="11"/>
        <v>243.64564425013293</v>
      </c>
      <c r="E22" s="2706">
        <f t="shared" si="21"/>
        <v>393.31080825986544</v>
      </c>
      <c r="F22" s="2706">
        <f t="shared" si="21"/>
        <v>223.07903790551154</v>
      </c>
      <c r="G22" s="3407"/>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2602</v>
      </c>
      <c r="B23" s="2706">
        <f t="shared" si="20"/>
        <v>282.50186729015837</v>
      </c>
      <c r="C23" s="2706">
        <f t="shared" si="20"/>
        <v>238.09796174155468</v>
      </c>
      <c r="D23" s="2706">
        <f t="shared" si="11"/>
        <v>238.09796174155468</v>
      </c>
      <c r="E23" s="2706">
        <f t="shared" si="21"/>
        <v>385.33438646014054</v>
      </c>
      <c r="F23" s="2706">
        <f t="shared" si="21"/>
        <v>221.55034055567739</v>
      </c>
      <c r="G23" s="3408"/>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2603</v>
      </c>
      <c r="B24" s="2736">
        <v>278</v>
      </c>
      <c r="C24" s="2736">
        <v>234</v>
      </c>
      <c r="D24" s="2736">
        <f t="shared" si="11"/>
        <v>234</v>
      </c>
      <c r="E24" s="2736">
        <v>379</v>
      </c>
      <c r="F24" s="2737">
        <v>220</v>
      </c>
      <c r="G24" s="3399">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2604</v>
      </c>
      <c r="B25" s="2706">
        <f>B24/(1+N24)</f>
        <v>275.49301357645425</v>
      </c>
      <c r="C25" s="2706">
        <f>C24/(1+O24)</f>
        <v>232.41954707985698</v>
      </c>
      <c r="D25" s="2706">
        <f t="shared" si="11"/>
        <v>232.41954707985698</v>
      </c>
      <c r="E25" s="2706">
        <f t="shared" ref="E25:F27" si="22">E24/(1+P24)</f>
        <v>375.32184591008121</v>
      </c>
      <c r="F25" s="2706">
        <f t="shared" si="22"/>
        <v>218.03766105054513</v>
      </c>
      <c r="G25" s="3400"/>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2605</v>
      </c>
      <c r="B26" s="2706">
        <f>B25/(1+N25)</f>
        <v>275.24529281292263</v>
      </c>
      <c r="C26" s="2706">
        <f>C25/(1+O25)</f>
        <v>231.74747938962707</v>
      </c>
      <c r="D26" s="2706">
        <f t="shared" si="11"/>
        <v>231.74747938962707</v>
      </c>
      <c r="E26" s="2706">
        <f t="shared" si="22"/>
        <v>375.35938184826603</v>
      </c>
      <c r="F26" s="2706">
        <f t="shared" si="22"/>
        <v>216.78033510692495</v>
      </c>
      <c r="G26" s="3400"/>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2606</v>
      </c>
      <c r="B27" s="2706">
        <f>B26/(1+N26)</f>
        <v>275.19025476197027</v>
      </c>
      <c r="C27" s="2738">
        <v>232</v>
      </c>
      <c r="D27" s="2738">
        <f t="shared" si="11"/>
        <v>232</v>
      </c>
      <c r="E27" s="2706">
        <f t="shared" si="22"/>
        <v>375.65990977608692</v>
      </c>
      <c r="F27" s="2706">
        <f t="shared" si="22"/>
        <v>214.12518283971252</v>
      </c>
      <c r="G27" s="3401"/>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2607</v>
      </c>
      <c r="B28" s="2698">
        <v>275</v>
      </c>
      <c r="C28" s="2698">
        <v>232</v>
      </c>
      <c r="D28" s="2698">
        <f t="shared" si="11"/>
        <v>232</v>
      </c>
      <c r="E28" s="2698">
        <v>376</v>
      </c>
      <c r="F28" s="2699">
        <v>213</v>
      </c>
      <c r="G28" s="3399">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2608</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400">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2609</v>
      </c>
      <c r="B30" s="2706">
        <f t="shared" si="23"/>
        <v>275.19335084830601</v>
      </c>
      <c r="C30" s="2706">
        <f t="shared" si="23"/>
        <v>230.18088050139744</v>
      </c>
      <c r="D30" s="2706">
        <f t="shared" si="11"/>
        <v>230.18088050139744</v>
      </c>
      <c r="E30" s="2706">
        <f t="shared" si="24"/>
        <v>377.58482925212331</v>
      </c>
      <c r="F30" s="2706">
        <f t="shared" si="24"/>
        <v>210.90687997847917</v>
      </c>
      <c r="G30" s="3400">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2610</v>
      </c>
      <c r="B31" s="2706">
        <f t="shared" si="23"/>
        <v>276.29854502841971</v>
      </c>
      <c r="C31" s="2706">
        <f t="shared" si="23"/>
        <v>229.79023709833027</v>
      </c>
      <c r="D31" s="2706">
        <f t="shared" si="11"/>
        <v>229.79023709833027</v>
      </c>
      <c r="E31" s="2706">
        <f t="shared" si="24"/>
        <v>379.78759731655936</v>
      </c>
      <c r="F31" s="2706">
        <f t="shared" si="24"/>
        <v>211.32953905659235</v>
      </c>
      <c r="G31" s="3401">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2611</v>
      </c>
      <c r="B32" s="2698">
        <v>269</v>
      </c>
      <c r="C32" s="2698">
        <v>221</v>
      </c>
      <c r="D32" s="2698">
        <f t="shared" si="11"/>
        <v>221</v>
      </c>
      <c r="E32" s="2698">
        <v>373</v>
      </c>
      <c r="F32" s="2699">
        <v>196</v>
      </c>
      <c r="G32" s="3399">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2612</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400">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2613</v>
      </c>
      <c r="B34" s="2706">
        <f t="shared" si="25"/>
        <v>242.95398227588385</v>
      </c>
      <c r="C34" s="2706">
        <f t="shared" si="25"/>
        <v>199.59137053614126</v>
      </c>
      <c r="D34" s="2706">
        <f t="shared" si="11"/>
        <v>199.59137053614126</v>
      </c>
      <c r="E34" s="2706">
        <f t="shared" si="26"/>
        <v>335.92189522342125</v>
      </c>
      <c r="F34" s="2706">
        <f t="shared" si="26"/>
        <v>183.10139991109489</v>
      </c>
      <c r="G34" s="3400">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2614</v>
      </c>
      <c r="B35" s="2706">
        <f t="shared" si="25"/>
        <v>232.06990378821649</v>
      </c>
      <c r="C35" s="2706">
        <f t="shared" si="25"/>
        <v>192.74878854286936</v>
      </c>
      <c r="D35" s="2706">
        <f t="shared" si="11"/>
        <v>192.74878854286936</v>
      </c>
      <c r="E35" s="2706">
        <f t="shared" si="26"/>
        <v>319.71247284992984</v>
      </c>
      <c r="F35" s="2706">
        <f t="shared" si="26"/>
        <v>175.67053622862409</v>
      </c>
      <c r="G35" s="3401">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2615</v>
      </c>
      <c r="B36" s="2698">
        <v>220</v>
      </c>
      <c r="C36" s="2698">
        <v>187</v>
      </c>
      <c r="D36" s="2698">
        <f t="shared" si="11"/>
        <v>187</v>
      </c>
      <c r="E36" s="2698">
        <v>301</v>
      </c>
      <c r="F36" s="2699">
        <v>168</v>
      </c>
      <c r="G36" s="3399">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2616</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400">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2617</v>
      </c>
      <c r="B38" s="2706">
        <f t="shared" si="27"/>
        <v>210.630522469011</v>
      </c>
      <c r="C38" s="2706">
        <f t="shared" si="27"/>
        <v>181.69567812247232</v>
      </c>
      <c r="D38" s="2706">
        <f t="shared" si="11"/>
        <v>181.69567812247232</v>
      </c>
      <c r="E38" s="2706">
        <f t="shared" si="28"/>
        <v>286.13517466736738</v>
      </c>
      <c r="F38" s="2706">
        <f t="shared" si="28"/>
        <v>165.47535084591149</v>
      </c>
      <c r="G38" s="3400">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2618</v>
      </c>
      <c r="B39" s="2706">
        <f t="shared" si="27"/>
        <v>208.83454537875372</v>
      </c>
      <c r="C39" s="2706">
        <f t="shared" si="27"/>
        <v>183.77230517090351</v>
      </c>
      <c r="D39" s="2706">
        <f t="shared" si="11"/>
        <v>183.77230517090351</v>
      </c>
      <c r="E39" s="2706">
        <f t="shared" si="28"/>
        <v>281.10342338870947</v>
      </c>
      <c r="F39" s="2706">
        <f t="shared" si="28"/>
        <v>168.97309388942256</v>
      </c>
      <c r="G39" s="3401">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2619</v>
      </c>
      <c r="B40" s="2736">
        <v>214</v>
      </c>
      <c r="C40" s="2736">
        <v>188</v>
      </c>
      <c r="D40" s="2736">
        <f t="shared" si="11"/>
        <v>188</v>
      </c>
      <c r="E40" s="2736">
        <v>289</v>
      </c>
      <c r="F40" s="2737">
        <v>166</v>
      </c>
      <c r="G40" s="3399">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2620</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400">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2621</v>
      </c>
      <c r="B42" s="2706">
        <f t="shared" si="29"/>
        <v>206.31694671589116</v>
      </c>
      <c r="C42" s="2706">
        <f t="shared" si="29"/>
        <v>183.61041121036101</v>
      </c>
      <c r="D42" s="2706">
        <f t="shared" si="11"/>
        <v>183.61041121036101</v>
      </c>
      <c r="E42" s="2706">
        <f t="shared" si="30"/>
        <v>276.66850301795557</v>
      </c>
      <c r="F42" s="2706">
        <f t="shared" si="30"/>
        <v>165.1360938278614</v>
      </c>
      <c r="G42" s="3400">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2622</v>
      </c>
      <c r="B43" s="2739">
        <f t="shared" si="29"/>
        <v>196.62341248059772</v>
      </c>
      <c r="C43" s="2739">
        <f t="shared" si="29"/>
        <v>170.99125648199012</v>
      </c>
      <c r="D43" s="2739">
        <f t="shared" si="11"/>
        <v>170.99125648199012</v>
      </c>
      <c r="E43" s="2739">
        <f t="shared" si="30"/>
        <v>266.07857570490052</v>
      </c>
      <c r="F43" s="2739">
        <f t="shared" si="30"/>
        <v>154.53499328828505</v>
      </c>
      <c r="G43" s="3401">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2623</v>
      </c>
      <c r="B44" s="2698">
        <v>188</v>
      </c>
      <c r="C44" s="2698">
        <v>165</v>
      </c>
      <c r="D44" s="2698">
        <f t="shared" si="11"/>
        <v>165</v>
      </c>
      <c r="E44" s="2698">
        <v>254</v>
      </c>
      <c r="F44" s="2699">
        <v>148</v>
      </c>
      <c r="G44" s="3399">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2624</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400">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2625</v>
      </c>
      <c r="B46" s="2706">
        <f t="shared" si="33"/>
        <v>168.82017748715555</v>
      </c>
      <c r="C46" s="2706">
        <f t="shared" si="33"/>
        <v>148.06267029972753</v>
      </c>
      <c r="D46" s="2706">
        <f t="shared" si="11"/>
        <v>148.06267029972753</v>
      </c>
      <c r="E46" s="2706">
        <f t="shared" si="34"/>
        <v>216.46288379323747</v>
      </c>
      <c r="F46" s="2706">
        <f t="shared" si="34"/>
        <v>134.23529411764704</v>
      </c>
      <c r="G46" s="3400">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2626</v>
      </c>
      <c r="B47" s="2706">
        <f t="shared" si="33"/>
        <v>163.84913591779542</v>
      </c>
      <c r="C47" s="2706">
        <f t="shared" si="33"/>
        <v>145.0283378746594</v>
      </c>
      <c r="D47" s="2706">
        <f t="shared" si="11"/>
        <v>145.0283378746594</v>
      </c>
      <c r="E47" s="2706">
        <f t="shared" si="34"/>
        <v>204.95180722891567</v>
      </c>
      <c r="F47" s="2706">
        <f t="shared" si="34"/>
        <v>125.95920303605313</v>
      </c>
      <c r="G47" s="3401">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2627</v>
      </c>
      <c r="B48" s="2720">
        <v>159</v>
      </c>
      <c r="C48" s="2720">
        <v>141</v>
      </c>
      <c r="D48" s="2720">
        <f t="shared" si="11"/>
        <v>141</v>
      </c>
      <c r="E48" s="2720">
        <v>195</v>
      </c>
      <c r="F48" s="2721">
        <v>122</v>
      </c>
      <c r="G48" s="3399">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2628</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400">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2629</v>
      </c>
      <c r="B50" s="2706">
        <f t="shared" si="37"/>
        <v>146.57412060301507</v>
      </c>
      <c r="C50" s="2706">
        <f t="shared" si="37"/>
        <v>136.46831955922866</v>
      </c>
      <c r="D50" s="2706">
        <f t="shared" si="11"/>
        <v>136.46831955922866</v>
      </c>
      <c r="E50" s="2706">
        <f t="shared" si="38"/>
        <v>166.73864894795128</v>
      </c>
      <c r="F50" s="2706">
        <f t="shared" si="38"/>
        <v>115.05882352941177</v>
      </c>
      <c r="G50" s="3400">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2630</v>
      </c>
      <c r="B51" s="2706">
        <f t="shared" si="37"/>
        <v>144.04145728643215</v>
      </c>
      <c r="C51" s="2706">
        <f t="shared" si="37"/>
        <v>136.12396694214877</v>
      </c>
      <c r="D51" s="2706">
        <f t="shared" si="11"/>
        <v>136.12396694214877</v>
      </c>
      <c r="E51" s="2706">
        <f t="shared" si="38"/>
        <v>158.32225913621264</v>
      </c>
      <c r="F51" s="2706">
        <f t="shared" si="38"/>
        <v>114.04278074866311</v>
      </c>
      <c r="G51" s="3401">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2631</v>
      </c>
      <c r="B52" s="2720">
        <v>138</v>
      </c>
      <c r="C52" s="2720">
        <v>131</v>
      </c>
      <c r="D52" s="2720">
        <f t="shared" si="11"/>
        <v>131</v>
      </c>
      <c r="E52" s="2720">
        <v>155</v>
      </c>
      <c r="F52" s="2721">
        <v>114</v>
      </c>
      <c r="G52" s="3399">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2632</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400">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2633</v>
      </c>
      <c r="B54" s="2706">
        <f t="shared" si="41"/>
        <v>124.29032258064517</v>
      </c>
      <c r="C54" s="2706">
        <f t="shared" si="41"/>
        <v>123.8968609865471</v>
      </c>
      <c r="D54" s="2706">
        <f t="shared" si="11"/>
        <v>123.8968609865471</v>
      </c>
      <c r="E54" s="2706">
        <f t="shared" si="42"/>
        <v>138.00507614213197</v>
      </c>
      <c r="F54" s="2706">
        <f t="shared" si="42"/>
        <v>107.96106557377048</v>
      </c>
      <c r="G54" s="3400">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2634</v>
      </c>
      <c r="B55" s="2706">
        <f t="shared" si="41"/>
        <v>122.57204301075269</v>
      </c>
      <c r="C55" s="2706">
        <f t="shared" si="41"/>
        <v>123.4932735426009</v>
      </c>
      <c r="D55" s="2706">
        <f t="shared" si="11"/>
        <v>123.4932735426009</v>
      </c>
      <c r="E55" s="2706">
        <f t="shared" si="42"/>
        <v>129.82233502538071</v>
      </c>
      <c r="F55" s="2706">
        <f t="shared" si="42"/>
        <v>107.39446721311475</v>
      </c>
      <c r="G55" s="3401">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2635</v>
      </c>
      <c r="B56" s="2736">
        <v>121</v>
      </c>
      <c r="C56" s="2736">
        <v>122</v>
      </c>
      <c r="D56" s="2736">
        <f t="shared" si="11"/>
        <v>122</v>
      </c>
      <c r="E56" s="2736">
        <v>124</v>
      </c>
      <c r="F56" s="2737">
        <v>107</v>
      </c>
      <c r="G56" s="3399">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2636</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400">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2637</v>
      </c>
      <c r="B58" s="2706">
        <f t="shared" si="45"/>
        <v>116.99099099099099</v>
      </c>
      <c r="C58" s="2706">
        <f t="shared" si="45"/>
        <v>118.84848484848486</v>
      </c>
      <c r="D58" s="2706">
        <f t="shared" si="11"/>
        <v>118.84848484848486</v>
      </c>
      <c r="E58" s="2706">
        <f t="shared" si="46"/>
        <v>117.60960960960961</v>
      </c>
      <c r="F58" s="2706">
        <f t="shared" si="46"/>
        <v>104</v>
      </c>
      <c r="G58" s="3400">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2638</v>
      </c>
      <c r="B59" s="2739">
        <f t="shared" si="45"/>
        <v>112.48648648648648</v>
      </c>
      <c r="C59" s="2739">
        <f t="shared" si="45"/>
        <v>115.21212121212122</v>
      </c>
      <c r="D59" s="2739">
        <f t="shared" si="11"/>
        <v>115.21212121212122</v>
      </c>
      <c r="E59" s="2739">
        <f t="shared" si="46"/>
        <v>110.4024024024024</v>
      </c>
      <c r="F59" s="2739">
        <f t="shared" si="46"/>
        <v>104</v>
      </c>
      <c r="G59" s="3401">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2639</v>
      </c>
      <c r="B60" s="2757">
        <v>111</v>
      </c>
      <c r="C60" s="2757">
        <v>114</v>
      </c>
      <c r="D60" s="2757">
        <f t="shared" si="11"/>
        <v>114</v>
      </c>
      <c r="E60" s="2757">
        <v>108</v>
      </c>
      <c r="F60" s="2758">
        <v>104</v>
      </c>
      <c r="G60" s="3399">
        <v>2003</v>
      </c>
      <c r="H60" s="2747">
        <v>4</v>
      </c>
      <c r="I60" s="2759"/>
      <c r="J60" s="2759"/>
      <c r="K60" s="2759"/>
      <c r="L60" s="2759"/>
      <c r="N60" s="2760"/>
      <c r="O60" s="2759"/>
      <c r="P60" s="2759"/>
      <c r="Q60" s="2759"/>
      <c r="S60" s="2760"/>
      <c r="T60" s="2759"/>
      <c r="U60" s="2759"/>
      <c r="V60" s="2759"/>
      <c r="X60" s="2751"/>
      <c r="Y60" s="2751"/>
      <c r="Z60" s="2751"/>
    </row>
    <row r="61" spans="1:26">
      <c r="A61" s="2691" t="s">
        <v>2640</v>
      </c>
      <c r="B61" s="2761">
        <f t="shared" ref="B61:C63" si="47">B62+(B$60-B$64)/4</f>
        <v>109.75</v>
      </c>
      <c r="C61" s="2761">
        <f t="shared" si="47"/>
        <v>112.25</v>
      </c>
      <c r="D61" s="2761">
        <f t="shared" si="11"/>
        <v>112.25</v>
      </c>
      <c r="E61" s="2761">
        <f t="shared" ref="E61:F63" si="48">E62+(E$60-E$64)/4</f>
        <v>107.25</v>
      </c>
      <c r="F61" s="2761">
        <f t="shared" si="48"/>
        <v>103.5</v>
      </c>
      <c r="G61" s="3400">
        <v>2003</v>
      </c>
      <c r="H61" s="2717">
        <v>3</v>
      </c>
      <c r="I61" s="2759"/>
      <c r="J61" s="2759"/>
      <c r="K61" s="2759"/>
      <c r="L61" s="2759"/>
      <c r="X61" s="2751"/>
      <c r="Y61" s="2751"/>
      <c r="Z61" s="2751"/>
    </row>
    <row r="62" spans="1:26">
      <c r="A62" s="2691" t="s">
        <v>2641</v>
      </c>
      <c r="B62" s="2761">
        <f t="shared" si="47"/>
        <v>108.5</v>
      </c>
      <c r="C62" s="2761">
        <f t="shared" si="47"/>
        <v>110.5</v>
      </c>
      <c r="D62" s="2761">
        <f t="shared" si="11"/>
        <v>110.5</v>
      </c>
      <c r="E62" s="2761">
        <f t="shared" si="48"/>
        <v>106.5</v>
      </c>
      <c r="F62" s="2761">
        <f t="shared" si="48"/>
        <v>103</v>
      </c>
      <c r="G62" s="3400">
        <v>2003</v>
      </c>
      <c r="H62" s="2697">
        <v>2</v>
      </c>
      <c r="I62" s="2759"/>
      <c r="J62" s="2759"/>
      <c r="K62" s="2759"/>
      <c r="L62" s="2759"/>
      <c r="X62" s="2751"/>
      <c r="Y62" s="2751"/>
      <c r="Z62" s="2751"/>
    </row>
    <row r="63" spans="1:26" ht="13.5" thickBot="1">
      <c r="A63" s="2691" t="s">
        <v>2642</v>
      </c>
      <c r="B63" s="2761">
        <f t="shared" si="47"/>
        <v>107.25</v>
      </c>
      <c r="C63" s="2761">
        <f t="shared" si="47"/>
        <v>108.75</v>
      </c>
      <c r="D63" s="2761">
        <f t="shared" si="11"/>
        <v>108.75</v>
      </c>
      <c r="E63" s="2761">
        <f t="shared" si="48"/>
        <v>105.75</v>
      </c>
      <c r="F63" s="2761">
        <f t="shared" si="48"/>
        <v>102.5</v>
      </c>
      <c r="G63" s="3401">
        <v>2003</v>
      </c>
      <c r="H63" s="2762">
        <v>1</v>
      </c>
      <c r="I63" s="2759"/>
      <c r="J63" s="2759"/>
      <c r="K63" s="2759"/>
      <c r="L63" s="2759"/>
      <c r="S63" s="2701"/>
      <c r="T63" s="2702"/>
      <c r="U63" s="2702"/>
      <c r="X63" s="2751"/>
      <c r="Y63" s="2751"/>
      <c r="Z63" s="2751"/>
    </row>
    <row r="64" spans="1:26" ht="13.5" thickBot="1">
      <c r="A64" s="2691" t="s">
        <v>2643</v>
      </c>
      <c r="B64" s="2763">
        <v>106</v>
      </c>
      <c r="C64" s="2763">
        <v>107</v>
      </c>
      <c r="D64" s="2763">
        <f t="shared" si="11"/>
        <v>107</v>
      </c>
      <c r="E64" s="2763">
        <v>105</v>
      </c>
      <c r="F64" s="2764">
        <v>102</v>
      </c>
      <c r="G64" s="3399">
        <v>2002</v>
      </c>
      <c r="H64" s="2712">
        <v>4</v>
      </c>
      <c r="I64" s="2759"/>
      <c r="J64" s="2759"/>
      <c r="K64" s="2759"/>
      <c r="L64" s="2759"/>
      <c r="N64" s="2760"/>
      <c r="O64" s="2759"/>
      <c r="P64" s="2759"/>
      <c r="Q64" s="2759"/>
      <c r="S64" s="2760"/>
      <c r="T64" s="2759"/>
      <c r="U64" s="2759"/>
      <c r="V64" s="2759"/>
      <c r="X64" s="2751"/>
      <c r="Y64" s="2751"/>
      <c r="Z64" s="2751"/>
    </row>
    <row r="65" spans="1:26">
      <c r="A65" s="2691" t="s">
        <v>2644</v>
      </c>
      <c r="B65" s="2761">
        <f t="shared" ref="B65:C67" si="49">B66+(B$64-B$68)/4</f>
        <v>105</v>
      </c>
      <c r="C65" s="2761">
        <f t="shared" si="49"/>
        <v>106</v>
      </c>
      <c r="D65" s="2761">
        <f t="shared" si="11"/>
        <v>106</v>
      </c>
      <c r="E65" s="2761">
        <f t="shared" ref="E65:F67" si="50">E66+(E$64-E$68)/4</f>
        <v>104.5</v>
      </c>
      <c r="F65" s="2761">
        <f t="shared" si="50"/>
        <v>101.5</v>
      </c>
      <c r="G65" s="3400">
        <v>2002</v>
      </c>
      <c r="H65" s="2717">
        <v>3</v>
      </c>
      <c r="I65" s="2759"/>
      <c r="J65" s="2759"/>
      <c r="K65" s="2759"/>
      <c r="L65" s="2759"/>
      <c r="X65" s="2751"/>
      <c r="Y65" s="2751"/>
      <c r="Z65" s="2751"/>
    </row>
    <row r="66" spans="1:26">
      <c r="A66" s="2691" t="s">
        <v>2645</v>
      </c>
      <c r="B66" s="2761">
        <f t="shared" si="49"/>
        <v>104</v>
      </c>
      <c r="C66" s="2761">
        <f t="shared" si="49"/>
        <v>105</v>
      </c>
      <c r="D66" s="2761">
        <f t="shared" si="11"/>
        <v>105</v>
      </c>
      <c r="E66" s="2761">
        <f t="shared" si="50"/>
        <v>104</v>
      </c>
      <c r="F66" s="2761">
        <f t="shared" si="50"/>
        <v>101</v>
      </c>
      <c r="G66" s="3400">
        <v>2002</v>
      </c>
      <c r="H66" s="2697">
        <v>2</v>
      </c>
      <c r="I66" s="2759"/>
      <c r="J66" s="2759"/>
      <c r="K66" s="2759"/>
      <c r="L66" s="2759"/>
      <c r="X66" s="2751"/>
      <c r="Y66" s="2751"/>
      <c r="Z66" s="2751"/>
    </row>
    <row r="67" spans="1:26" s="2728" customFormat="1" ht="13.5" thickBot="1">
      <c r="A67" s="2724" t="s">
        <v>2646</v>
      </c>
      <c r="B67" s="2765">
        <f t="shared" si="49"/>
        <v>103</v>
      </c>
      <c r="C67" s="2765">
        <f t="shared" si="49"/>
        <v>104</v>
      </c>
      <c r="D67" s="2765">
        <f t="shared" si="11"/>
        <v>104</v>
      </c>
      <c r="E67" s="2765">
        <f t="shared" si="50"/>
        <v>103.5</v>
      </c>
      <c r="F67" s="2765">
        <f t="shared" si="50"/>
        <v>100.5</v>
      </c>
      <c r="G67" s="3401">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2647</v>
      </c>
      <c r="G70" s="2775"/>
      <c r="N70" s="2775"/>
      <c r="S70" s="2775"/>
    </row>
    <row r="71" spans="1:26" s="2774" customFormat="1">
      <c r="A71" s="2774" t="s">
        <v>2648</v>
      </c>
      <c r="G71" s="2775"/>
      <c r="N71" s="2775"/>
      <c r="S71" s="2775"/>
    </row>
    <row r="72" spans="1:26" s="2774" customFormat="1">
      <c r="A72" s="2774" t="s">
        <v>2649</v>
      </c>
      <c r="G72" s="2775"/>
      <c r="I72" s="2776"/>
      <c r="J72" s="2776"/>
      <c r="K72" s="2776"/>
      <c r="L72" s="2776"/>
      <c r="N72" s="2777"/>
      <c r="O72" s="2776"/>
      <c r="P72" s="2776"/>
      <c r="Q72" s="2776"/>
      <c r="S72" s="2777"/>
      <c r="T72" s="2776"/>
      <c r="U72" s="2776"/>
      <c r="V72" s="2776"/>
    </row>
    <row r="73" spans="1:26" s="2774" customFormat="1">
      <c r="A73" s="2774" t="s">
        <v>2650</v>
      </c>
      <c r="G73" s="2775"/>
      <c r="N73" s="2775"/>
      <c r="S73" s="2775"/>
    </row>
    <row r="80" spans="1:26" ht="13.5" thickBot="1"/>
    <row r="81" spans="14:22" s="2700" customFormat="1">
      <c r="N81" s="2716"/>
      <c r="S81" s="2778" t="s">
        <v>2651</v>
      </c>
      <c r="T81" s="2779" t="s">
        <v>2652</v>
      </c>
      <c r="U81" s="2779" t="s">
        <v>2653</v>
      </c>
      <c r="V81" s="2779" t="s">
        <v>2654</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2471</v>
      </c>
      <c r="C7" s="53">
        <f ca="1">C8+C12+C14</f>
        <v>0</v>
      </c>
      <c r="D7" s="2531" t="s">
        <v>2474</v>
      </c>
      <c r="E7" s="2525"/>
      <c r="F7" s="2526"/>
      <c r="G7" s="1597"/>
      <c r="H7" s="784">
        <v>1</v>
      </c>
      <c r="I7" s="785" t="s">
        <v>2471</v>
      </c>
      <c r="J7" s="53">
        <f ca="1">J8+J12+J14</f>
        <v>0</v>
      </c>
      <c r="K7" s="2531" t="s">
        <v>2474</v>
      </c>
      <c r="L7" s="2525"/>
      <c r="M7" s="2526"/>
    </row>
    <row r="8" spans="1:25" ht="18" customHeight="1">
      <c r="A8" s="1836" t="s">
        <v>1829</v>
      </c>
      <c r="B8" s="3410" t="s">
        <v>2476</v>
      </c>
      <c r="C8" s="1831">
        <f ca="1">ROUND(F8*F10*F9*(1-F11)/10000,0)</f>
        <v>0</v>
      </c>
      <c r="D8" s="1828" t="s">
        <v>2548</v>
      </c>
      <c r="E8" s="61" t="s">
        <v>638</v>
      </c>
      <c r="F8" s="788">
        <f ca="1">INDIRECT("'数据-取费表'!u"&amp;$G$1)</f>
        <v>0</v>
      </c>
      <c r="G8" s="1597"/>
      <c r="H8" s="2539" t="s">
        <v>1829</v>
      </c>
      <c r="I8" s="3410" t="s">
        <v>2476</v>
      </c>
      <c r="J8" s="786">
        <f ca="1">ROUND(M8*M10*M9*(1-M11)/10000,0)</f>
        <v>0</v>
      </c>
      <c r="K8" s="344" t="s">
        <v>2548</v>
      </c>
      <c r="L8" s="787" t="s">
        <v>1742</v>
      </c>
      <c r="M8" s="788">
        <f ca="1">INDIRECT("'数据-取费表'!z"&amp;$G$1)</f>
        <v>0</v>
      </c>
    </row>
    <row r="9" spans="1:25" ht="18" customHeight="1">
      <c r="A9" s="2535"/>
      <c r="B9" s="3411"/>
      <c r="C9" s="1832"/>
      <c r="D9" s="1829"/>
      <c r="E9" s="61" t="s">
        <v>639</v>
      </c>
      <c r="F9" s="788">
        <f ca="1">IF(INDIRECT("'数据-取费表'!ah"&amp;$G$1)="",INDIRECT("'数据-取费表'!k"&amp;$G$1),INDIRECT("'数据-取费表'!ah"&amp;$G$1))</f>
        <v>0</v>
      </c>
      <c r="G9" s="1597"/>
      <c r="H9" s="2524"/>
      <c r="I9" s="3411"/>
      <c r="J9" s="791"/>
      <c r="K9" s="792"/>
      <c r="L9" s="787" t="s">
        <v>1743</v>
      </c>
      <c r="M9" s="788">
        <f ca="1">F9</f>
        <v>0</v>
      </c>
    </row>
    <row r="10" spans="1:25" ht="18" customHeight="1">
      <c r="A10" s="2528"/>
      <c r="B10" s="3412"/>
      <c r="C10" s="1832"/>
      <c r="D10" s="1829"/>
      <c r="E10" s="61" t="s">
        <v>640</v>
      </c>
      <c r="F10" s="788">
        <f ca="1">INDIRECT("'数据-取费表'!ai"&amp;$G$1)</f>
        <v>0</v>
      </c>
      <c r="G10" s="1597"/>
      <c r="H10" s="2524"/>
      <c r="I10" s="3412"/>
      <c r="J10" s="791"/>
      <c r="K10" s="792"/>
      <c r="L10" s="787" t="s">
        <v>1744</v>
      </c>
      <c r="M10" s="788">
        <f ca="1">INDIRECT("'数据-取费表'!ai"&amp;$G$1)</f>
        <v>0</v>
      </c>
    </row>
    <row r="11" spans="1:25" ht="18" customHeight="1">
      <c r="A11" s="789"/>
      <c r="B11" s="3413"/>
      <c r="C11" s="1832"/>
      <c r="D11" s="1829"/>
      <c r="E11" s="61" t="s">
        <v>641</v>
      </c>
      <c r="F11" s="797">
        <f ca="1">INDIRECT("'数据-取费表'!w"&amp;$G$1)</f>
        <v>0</v>
      </c>
      <c r="G11" s="1597"/>
      <c r="H11" s="2540"/>
      <c r="I11" s="3412"/>
      <c r="J11" s="791"/>
      <c r="K11" s="792"/>
      <c r="L11" s="798" t="s">
        <v>1745</v>
      </c>
      <c r="M11" s="799">
        <f ca="1">INDIRECT("'数据-取费表'!ab"&amp;$G$1)</f>
        <v>0</v>
      </c>
    </row>
    <row r="12" spans="1:25" ht="18" customHeight="1">
      <c r="A12" s="1836" t="s">
        <v>1830</v>
      </c>
      <c r="B12" s="2529" t="s">
        <v>2472</v>
      </c>
      <c r="C12" s="802">
        <f ca="1">ROUND(IF(F12="押一",F8*F10*F9/12*F13,IF(F12="押二",F8*F10*F9/12*2*F13,IF(F12="押三",F8*F10*F9/12*3*F13,C13*F13)))/10000,0)</f>
        <v>0</v>
      </c>
      <c r="D12" s="2536" t="s">
        <v>2479</v>
      </c>
      <c r="E12" s="2533" t="s">
        <v>2477</v>
      </c>
      <c r="F12" s="2656"/>
      <c r="G12" s="1597"/>
      <c r="H12" s="2596" t="s">
        <v>1830</v>
      </c>
      <c r="I12" s="2601" t="s">
        <v>2472</v>
      </c>
      <c r="J12" s="786">
        <f ca="1">ROUND(IF(M12="押一",M8*M10*M9/12*M13,IF(M12="押二",M8*M10*M9/12*2*M13,IF(M12="押三",M8*M10*M9/12*3*M13,J13*M13)))/10000,0)</f>
        <v>0</v>
      </c>
      <c r="K12" s="2536" t="s">
        <v>2479</v>
      </c>
      <c r="L12" s="2533" t="s">
        <v>2477</v>
      </c>
      <c r="M12" s="2656"/>
    </row>
    <row r="13" spans="1:25" ht="18" customHeight="1">
      <c r="A13" s="793"/>
      <c r="B13" s="2530" t="s">
        <v>2587</v>
      </c>
      <c r="C13" s="2534"/>
      <c r="D13" s="792"/>
      <c r="E13" s="2533" t="s">
        <v>2469</v>
      </c>
      <c r="F13" s="799">
        <f ca="1">'数据-取费表'!B39</f>
        <v>1.4999999999999999E-2</v>
      </c>
      <c r="G13" s="1597"/>
      <c r="H13" s="2597"/>
      <c r="I13" s="2530" t="s">
        <v>2587</v>
      </c>
      <c r="J13" s="2534"/>
      <c r="K13" s="2598"/>
      <c r="L13" s="2533" t="s">
        <v>2469</v>
      </c>
      <c r="M13" s="2527">
        <f ca="1">'数据-取费表'!B39</f>
        <v>1.4999999999999999E-2</v>
      </c>
    </row>
    <row r="14" spans="1:25" ht="18" customHeight="1" thickBot="1">
      <c r="A14" s="2572" t="s">
        <v>2481</v>
      </c>
      <c r="B14" s="2573" t="s">
        <v>2473</v>
      </c>
      <c r="C14" s="2574"/>
      <c r="D14" s="2575"/>
      <c r="E14" s="2576"/>
      <c r="F14" s="2577"/>
      <c r="G14" s="1597"/>
      <c r="H14" s="2586" t="s">
        <v>2481</v>
      </c>
      <c r="I14" s="2599" t="s">
        <v>2473</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2079</v>
      </c>
      <c r="I16" s="2241" t="s">
        <v>2842</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1.4999999999999999E-2</v>
      </c>
      <c r="G22" s="1598"/>
      <c r="H22" s="1838" t="s">
        <v>1855</v>
      </c>
      <c r="I22" s="1828" t="s">
        <v>669</v>
      </c>
      <c r="J22" s="54">
        <f ca="1">ROUND(M22*M23/10000,0)</f>
        <v>0</v>
      </c>
      <c r="K22" s="817" t="s">
        <v>670</v>
      </c>
      <c r="L22" s="787" t="s">
        <v>671</v>
      </c>
      <c r="M22" s="643">
        <f>'数据-取费表'!B52</f>
        <v>8</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1.4999999999999999E-2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2080</v>
      </c>
      <c r="I24" s="787" t="s">
        <v>677</v>
      </c>
      <c r="J24" s="53">
        <f ca="1">ROUND(J16*M24,0)</f>
        <v>0</v>
      </c>
      <c r="K24" s="1983" t="s">
        <v>678</v>
      </c>
      <c r="L24" s="787" t="s">
        <v>650</v>
      </c>
      <c r="M24" s="820">
        <f ca="1">INDIRECT("'数据-取费表'!Ak"&amp;$G$1)</f>
        <v>0</v>
      </c>
    </row>
    <row r="25" spans="1:25" s="2071" customFormat="1" ht="18" customHeight="1">
      <c r="A25" s="806" t="s">
        <v>1880</v>
      </c>
      <c r="B25" s="787" t="s">
        <v>2449</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2.5</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8.9999999999999998E-4</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2839</v>
      </c>
      <c r="J27" s="802">
        <f ca="1">J7-J18</f>
        <v>0</v>
      </c>
      <c r="K27" s="1985" t="s">
        <v>702</v>
      </c>
      <c r="L27" s="1987"/>
      <c r="M27" s="823"/>
    </row>
    <row r="28" spans="1:25" ht="18" customHeight="1">
      <c r="A28" s="806" t="s">
        <v>1880</v>
      </c>
      <c r="B28" s="787" t="s">
        <v>2450</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2840</v>
      </c>
      <c r="C31" s="2579">
        <f ca="1">ROUND((C21+C22+C25+C28)/(1-F23-C26-C29-C30),0)</f>
        <v>0</v>
      </c>
      <c r="D31" s="2580"/>
      <c r="E31" s="2581"/>
      <c r="F31" s="2582"/>
      <c r="G31" s="1598"/>
      <c r="H31" s="826" t="s">
        <v>1877</v>
      </c>
      <c r="I31" s="3051" t="s">
        <v>2841</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8</v>
      </c>
      <c r="G36" s="2069"/>
      <c r="H36" s="2072"/>
      <c r="I36" s="3409"/>
      <c r="J36" s="2086"/>
      <c r="K36" s="2087"/>
      <c r="L36" s="2086"/>
      <c r="M36" s="2086"/>
    </row>
    <row r="37" spans="1:13" ht="18" customHeight="1">
      <c r="A37" s="818"/>
      <c r="B37" s="796"/>
      <c r="C37" s="69"/>
      <c r="D37" s="819"/>
      <c r="E37" s="787" t="s">
        <v>675</v>
      </c>
      <c r="F37" s="788">
        <f ca="1">INDIRECT("'数据-取费表'!r"&amp;$G$1)</f>
        <v>0</v>
      </c>
      <c r="G37" s="2069"/>
      <c r="H37" s="2072"/>
      <c r="I37" s="3409"/>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4" t="s">
        <v>2485</v>
      </c>
      <c r="B1" s="3415"/>
      <c r="C1" s="3416"/>
      <c r="D1" s="3417">
        <f>SUM(I10,I15,I20,I21,I23)</f>
        <v>0</v>
      </c>
      <c r="E1" s="3417"/>
      <c r="F1" s="3417"/>
      <c r="G1" s="3417"/>
      <c r="H1" s="3417"/>
      <c r="I1" s="3418"/>
    </row>
    <row r="2" spans="1:9">
      <c r="A2" s="3419" t="s">
        <v>2486</v>
      </c>
      <c r="B2" s="3420" t="s">
        <v>2487</v>
      </c>
      <c r="C2" s="3420"/>
      <c r="D2" s="2542" t="s">
        <v>2488</v>
      </c>
      <c r="E2" s="2542" t="s">
        <v>2489</v>
      </c>
      <c r="F2" s="2542" t="s">
        <v>2490</v>
      </c>
      <c r="G2" s="2542" t="s">
        <v>2491</v>
      </c>
      <c r="H2" s="2542" t="s">
        <v>2492</v>
      </c>
      <c r="I2" s="2543" t="s">
        <v>2493</v>
      </c>
    </row>
    <row r="3" spans="1:9">
      <c r="A3" s="3419"/>
      <c r="B3" s="3420" t="s">
        <v>2494</v>
      </c>
      <c r="C3" s="3420"/>
      <c r="D3" s="2544"/>
      <c r="E3" s="2542"/>
      <c r="F3" s="2545"/>
      <c r="G3" s="2545"/>
      <c r="H3" s="2546"/>
      <c r="I3" s="2547">
        <f>ROUND(D3*E3*F3*G3*H3/10000,0)</f>
        <v>0</v>
      </c>
    </row>
    <row r="4" spans="1:9">
      <c r="A4" s="3419"/>
      <c r="B4" s="3420" t="s">
        <v>2495</v>
      </c>
      <c r="C4" s="3420"/>
      <c r="D4" s="2544"/>
      <c r="E4" s="2542"/>
      <c r="F4" s="2545"/>
      <c r="G4" s="2545"/>
      <c r="H4" s="2546"/>
      <c r="I4" s="2547">
        <f t="shared" ref="I4:I9" si="0">ROUND(D4*E4*F4*G4*H4/10000,0)</f>
        <v>0</v>
      </c>
    </row>
    <row r="5" spans="1:9">
      <c r="A5" s="3419"/>
      <c r="B5" s="3420" t="s">
        <v>2496</v>
      </c>
      <c r="C5" s="3420"/>
      <c r="D5" s="2544"/>
      <c r="E5" s="2542"/>
      <c r="F5" s="2545"/>
      <c r="G5" s="2545"/>
      <c r="H5" s="2546"/>
      <c r="I5" s="2547">
        <f t="shared" si="0"/>
        <v>0</v>
      </c>
    </row>
    <row r="6" spans="1:9">
      <c r="A6" s="3419"/>
      <c r="B6" s="3420" t="s">
        <v>2497</v>
      </c>
      <c r="C6" s="3420"/>
      <c r="D6" s="2544"/>
      <c r="E6" s="2542"/>
      <c r="F6" s="2545"/>
      <c r="G6" s="2545"/>
      <c r="H6" s="2546"/>
      <c r="I6" s="2547">
        <f t="shared" si="0"/>
        <v>0</v>
      </c>
    </row>
    <row r="7" spans="1:9">
      <c r="A7" s="3419"/>
      <c r="B7" s="3420" t="s">
        <v>2498</v>
      </c>
      <c r="C7" s="3420"/>
      <c r="D7" s="2544"/>
      <c r="E7" s="2542"/>
      <c r="F7" s="2545"/>
      <c r="G7" s="2545"/>
      <c r="H7" s="2546"/>
      <c r="I7" s="2547">
        <f t="shared" si="0"/>
        <v>0</v>
      </c>
    </row>
    <row r="8" spans="1:9">
      <c r="A8" s="3419"/>
      <c r="B8" s="3420" t="s">
        <v>2499</v>
      </c>
      <c r="C8" s="3420"/>
      <c r="D8" s="2544"/>
      <c r="E8" s="2542"/>
      <c r="F8" s="2545"/>
      <c r="G8" s="2545"/>
      <c r="H8" s="2546"/>
      <c r="I8" s="2547">
        <f t="shared" si="0"/>
        <v>0</v>
      </c>
    </row>
    <row r="9" spans="1:9">
      <c r="A9" s="3419"/>
      <c r="B9" s="3420" t="s">
        <v>2500</v>
      </c>
      <c r="C9" s="3420"/>
      <c r="D9" s="2544"/>
      <c r="E9" s="2542"/>
      <c r="F9" s="2545"/>
      <c r="G9" s="2545"/>
      <c r="H9" s="2546"/>
      <c r="I9" s="2547">
        <f t="shared" si="0"/>
        <v>0</v>
      </c>
    </row>
    <row r="10" spans="1:9">
      <c r="A10" s="3419"/>
      <c r="B10" s="3421" t="s">
        <v>2501</v>
      </c>
      <c r="C10" s="3421"/>
      <c r="D10" s="2548">
        <v>527</v>
      </c>
      <c r="E10" s="2548" t="e">
        <f>ROUND(D1*10000/D10/H9,0)</f>
        <v>#DIV/0!</v>
      </c>
      <c r="F10" s="2549"/>
      <c r="G10" s="2549"/>
      <c r="H10" s="2550"/>
      <c r="I10" s="2551">
        <f>SUM(I3:I9)</f>
        <v>0</v>
      </c>
    </row>
    <row r="11" spans="1:9" ht="14.25">
      <c r="A11" s="3419" t="s">
        <v>2502</v>
      </c>
      <c r="B11" s="3420" t="s">
        <v>2503</v>
      </c>
      <c r="C11" s="3420"/>
      <c r="D11" s="2544" t="s">
        <v>2504</v>
      </c>
      <c r="E11" s="2544" t="s">
        <v>2505</v>
      </c>
      <c r="F11" s="2545" t="s">
        <v>2506</v>
      </c>
      <c r="G11" s="2545" t="s">
        <v>2507</v>
      </c>
      <c r="H11" s="2552" t="s">
        <v>2508</v>
      </c>
      <c r="I11" s="2543" t="s">
        <v>2509</v>
      </c>
    </row>
    <row r="12" spans="1:9">
      <c r="A12" s="3419"/>
      <c r="B12" s="3420" t="s">
        <v>2510</v>
      </c>
      <c r="C12" s="3420"/>
      <c r="D12" s="2544"/>
      <c r="E12" s="2544"/>
      <c r="F12" s="2545"/>
      <c r="G12" s="2546"/>
      <c r="H12" s="2553"/>
      <c r="I12" s="2543">
        <f>ROUND(D12*E12*F12*G12/10000,0)</f>
        <v>0</v>
      </c>
    </row>
    <row r="13" spans="1:9">
      <c r="A13" s="3419"/>
      <c r="B13" s="3420" t="s">
        <v>2511</v>
      </c>
      <c r="C13" s="3420"/>
      <c r="D13" s="2544"/>
      <c r="E13" s="2544"/>
      <c r="F13" s="2545"/>
      <c r="G13" s="2546"/>
      <c r="H13" s="2553"/>
      <c r="I13" s="2543">
        <f>ROUND(D13*E13*F13*G13/10000,0)</f>
        <v>0</v>
      </c>
    </row>
    <row r="14" spans="1:9">
      <c r="A14" s="3419"/>
      <c r="B14" s="3420" t="s">
        <v>2512</v>
      </c>
      <c r="C14" s="3420"/>
      <c r="D14" s="2544"/>
      <c r="E14" s="2544"/>
      <c r="F14" s="2545"/>
      <c r="G14" s="2546"/>
      <c r="H14" s="2553"/>
      <c r="I14" s="2543">
        <f>ROUND(D14*E14*F14*G14/10000,0)</f>
        <v>0</v>
      </c>
    </row>
    <row r="15" spans="1:9">
      <c r="A15" s="3419"/>
      <c r="B15" s="3421" t="s">
        <v>2501</v>
      </c>
      <c r="C15" s="3421"/>
      <c r="D15" s="2548"/>
      <c r="E15" s="2548">
        <f>SUM(E12:E14)</f>
        <v>0</v>
      </c>
      <c r="F15" s="2549"/>
      <c r="G15" s="2546"/>
      <c r="H15" s="2553"/>
      <c r="I15" s="2554">
        <f>SUM(I12:I14)</f>
        <v>0</v>
      </c>
    </row>
    <row r="16" spans="1:9" ht="24">
      <c r="A16" s="3419" t="s">
        <v>2513</v>
      </c>
      <c r="B16" s="3420" t="s">
        <v>2514</v>
      </c>
      <c r="C16" s="3420"/>
      <c r="D16" s="2544" t="s">
        <v>2515</v>
      </c>
      <c r="E16" s="2555" t="s">
        <v>2516</v>
      </c>
      <c r="F16" s="2545" t="s">
        <v>2517</v>
      </c>
      <c r="G16" s="2546" t="s">
        <v>2507</v>
      </c>
      <c r="H16" s="2552" t="s">
        <v>2508</v>
      </c>
      <c r="I16" s="2543" t="s">
        <v>2509</v>
      </c>
    </row>
    <row r="17" spans="1:9" ht="14.25">
      <c r="A17" s="3419"/>
      <c r="B17" s="3420" t="s">
        <v>2518</v>
      </c>
      <c r="C17" s="3420"/>
      <c r="D17" s="2544"/>
      <c r="E17" s="2544"/>
      <c r="F17" s="2545"/>
      <c r="G17" s="2546"/>
      <c r="H17" s="2556"/>
      <c r="I17" s="2557">
        <f>ROUND(D17*E17*F17*G17/10000,0)</f>
        <v>0</v>
      </c>
    </row>
    <row r="18" spans="1:9" ht="14.25">
      <c r="A18" s="3419"/>
      <c r="B18" s="3420" t="s">
        <v>2519</v>
      </c>
      <c r="C18" s="3420"/>
      <c r="D18" s="2544"/>
      <c r="E18" s="2544"/>
      <c r="F18" s="2545"/>
      <c r="G18" s="2546"/>
      <c r="H18" s="2556"/>
      <c r="I18" s="2557">
        <f>ROUND(D18*E18*F18*G18/10000,0)</f>
        <v>0</v>
      </c>
    </row>
    <row r="19" spans="1:9" ht="14.25">
      <c r="A19" s="3419"/>
      <c r="B19" s="3420" t="s">
        <v>2520</v>
      </c>
      <c r="C19" s="3420"/>
      <c r="D19" s="2544"/>
      <c r="E19" s="2544"/>
      <c r="F19" s="2545"/>
      <c r="G19" s="2546"/>
      <c r="H19" s="2556"/>
      <c r="I19" s="2557">
        <f>ROUND(D19*E19*F19*G19/10000,0)</f>
        <v>0</v>
      </c>
    </row>
    <row r="20" spans="1:9">
      <c r="A20" s="3419"/>
      <c r="B20" s="3421" t="s">
        <v>2501</v>
      </c>
      <c r="C20" s="3421"/>
      <c r="D20" s="2548">
        <f>SUM(D17:D19)</f>
        <v>0</v>
      </c>
      <c r="E20" s="2548"/>
      <c r="F20" s="2549"/>
      <c r="G20" s="2546"/>
      <c r="H20" s="2553"/>
      <c r="I20" s="2554">
        <f>SUM(I17:I19)</f>
        <v>0</v>
      </c>
    </row>
    <row r="21" spans="1:9">
      <c r="A21" s="3419" t="s">
        <v>2521</v>
      </c>
      <c r="B21" s="3423"/>
      <c r="C21" s="3423"/>
      <c r="D21" s="3423"/>
      <c r="E21" s="3423"/>
      <c r="F21" s="3423"/>
      <c r="G21" s="3423"/>
      <c r="H21" s="2558">
        <v>0.1</v>
      </c>
      <c r="I21" s="2551">
        <f>ROUND(I10*H21,0)</f>
        <v>0</v>
      </c>
    </row>
    <row r="22" spans="1:9" ht="14.25">
      <c r="A22" s="3424" t="s">
        <v>2522</v>
      </c>
      <c r="B22" s="3425"/>
      <c r="C22" s="3426"/>
      <c r="D22" s="2559" t="s">
        <v>2523</v>
      </c>
      <c r="E22" s="2559" t="s">
        <v>2524</v>
      </c>
      <c r="F22" s="2560" t="s">
        <v>2525</v>
      </c>
      <c r="G22" s="2560" t="s">
        <v>2526</v>
      </c>
      <c r="H22" s="2552" t="s">
        <v>2527</v>
      </c>
      <c r="I22" s="2543" t="s">
        <v>2528</v>
      </c>
    </row>
    <row r="23" spans="1:9" ht="14.25" thickBot="1">
      <c r="A23" s="3427"/>
      <c r="B23" s="3428"/>
      <c r="C23" s="3429"/>
      <c r="D23" s="2561"/>
      <c r="E23" s="2561"/>
      <c r="F23" s="2561"/>
      <c r="G23" s="2562"/>
      <c r="H23" s="2563"/>
      <c r="I23" s="2564">
        <f>ROUND(E23*D23*F23*(1-G23)/10000,0)</f>
        <v>0</v>
      </c>
    </row>
    <row r="26" spans="1:9">
      <c r="A26" s="2565" t="s">
        <v>2529</v>
      </c>
      <c r="B26" s="2565"/>
      <c r="C26" s="2565"/>
      <c r="D26" s="2565"/>
      <c r="E26" s="3430">
        <f>C27-C30-C31-C32</f>
        <v>0</v>
      </c>
      <c r="F26" s="3430"/>
      <c r="G26" s="3430"/>
      <c r="H26" s="3083" t="s">
        <v>2860</v>
      </c>
    </row>
    <row r="27" spans="1:9">
      <c r="A27" s="2566">
        <v>1</v>
      </c>
      <c r="B27" s="2567" t="s">
        <v>2530</v>
      </c>
      <c r="C27" s="2567"/>
      <c r="D27" s="2567"/>
      <c r="E27" s="3431"/>
      <c r="F27" s="3431"/>
      <c r="G27" s="3431"/>
    </row>
    <row r="28" spans="1:9">
      <c r="A28" s="2568" t="s">
        <v>2531</v>
      </c>
      <c r="B28" s="2567" t="s">
        <v>2532</v>
      </c>
      <c r="C28" s="2567"/>
      <c r="D28" s="2567"/>
      <c r="E28" s="3431"/>
      <c r="F28" s="3431"/>
      <c r="G28" s="3431"/>
    </row>
    <row r="29" spans="1:9">
      <c r="A29" s="2568" t="s">
        <v>2533</v>
      </c>
      <c r="B29" s="2567" t="s">
        <v>2473</v>
      </c>
      <c r="C29" s="2567"/>
      <c r="D29" s="2567"/>
      <c r="E29" s="2567" t="s">
        <v>2534</v>
      </c>
      <c r="F29" s="2567"/>
      <c r="G29" s="2567"/>
    </row>
    <row r="30" spans="1:9">
      <c r="A30" s="2566">
        <v>2</v>
      </c>
      <c r="B30" s="2567" t="s">
        <v>2535</v>
      </c>
      <c r="C30" s="2567">
        <f>C27*D30</f>
        <v>0</v>
      </c>
      <c r="D30" s="2569">
        <v>0.2</v>
      </c>
      <c r="E30" s="2567" t="s">
        <v>2536</v>
      </c>
      <c r="F30" s="2567"/>
      <c r="G30" s="2567"/>
    </row>
    <row r="31" spans="1:9">
      <c r="A31" s="2566">
        <v>3</v>
      </c>
      <c r="B31" s="2567" t="s">
        <v>2537</v>
      </c>
      <c r="C31" s="2567">
        <f>C25*D31</f>
        <v>0</v>
      </c>
      <c r="D31" s="2569">
        <v>0.15</v>
      </c>
      <c r="E31" s="2567" t="s">
        <v>2538</v>
      </c>
      <c r="F31" s="2567"/>
      <c r="G31" s="2567"/>
    </row>
    <row r="32" spans="1:9">
      <c r="A32" s="2566">
        <v>4</v>
      </c>
      <c r="B32" s="2567" t="s">
        <v>2539</v>
      </c>
      <c r="C32" s="2567">
        <f>C27*D32</f>
        <v>0</v>
      </c>
      <c r="D32" s="2569">
        <v>0.05</v>
      </c>
      <c r="E32" s="3422"/>
      <c r="F32" s="3422"/>
      <c r="G32" s="3422"/>
    </row>
    <row r="33" spans="1:7" hidden="1">
      <c r="A33" s="3432" t="s">
        <v>2540</v>
      </c>
      <c r="B33" s="3433"/>
      <c r="C33" s="3433"/>
      <c r="D33" s="3434"/>
      <c r="E33" s="3430"/>
      <c r="F33" s="3430"/>
      <c r="G33" s="3430"/>
    </row>
    <row r="34" spans="1:7" hidden="1">
      <c r="A34" s="2570">
        <v>1</v>
      </c>
      <c r="B34" s="2567" t="s">
        <v>2541</v>
      </c>
      <c r="C34" s="2567"/>
      <c r="D34" s="2567"/>
      <c r="E34" s="3431"/>
      <c r="F34" s="3431"/>
      <c r="G34" s="3431"/>
    </row>
    <row r="35" spans="1:7" hidden="1">
      <c r="A35" s="2570">
        <v>2</v>
      </c>
      <c r="B35" s="2567" t="s">
        <v>2542</v>
      </c>
      <c r="C35" s="2567"/>
      <c r="D35" s="2567"/>
      <c r="E35" s="3431"/>
      <c r="F35" s="3431"/>
      <c r="G35" s="3431"/>
    </row>
    <row r="36" spans="1:7" hidden="1">
      <c r="A36" s="2570">
        <v>3</v>
      </c>
      <c r="B36" s="2567" t="s">
        <v>2543</v>
      </c>
      <c r="C36" s="2567"/>
      <c r="D36" s="2567"/>
      <c r="E36" s="3431"/>
      <c r="F36" s="3431"/>
      <c r="G36" s="3431"/>
    </row>
    <row r="37" spans="1:7" hidden="1">
      <c r="A37" s="2570">
        <v>4</v>
      </c>
      <c r="B37" s="2567" t="s">
        <v>2544</v>
      </c>
      <c r="C37" s="2567"/>
      <c r="D37" s="2567"/>
      <c r="E37" s="3431"/>
      <c r="F37" s="3431"/>
      <c r="G37" s="3431"/>
    </row>
    <row r="38" spans="1:7" hidden="1">
      <c r="A38" s="3432" t="s">
        <v>2545</v>
      </c>
      <c r="B38" s="3433"/>
      <c r="C38" s="3433"/>
      <c r="D38" s="3434"/>
      <c r="E38" s="3430"/>
      <c r="F38" s="3430"/>
      <c r="G38" s="34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常州绿城置业有限公司：</v>
      </c>
    </row>
    <row r="4" spans="1:4" ht="37.5">
      <c r="A4" s="1797" t="str">
        <f>"受贵公司委托，我公司对"&amp;项目基本情况!K2&amp;项目基本情况!B9&amp;"进行了预评估。"</f>
        <v>受贵公司委托，我公司对江苏省常州市湖塘镇武宜路西侧出让国有建设用地使用权市场价格进行了预评估。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常州绿城置业有限公司使用的、位于江苏省常州市湖塘镇武宜路西侧出让国有建设用地使用权。根据，估价对象（分摊）出让国有建设用地使用权面积为100574平方米。根据出让合同、规划指标，估价对象规划建筑面积为289959.03平方米。</v>
      </c>
    </row>
    <row r="7" spans="1:4" ht="56.25">
      <c r="A7" s="1801" t="s">
        <v>2764</v>
      </c>
    </row>
    <row r="8" spans="1:4" ht="18.75">
      <c r="A8" s="1800" t="s">
        <v>1911</v>
      </c>
    </row>
    <row r="9" spans="1:4" ht="56.25">
      <c r="A9" s="1802"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2017年7月5日（评估专业人员勘察现场之日）</v>
      </c>
    </row>
    <row r="12" spans="1:4" ht="18.75">
      <c r="A12" s="1803" t="s">
        <v>2035</v>
      </c>
    </row>
    <row r="13" spans="1:4" ht="18.75">
      <c r="A13" s="1797" t="s">
        <v>2958</v>
      </c>
    </row>
    <row r="14" spans="1:4" ht="18.75">
      <c r="A14" s="1797" t="str">
        <f>"根据"&amp;项目基本情况!F12&amp;"，本次评估估价对象证载（地类）用途为"&amp;项目基本情况!B12&amp;"。"</f>
        <v>根据，本次评估估价对象证载（地类）用途为。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根据，估价对象（分摊）出让国有建设用地使用权面积为100574平方米。根据出让合同、规划指标，估价对象规划建筑面积为289959.03平方米。</v>
      </c>
    </row>
    <row r="21" spans="1:1" ht="18.75">
      <c r="A21" s="1797" t="s">
        <v>2084</v>
      </c>
    </row>
    <row r="22" spans="1:1" ht="56.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本次估价对象为出让国有建设用地使用权，依据、，土地终止日期为住宅2081年8月10日、商业2051年8月10日。截至估价期日，出让国有建设用地使用权剩余土地使用年限为。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2452</v>
      </c>
      <c r="B8" s="2507" t="s">
        <v>2454</v>
      </c>
      <c r="C8" s="2508"/>
      <c r="D8" s="752"/>
      <c r="E8" s="753"/>
      <c r="F8" s="753"/>
      <c r="G8" s="754"/>
    </row>
    <row r="9" spans="1:25" s="2193" customFormat="1" ht="13.5" customHeight="1">
      <c r="A9" s="2504" t="s">
        <v>2453</v>
      </c>
      <c r="B9" s="2507" t="s">
        <v>2455</v>
      </c>
      <c r="C9" s="2508"/>
      <c r="D9" s="752"/>
      <c r="E9" s="753"/>
      <c r="F9" s="753"/>
      <c r="G9" s="754"/>
    </row>
    <row r="10" spans="1:25" s="2193" customFormat="1" ht="36">
      <c r="A10" s="2504">
        <v>2</v>
      </c>
      <c r="B10" s="751" t="s">
        <v>614</v>
      </c>
      <c r="C10" s="752">
        <f>C11+C14+C15</f>
        <v>0</v>
      </c>
      <c r="D10" s="763">
        <f>'数据-汇总表'!E3</f>
        <v>289959.02999999997</v>
      </c>
      <c r="E10" s="752">
        <f>'数据-取费表'!B31</f>
        <v>200</v>
      </c>
      <c r="F10" s="764"/>
      <c r="G10" s="762" t="s">
        <v>615</v>
      </c>
    </row>
    <row r="11" spans="1:25" s="2193" customFormat="1" ht="13.5" customHeight="1">
      <c r="A11" s="2504" t="s">
        <v>2452</v>
      </c>
      <c r="B11" s="755" t="s">
        <v>611</v>
      </c>
      <c r="C11" s="756">
        <f>'数据-取费表'!B29</f>
        <v>0</v>
      </c>
      <c r="D11" s="757"/>
      <c r="E11" s="756"/>
      <c r="F11" s="758"/>
      <c r="G11" s="2513" t="s">
        <v>2463</v>
      </c>
    </row>
    <row r="12" spans="1:25" s="2193" customFormat="1" ht="13.5" customHeight="1">
      <c r="A12" s="2511" t="s">
        <v>2460</v>
      </c>
      <c r="B12" s="759" t="s">
        <v>612</v>
      </c>
      <c r="C12" s="760">
        <f>ROUND(D12*E12/10000,0)</f>
        <v>2273</v>
      </c>
      <c r="D12" s="761">
        <f>'数据-汇总表'!E5</f>
        <v>216508.3</v>
      </c>
      <c r="E12" s="760">
        <f>'数据-取费表'!B27</f>
        <v>105</v>
      </c>
      <c r="F12" s="758"/>
      <c r="G12" s="762"/>
    </row>
    <row r="13" spans="1:25" s="2193" customFormat="1" ht="13.5" customHeight="1">
      <c r="A13" s="2511" t="s">
        <v>2459</v>
      </c>
      <c r="B13" s="759" t="s">
        <v>613</v>
      </c>
      <c r="C13" s="760">
        <f>ROUND(D13*E13/10000,0)</f>
        <v>771</v>
      </c>
      <c r="D13" s="761">
        <f>'数据-汇总表'!E6</f>
        <v>73450.729999999981</v>
      </c>
      <c r="E13" s="760">
        <f>'数据-取费表'!B28</f>
        <v>105</v>
      </c>
      <c r="F13" s="758"/>
      <c r="G13" s="762"/>
    </row>
    <row r="14" spans="1:25" s="2193" customFormat="1" ht="13.5" customHeight="1">
      <c r="A14" s="2504" t="s">
        <v>2453</v>
      </c>
      <c r="B14" s="2510" t="s">
        <v>2456</v>
      </c>
      <c r="C14" s="2508"/>
      <c r="D14" s="761"/>
      <c r="E14" s="760"/>
      <c r="F14" s="2509"/>
      <c r="G14" s="2512" t="s">
        <v>2461</v>
      </c>
    </row>
    <row r="15" spans="1:25" s="2193" customFormat="1" ht="13.5" customHeight="1">
      <c r="A15" s="2504" t="s">
        <v>2458</v>
      </c>
      <c r="B15" s="2510" t="s">
        <v>2457</v>
      </c>
      <c r="C15" s="2508"/>
      <c r="D15" s="761"/>
      <c r="E15" s="760"/>
      <c r="F15" s="2509"/>
      <c r="G15" s="2512" t="s">
        <v>2462</v>
      </c>
    </row>
    <row r="16" spans="1:25" s="2194" customFormat="1" ht="48">
      <c r="A16" s="2504">
        <v>3</v>
      </c>
      <c r="B16" s="751" t="s">
        <v>616</v>
      </c>
      <c r="C16" s="2508"/>
      <c r="D16" s="763"/>
      <c r="E16" s="752"/>
      <c r="F16" s="764"/>
      <c r="G16" s="762" t="s">
        <v>2464</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0.16</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0.93500000000000005</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268"/>
  <sheetViews>
    <sheetView topLeftCell="A18" zoomScaleNormal="100" workbookViewId="0">
      <selection activeCell="G49" sqref="G49"/>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2979</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210560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11428</v>
      </c>
      <c r="C3" s="855" t="s">
        <v>725</v>
      </c>
      <c r="D3" s="854">
        <f>SUMIF('数据-汇总表'!$C19:$C33,D1,'数据-汇总表'!$E19:$E33)</f>
        <v>184249</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5" t="s">
        <v>523</v>
      </c>
      <c r="D4" s="3336"/>
      <c r="E4" s="3370" t="s">
        <v>524</v>
      </c>
      <c r="F4" s="3371"/>
      <c r="G4" s="3335" t="s">
        <v>525</v>
      </c>
      <c r="H4" s="3336"/>
      <c r="I4" s="3335" t="s">
        <v>526</v>
      </c>
      <c r="J4" s="3336"/>
      <c r="K4" s="856" t="s">
        <v>527</v>
      </c>
      <c r="L4" s="2143"/>
      <c r="M4" s="2144"/>
      <c r="N4" s="2144"/>
      <c r="O4" s="2144"/>
      <c r="P4" s="3337" t="s">
        <v>528</v>
      </c>
      <c r="Q4" s="3338"/>
      <c r="R4" s="3343" t="s">
        <v>524</v>
      </c>
      <c r="S4" s="3344"/>
      <c r="T4" s="3343" t="s">
        <v>525</v>
      </c>
      <c r="U4" s="3344"/>
      <c r="V4" s="3330" t="s">
        <v>526</v>
      </c>
      <c r="W4" s="3330"/>
      <c r="X4" s="1572"/>
      <c r="Y4" s="3343" t="s">
        <v>528</v>
      </c>
      <c r="Z4" s="3344"/>
      <c r="AA4" s="3332" t="s">
        <v>524</v>
      </c>
      <c r="AB4" s="3332" t="s">
        <v>525</v>
      </c>
      <c r="AC4" s="3332" t="s">
        <v>526</v>
      </c>
    </row>
    <row r="5" spans="1:29" ht="15">
      <c r="A5" s="518"/>
      <c r="B5" s="519"/>
      <c r="C5" s="3353" t="s">
        <v>2944</v>
      </c>
      <c r="D5" s="3352"/>
      <c r="E5" s="3440" t="s">
        <v>3011</v>
      </c>
      <c r="F5" s="3373"/>
      <c r="G5" s="3351" t="s">
        <v>3014</v>
      </c>
      <c r="H5" s="3352"/>
      <c r="I5" s="3351" t="s">
        <v>3012</v>
      </c>
      <c r="J5" s="3352"/>
      <c r="K5" s="857"/>
      <c r="L5" s="2143"/>
      <c r="M5" s="2144"/>
      <c r="N5" s="2144"/>
      <c r="O5" s="2144"/>
      <c r="P5" s="3339"/>
      <c r="Q5" s="3340"/>
      <c r="R5" s="3345"/>
      <c r="S5" s="3346"/>
      <c r="T5" s="3345"/>
      <c r="U5" s="3346"/>
      <c r="V5" s="3330"/>
      <c r="W5" s="3330"/>
      <c r="X5" s="1572"/>
      <c r="Y5" s="3345"/>
      <c r="Z5" s="3346"/>
      <c r="AA5" s="3333"/>
      <c r="AB5" s="3333"/>
      <c r="AC5" s="3333"/>
    </row>
    <row r="6" spans="1:29" ht="15.75" thickBot="1">
      <c r="A6" s="520"/>
      <c r="B6" s="521"/>
      <c r="C6" s="3349" t="s">
        <v>2948</v>
      </c>
      <c r="D6" s="3350"/>
      <c r="E6" s="3439" t="s">
        <v>3016</v>
      </c>
      <c r="F6" s="3369"/>
      <c r="G6" s="3438" t="s">
        <v>3015</v>
      </c>
      <c r="H6" s="3350"/>
      <c r="I6" s="3438" t="s">
        <v>3013</v>
      </c>
      <c r="J6" s="3350"/>
      <c r="K6" s="857" t="s">
        <v>529</v>
      </c>
      <c r="L6" s="2143"/>
      <c r="M6" s="2144"/>
      <c r="N6" s="2144"/>
      <c r="O6" s="2144"/>
      <c r="P6" s="3341"/>
      <c r="Q6" s="3342"/>
      <c r="R6" s="3345"/>
      <c r="S6" s="3346"/>
      <c r="T6" s="3347"/>
      <c r="U6" s="3348"/>
      <c r="V6" s="3330"/>
      <c r="W6" s="3330"/>
      <c r="X6" s="1572"/>
      <c r="Y6" s="3347"/>
      <c r="Z6" s="3348"/>
      <c r="AA6" s="3334"/>
      <c r="AB6" s="3334"/>
      <c r="AC6" s="3334"/>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61" t="s">
        <v>531</v>
      </c>
      <c r="Q7" s="3363"/>
      <c r="R7" s="1573" t="s">
        <v>13</v>
      </c>
      <c r="S7" s="1574">
        <f t="shared" ref="S7:S15" si="0">F7</f>
        <v>100</v>
      </c>
      <c r="T7" s="1573" t="s">
        <v>13</v>
      </c>
      <c r="U7" s="1574">
        <f t="shared" ref="U7:U15" si="1">H7</f>
        <v>100</v>
      </c>
      <c r="V7" s="1573" t="s">
        <v>13</v>
      </c>
      <c r="W7" s="1574">
        <f t="shared" ref="W7:W15" si="2">J7</f>
        <v>100</v>
      </c>
      <c r="X7" s="1575"/>
      <c r="Y7" s="3361" t="s">
        <v>531</v>
      </c>
      <c r="Z7" s="3362"/>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61" t="s">
        <v>534</v>
      </c>
      <c r="Q8" s="3362"/>
      <c r="R8" s="1573" t="s">
        <v>13</v>
      </c>
      <c r="S8" s="1574">
        <f t="shared" si="0"/>
        <v>100</v>
      </c>
      <c r="T8" s="1573" t="s">
        <v>13</v>
      </c>
      <c r="U8" s="1574">
        <f t="shared" si="1"/>
        <v>100</v>
      </c>
      <c r="V8" s="1573" t="s">
        <v>13</v>
      </c>
      <c r="W8" s="1574">
        <f t="shared" si="2"/>
        <v>100</v>
      </c>
      <c r="X8" s="1575"/>
      <c r="Y8" s="3361" t="s">
        <v>534</v>
      </c>
      <c r="Z8" s="3362"/>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9" t="s">
        <v>536</v>
      </c>
      <c r="Q9" s="1154" t="str">
        <f t="shared" ref="Q9:Q15" si="6">B9</f>
        <v>用途</v>
      </c>
      <c r="R9" s="1573" t="s">
        <v>8</v>
      </c>
      <c r="S9" s="1574">
        <f t="shared" si="0"/>
        <v>100</v>
      </c>
      <c r="T9" s="1573" t="s">
        <v>8</v>
      </c>
      <c r="U9" s="1574">
        <f t="shared" si="1"/>
        <v>100</v>
      </c>
      <c r="V9" s="1573" t="s">
        <v>8</v>
      </c>
      <c r="W9" s="1574">
        <f t="shared" si="2"/>
        <v>100</v>
      </c>
      <c r="X9" s="1575"/>
      <c r="Y9" s="3275"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75" thickBot="1">
      <c r="A11" s="2955"/>
      <c r="B11" s="2959" t="s">
        <v>2775</v>
      </c>
      <c r="C11" s="536">
        <f>'数据-汇总表'!I4</f>
        <v>2.31</v>
      </c>
      <c r="D11" s="255">
        <v>100</v>
      </c>
      <c r="E11" s="537">
        <v>2.5</v>
      </c>
      <c r="F11" s="866">
        <f>LOOKUP(E11,68:68,69:69)-LOOKUP(C11,68:68,69:69)+100</f>
        <v>100</v>
      </c>
      <c r="G11" s="536">
        <v>2.6</v>
      </c>
      <c r="H11" s="255">
        <f>LOOKUP(G11,68:68,69:69)-LOOKUP(C11,68:68,69:69)+100</f>
        <v>100</v>
      </c>
      <c r="I11" s="536">
        <v>2.5</v>
      </c>
      <c r="J11" s="255">
        <f>LOOKUP(I11,68:68,69:69)-LOOKUP(C11,68:68,69:69)+100</f>
        <v>100</v>
      </c>
      <c r="K11" s="867">
        <f>'比较法-住宅、综合'!K13</f>
        <v>3</v>
      </c>
      <c r="L11" s="2150"/>
      <c r="M11" s="2144"/>
      <c r="N11" s="2144"/>
      <c r="O11" s="2151"/>
      <c r="P11" s="3329"/>
      <c r="Q11" s="1154" t="str">
        <f t="shared" si="6"/>
        <v>容积率</v>
      </c>
      <c r="R11" s="1573" t="s">
        <v>11</v>
      </c>
      <c r="S11" s="1574">
        <f t="shared" si="0"/>
        <v>100</v>
      </c>
      <c r="T11" s="1573" t="s">
        <v>11</v>
      </c>
      <c r="U11" s="1574">
        <f t="shared" si="1"/>
        <v>100</v>
      </c>
      <c r="V11" s="1573" t="s">
        <v>11</v>
      </c>
      <c r="W11" s="1574">
        <f t="shared" si="2"/>
        <v>100</v>
      </c>
      <c r="X11" s="1575"/>
      <c r="Y11" s="3275"/>
      <c r="Z11" s="1153" t="str">
        <f t="shared" si="7"/>
        <v>容积率</v>
      </c>
      <c r="AA11" s="1576">
        <f t="shared" si="3"/>
        <v>1</v>
      </c>
      <c r="AB11" s="1576">
        <f t="shared" si="4"/>
        <v>1</v>
      </c>
      <c r="AC11" s="1576">
        <f t="shared" si="5"/>
        <v>1</v>
      </c>
    </row>
    <row r="12" spans="1:29" s="1223" customFormat="1" ht="15" hidden="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9"/>
      <c r="Q12" s="1154">
        <f t="shared" si="6"/>
        <v>111</v>
      </c>
      <c r="R12" s="1573" t="s">
        <v>11</v>
      </c>
      <c r="S12" s="1574">
        <f t="shared" si="0"/>
        <v>100</v>
      </c>
      <c r="T12" s="1573" t="s">
        <v>11</v>
      </c>
      <c r="U12" s="1574">
        <f t="shared" si="1"/>
        <v>100</v>
      </c>
      <c r="V12" s="1573" t="s">
        <v>11</v>
      </c>
      <c r="W12" s="1574">
        <f t="shared" si="2"/>
        <v>100</v>
      </c>
      <c r="X12" s="1575"/>
      <c r="Y12" s="3275"/>
      <c r="Z12" s="1153">
        <f t="shared" si="7"/>
        <v>111</v>
      </c>
      <c r="AA12" s="1576">
        <f>D12/F12</f>
        <v>1</v>
      </c>
      <c r="AB12" s="1576">
        <f>D12/H12</f>
        <v>1</v>
      </c>
      <c r="AC12" s="1576">
        <f>D12/J12</f>
        <v>1</v>
      </c>
    </row>
    <row r="13" spans="1:29" ht="15" hidden="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9"/>
      <c r="Q13" s="1154">
        <f t="shared" si="6"/>
        <v>111</v>
      </c>
      <c r="R13" s="1573" t="s">
        <v>11</v>
      </c>
      <c r="S13" s="1574">
        <f t="shared" si="0"/>
        <v>100</v>
      </c>
      <c r="T13" s="1573" t="s">
        <v>11</v>
      </c>
      <c r="U13" s="1574">
        <f t="shared" si="1"/>
        <v>100</v>
      </c>
      <c r="V13" s="1573" t="s">
        <v>11</v>
      </c>
      <c r="W13" s="1574">
        <f t="shared" si="2"/>
        <v>100</v>
      </c>
      <c r="X13" s="1575"/>
      <c r="Y13" s="3275"/>
      <c r="Z13" s="1153">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9"/>
      <c r="Q14" s="1154">
        <f t="shared" si="6"/>
        <v>111</v>
      </c>
      <c r="R14" s="1573" t="s">
        <v>11</v>
      </c>
      <c r="S14" s="1574">
        <f t="shared" si="0"/>
        <v>100</v>
      </c>
      <c r="T14" s="1573" t="s">
        <v>11</v>
      </c>
      <c r="U14" s="1574">
        <f t="shared" si="1"/>
        <v>100</v>
      </c>
      <c r="V14" s="1573" t="s">
        <v>11</v>
      </c>
      <c r="W14" s="1574">
        <f t="shared" si="2"/>
        <v>100</v>
      </c>
      <c r="X14" s="1575"/>
      <c r="Y14" s="3275"/>
      <c r="Z14" s="1153">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f>'比较法-住宅、综合'!K17</f>
        <v>5</v>
      </c>
      <c r="L15" s="2152"/>
      <c r="M15" s="2144"/>
      <c r="N15" s="2144"/>
      <c r="O15" s="2151"/>
      <c r="P15" s="3364" t="s">
        <v>541</v>
      </c>
      <c r="Q15" s="1577" t="str">
        <f t="shared" si="6"/>
        <v>居住社区成熟度</v>
      </c>
      <c r="R15" s="1578" t="s">
        <v>11</v>
      </c>
      <c r="S15" s="1579">
        <f t="shared" si="0"/>
        <v>100</v>
      </c>
      <c r="T15" s="1578" t="s">
        <v>11</v>
      </c>
      <c r="U15" s="1579">
        <f t="shared" si="1"/>
        <v>100</v>
      </c>
      <c r="V15" s="1578" t="s">
        <v>11</v>
      </c>
      <c r="W15" s="1579">
        <f t="shared" si="2"/>
        <v>100</v>
      </c>
      <c r="X15" s="1572"/>
      <c r="Y15" s="3364" t="s">
        <v>541</v>
      </c>
      <c r="Z15" s="1580" t="str">
        <f t="shared" si="7"/>
        <v>居住社区成熟度</v>
      </c>
      <c r="AA15" s="1581">
        <f t="shared" si="3"/>
        <v>1</v>
      </c>
      <c r="AB15" s="1581">
        <f t="shared" si="4"/>
        <v>1</v>
      </c>
      <c r="AC15" s="1581">
        <f t="shared" si="5"/>
        <v>1</v>
      </c>
    </row>
    <row r="16" spans="1:29" ht="15">
      <c r="A16" s="535"/>
      <c r="B16" s="872"/>
      <c r="C16" s="579" t="s">
        <v>2999</v>
      </c>
      <c r="D16" s="558"/>
      <c r="E16" s="559" t="s">
        <v>2999</v>
      </c>
      <c r="F16" s="560"/>
      <c r="G16" s="561" t="s">
        <v>2999</v>
      </c>
      <c r="H16" s="562"/>
      <c r="I16" s="559" t="s">
        <v>2999</v>
      </c>
      <c r="J16" s="558"/>
      <c r="K16" s="873"/>
      <c r="L16" s="2152"/>
      <c r="M16" s="2144"/>
      <c r="N16" s="2144"/>
      <c r="O16" s="2151"/>
      <c r="P16" s="3365"/>
      <c r="Q16" s="1577"/>
      <c r="R16" s="1578"/>
      <c r="S16" s="1579"/>
      <c r="T16" s="1578"/>
      <c r="U16" s="1579"/>
      <c r="V16" s="1578"/>
      <c r="W16" s="1579"/>
      <c r="X16" s="1572"/>
      <c r="Y16" s="3365"/>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f>'比较法-住宅、综合'!K23</f>
        <v>3</v>
      </c>
      <c r="L17" s="2152"/>
      <c r="M17" s="2144"/>
      <c r="N17" s="2144"/>
      <c r="O17" s="2151"/>
      <c r="P17" s="3365"/>
      <c r="Q17" s="1577" t="str">
        <f>B17</f>
        <v>交通便捷度</v>
      </c>
      <c r="R17" s="1578" t="s">
        <v>11</v>
      </c>
      <c r="S17" s="1579">
        <f>F17</f>
        <v>100</v>
      </c>
      <c r="T17" s="1578" t="s">
        <v>11</v>
      </c>
      <c r="U17" s="1579">
        <f>H17</f>
        <v>100</v>
      </c>
      <c r="V17" s="1578" t="s">
        <v>11</v>
      </c>
      <c r="W17" s="1579">
        <f>J17</f>
        <v>100</v>
      </c>
      <c r="X17" s="1572"/>
      <c r="Y17" s="3365"/>
      <c r="Z17" s="1580" t="str">
        <f>Q17</f>
        <v>交通便捷度</v>
      </c>
      <c r="AA17" s="1581">
        <f t="shared" si="3"/>
        <v>1</v>
      </c>
      <c r="AB17" s="1581">
        <f t="shared" si="4"/>
        <v>1</v>
      </c>
      <c r="AC17" s="1581">
        <f t="shared" si="5"/>
        <v>1</v>
      </c>
    </row>
    <row r="18" spans="1:29" ht="15">
      <c r="A18" s="535"/>
      <c r="B18" s="598"/>
      <c r="C18" s="876" t="s">
        <v>2999</v>
      </c>
      <c r="D18" s="562"/>
      <c r="E18" s="571" t="s">
        <v>2999</v>
      </c>
      <c r="F18" s="566"/>
      <c r="G18" s="572" t="s">
        <v>2999</v>
      </c>
      <c r="H18" s="558"/>
      <c r="I18" s="571" t="s">
        <v>2999</v>
      </c>
      <c r="J18" s="558"/>
      <c r="K18" s="873"/>
      <c r="L18" s="2152"/>
      <c r="M18" s="2144"/>
      <c r="N18" s="2144"/>
      <c r="O18" s="2151"/>
      <c r="P18" s="3365"/>
      <c r="Q18" s="1577"/>
      <c r="R18" s="1578"/>
      <c r="S18" s="1579"/>
      <c r="T18" s="1578"/>
      <c r="U18" s="1579"/>
      <c r="V18" s="1578"/>
      <c r="W18" s="1579"/>
      <c r="X18" s="1572"/>
      <c r="Y18" s="3365"/>
      <c r="Z18" s="1580"/>
      <c r="AA18" s="1581">
        <v>1</v>
      </c>
      <c r="AB18" s="1581">
        <v>1</v>
      </c>
      <c r="AC18" s="1581">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f>'比较法-住宅、综合'!K29</f>
        <v>2</v>
      </c>
      <c r="L19" s="2152"/>
      <c r="M19" s="2144"/>
      <c r="N19" s="2144"/>
      <c r="O19" s="2151"/>
      <c r="P19" s="3365"/>
      <c r="Q19" s="1577" t="str">
        <f>B19</f>
        <v>公共配套设施</v>
      </c>
      <c r="R19" s="1578" t="s">
        <v>11</v>
      </c>
      <c r="S19" s="1579">
        <f>F19</f>
        <v>100</v>
      </c>
      <c r="T19" s="1578" t="s">
        <v>11</v>
      </c>
      <c r="U19" s="1579">
        <f>H19</f>
        <v>100</v>
      </c>
      <c r="V19" s="1578" t="s">
        <v>11</v>
      </c>
      <c r="W19" s="1579">
        <f>J19</f>
        <v>100</v>
      </c>
      <c r="X19" s="1572"/>
      <c r="Y19" s="3365"/>
      <c r="Z19" s="1580" t="str">
        <f>Q19</f>
        <v>公共配套设施</v>
      </c>
      <c r="AA19" s="1581">
        <f t="shared" si="3"/>
        <v>1</v>
      </c>
      <c r="AB19" s="1581">
        <f t="shared" si="4"/>
        <v>1</v>
      </c>
      <c r="AC19" s="1581">
        <f t="shared" si="5"/>
        <v>1</v>
      </c>
    </row>
    <row r="20" spans="1:29" ht="15">
      <c r="A20" s="535"/>
      <c r="B20" s="598"/>
      <c r="C20" s="579" t="s">
        <v>2999</v>
      </c>
      <c r="D20" s="558"/>
      <c r="E20" s="559" t="s">
        <v>2999</v>
      </c>
      <c r="F20" s="560"/>
      <c r="G20" s="561" t="s">
        <v>2999</v>
      </c>
      <c r="H20" s="558"/>
      <c r="I20" s="559" t="s">
        <v>2999</v>
      </c>
      <c r="J20" s="558"/>
      <c r="K20" s="873"/>
      <c r="L20" s="2152"/>
      <c r="M20" s="2144"/>
      <c r="N20" s="2144"/>
      <c r="O20" s="2151"/>
      <c r="P20" s="3365"/>
      <c r="Q20" s="1577"/>
      <c r="R20" s="1578"/>
      <c r="S20" s="1579"/>
      <c r="T20" s="1578"/>
      <c r="U20" s="1579"/>
      <c r="V20" s="1578"/>
      <c r="W20" s="1579"/>
      <c r="X20" s="1572"/>
      <c r="Y20" s="3365"/>
      <c r="Z20" s="1580"/>
      <c r="AA20" s="1581">
        <v>1</v>
      </c>
      <c r="AB20" s="1581">
        <v>1</v>
      </c>
      <c r="AC20" s="1581">
        <v>1</v>
      </c>
    </row>
    <row r="21" spans="1:29" ht="28.5">
      <c r="A21" s="535"/>
      <c r="B21" s="2628" t="s">
        <v>2572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5"/>
      <c r="Q21" s="2614" t="str">
        <f>B21</f>
        <v>基础设施水平</v>
      </c>
      <c r="R21" s="1578" t="s">
        <v>11</v>
      </c>
      <c r="S21" s="1579">
        <f>F21</f>
        <v>100</v>
      </c>
      <c r="T21" s="1578" t="s">
        <v>11</v>
      </c>
      <c r="U21" s="1579">
        <f>H21</f>
        <v>100</v>
      </c>
      <c r="V21" s="1578" t="s">
        <v>11</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5"/>
      <c r="Q22" s="2614"/>
      <c r="R22" s="1578"/>
      <c r="S22" s="1579"/>
      <c r="T22" s="1578"/>
      <c r="U22" s="1579"/>
      <c r="V22" s="1578"/>
      <c r="W22" s="1579"/>
      <c r="X22" s="2616"/>
      <c r="Y22" s="3365"/>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105</v>
      </c>
      <c r="I23" s="565"/>
      <c r="J23" s="562">
        <f>SUMIF(84:84,I24,85:85)-SUMIF(84:84,C24,85:85)+100</f>
        <v>100</v>
      </c>
      <c r="K23" s="871">
        <f>'比较法-住宅、综合'!K27</f>
        <v>5</v>
      </c>
      <c r="L23" s="2152"/>
      <c r="M23" s="2144"/>
      <c r="N23" s="2144"/>
      <c r="O23" s="2151"/>
      <c r="P23" s="3365"/>
      <c r="Q23" s="1577" t="str">
        <f>B23</f>
        <v>自然及人文环境</v>
      </c>
      <c r="R23" s="1578" t="s">
        <v>11</v>
      </c>
      <c r="S23" s="1579">
        <f>F23</f>
        <v>100</v>
      </c>
      <c r="T23" s="1578" t="s">
        <v>11</v>
      </c>
      <c r="U23" s="1579">
        <f>H23</f>
        <v>105</v>
      </c>
      <c r="V23" s="1578" t="s">
        <v>11</v>
      </c>
      <c r="W23" s="1579">
        <f>J23</f>
        <v>100</v>
      </c>
      <c r="X23" s="1572"/>
      <c r="Y23" s="3365"/>
      <c r="Z23" s="1580" t="str">
        <f>Q23</f>
        <v>自然及人文环境</v>
      </c>
      <c r="AA23" s="1581">
        <f t="shared" si="3"/>
        <v>1</v>
      </c>
      <c r="AB23" s="1581">
        <f t="shared" si="4"/>
        <v>0.95238095238095233</v>
      </c>
      <c r="AC23" s="1581">
        <f t="shared" si="5"/>
        <v>1</v>
      </c>
    </row>
    <row r="24" spans="1:29" ht="15.75" thickBot="1">
      <c r="A24" s="535"/>
      <c r="B24" s="598"/>
      <c r="C24" s="579" t="s">
        <v>3009</v>
      </c>
      <c r="D24" s="558"/>
      <c r="E24" s="559" t="s">
        <v>3009</v>
      </c>
      <c r="F24" s="560"/>
      <c r="G24" s="561" t="s">
        <v>2999</v>
      </c>
      <c r="H24" s="558"/>
      <c r="I24" s="559" t="s">
        <v>3009</v>
      </c>
      <c r="J24" s="558"/>
      <c r="K24" s="873"/>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hidden="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5"/>
      <c r="Q25" s="1577" t="str">
        <f t="shared" ref="Q25:Q46" si="11">B25</f>
        <v>楼层-1</v>
      </c>
      <c r="R25" s="1578" t="s">
        <v>11</v>
      </c>
      <c r="S25" s="1579">
        <f>F25</f>
        <v>100</v>
      </c>
      <c r="T25" s="1578" t="s">
        <v>11</v>
      </c>
      <c r="U25" s="1579">
        <f>H25</f>
        <v>100</v>
      </c>
      <c r="V25" s="1578" t="s">
        <v>11</v>
      </c>
      <c r="W25" s="1579">
        <f>J25</f>
        <v>100</v>
      </c>
      <c r="X25" s="1572"/>
      <c r="Y25" s="3365"/>
      <c r="Z25" s="1580" t="str">
        <f>Q25</f>
        <v>楼层-1</v>
      </c>
      <c r="AA25" s="1581">
        <f t="shared" si="3"/>
        <v>1</v>
      </c>
      <c r="AB25" s="1581">
        <f t="shared" si="4"/>
        <v>1</v>
      </c>
      <c r="AC25" s="1581">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5"/>
      <c r="Q26" s="1577" t="str">
        <f t="shared" si="11"/>
        <v>朝向</v>
      </c>
      <c r="R26" s="1578" t="s">
        <v>11</v>
      </c>
      <c r="S26" s="1579">
        <f>F26</f>
        <v>100</v>
      </c>
      <c r="T26" s="1578" t="s">
        <v>11</v>
      </c>
      <c r="U26" s="1579">
        <f>H26</f>
        <v>100</v>
      </c>
      <c r="V26" s="1578" t="s">
        <v>11</v>
      </c>
      <c r="W26" s="1579">
        <f>J26</f>
        <v>100</v>
      </c>
      <c r="X26" s="1572"/>
      <c r="Y26" s="3365"/>
      <c r="Z26" s="1580" t="str">
        <f>Q26</f>
        <v>朝向</v>
      </c>
      <c r="AA26" s="1581">
        <f t="shared" si="3"/>
        <v>1</v>
      </c>
      <c r="AB26" s="1581">
        <f t="shared" si="4"/>
        <v>1</v>
      </c>
      <c r="AC26" s="1581">
        <f t="shared" si="5"/>
        <v>1</v>
      </c>
    </row>
    <row r="27" spans="1:29" s="1223" customFormat="1" ht="15" hidden="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5"/>
      <c r="Q27" s="1154" t="str">
        <f t="shared" si="11"/>
        <v>道路级别</v>
      </c>
      <c r="R27" s="1573" t="s">
        <v>11</v>
      </c>
      <c r="S27" s="1574">
        <f>F27</f>
        <v>100</v>
      </c>
      <c r="T27" s="1573" t="s">
        <v>11</v>
      </c>
      <c r="U27" s="1574">
        <f>H27</f>
        <v>100</v>
      </c>
      <c r="V27" s="1573" t="s">
        <v>11</v>
      </c>
      <c r="W27" s="1574">
        <f>J27</f>
        <v>100</v>
      </c>
      <c r="X27" s="1575"/>
      <c r="Y27" s="3365"/>
      <c r="Z27" s="1153" t="str">
        <f>Q27</f>
        <v>道路级别</v>
      </c>
      <c r="AA27" s="1581">
        <f>D27/F27</f>
        <v>1</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5"/>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5"/>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5"/>
      <c r="Q29" s="1577">
        <f t="shared" si="11"/>
        <v>111</v>
      </c>
      <c r="R29" s="1578" t="s">
        <v>11</v>
      </c>
      <c r="S29" s="1579">
        <f t="shared" si="12"/>
        <v>100</v>
      </c>
      <c r="T29" s="1578" t="s">
        <v>11</v>
      </c>
      <c r="U29" s="1579">
        <f t="shared" si="13"/>
        <v>100</v>
      </c>
      <c r="V29" s="1578" t="s">
        <v>11</v>
      </c>
      <c r="W29" s="1579">
        <f t="shared" si="14"/>
        <v>100</v>
      </c>
      <c r="X29" s="1572"/>
      <c r="Y29" s="3365"/>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5"/>
      <c r="Q30" s="1577">
        <f t="shared" si="11"/>
        <v>111</v>
      </c>
      <c r="R30" s="1578" t="s">
        <v>11</v>
      </c>
      <c r="S30" s="1579">
        <f t="shared" si="12"/>
        <v>100</v>
      </c>
      <c r="T30" s="1578" t="s">
        <v>11</v>
      </c>
      <c r="U30" s="1579">
        <f t="shared" si="13"/>
        <v>100</v>
      </c>
      <c r="V30" s="1578" t="s">
        <v>11</v>
      </c>
      <c r="W30" s="1579">
        <f t="shared" si="14"/>
        <v>100</v>
      </c>
      <c r="X30" s="1572"/>
      <c r="Y30" s="3365"/>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5"/>
      <c r="Q31" s="1577">
        <f t="shared" si="11"/>
        <v>111</v>
      </c>
      <c r="R31" s="1578" t="s">
        <v>11</v>
      </c>
      <c r="S31" s="1579">
        <f t="shared" si="12"/>
        <v>100</v>
      </c>
      <c r="T31" s="1578" t="s">
        <v>11</v>
      </c>
      <c r="U31" s="1579">
        <f t="shared" si="13"/>
        <v>100</v>
      </c>
      <c r="V31" s="1578" t="s">
        <v>11</v>
      </c>
      <c r="W31" s="1579">
        <f t="shared" si="14"/>
        <v>100</v>
      </c>
      <c r="X31" s="1572"/>
      <c r="Y31" s="3365"/>
      <c r="Z31" s="1580">
        <f t="shared" si="15"/>
        <v>111</v>
      </c>
      <c r="AA31" s="1581">
        <f t="shared" si="3"/>
        <v>1</v>
      </c>
      <c r="AB31" s="1581">
        <f t="shared" si="4"/>
        <v>1</v>
      </c>
      <c r="AC31" s="1581">
        <f t="shared" si="5"/>
        <v>1</v>
      </c>
    </row>
    <row r="32" spans="1:29" ht="15">
      <c r="A32" s="2946" t="s">
        <v>2772</v>
      </c>
      <c r="B32" s="172" t="s">
        <v>728</v>
      </c>
      <c r="C32" s="881" t="s">
        <v>2979</v>
      </c>
      <c r="D32" s="600">
        <v>100</v>
      </c>
      <c r="E32" s="882" t="s">
        <v>2979</v>
      </c>
      <c r="F32" s="578">
        <f>SUMIF(100:100,E32,101:101)-SUMIF(100:100,C32,101:101)+100</f>
        <v>100</v>
      </c>
      <c r="G32" s="881" t="s">
        <v>2979</v>
      </c>
      <c r="H32" s="600">
        <f>SUMIF(100:100,G32,101:101)-SUMIF(100:100,C32,101:101)+100</f>
        <v>100</v>
      </c>
      <c r="I32" s="882" t="s">
        <v>2979</v>
      </c>
      <c r="J32" s="543">
        <f>SUMIF(100:100,I32,101:101)-SUMIF(100:100,C32,101:101)+100</f>
        <v>100</v>
      </c>
      <c r="K32" s="867">
        <v>2</v>
      </c>
      <c r="L32" s="2152"/>
      <c r="M32" s="2144"/>
      <c r="N32" s="2144"/>
      <c r="O32" s="2151"/>
      <c r="P32" s="3366" t="s">
        <v>551</v>
      </c>
      <c r="Q32" s="1577" t="str">
        <f t="shared" si="11"/>
        <v>建筑类型</v>
      </c>
      <c r="R32" s="1578" t="s">
        <v>11</v>
      </c>
      <c r="S32" s="1579">
        <f t="shared" si="12"/>
        <v>100</v>
      </c>
      <c r="T32" s="1578" t="s">
        <v>11</v>
      </c>
      <c r="U32" s="1579">
        <f t="shared" si="13"/>
        <v>100</v>
      </c>
      <c r="V32" s="1578" t="s">
        <v>11</v>
      </c>
      <c r="W32" s="1579">
        <f t="shared" si="14"/>
        <v>100</v>
      </c>
      <c r="X32" s="1572"/>
      <c r="Y32" s="3367" t="s">
        <v>551</v>
      </c>
      <c r="Z32" s="1580" t="str">
        <f t="shared" si="15"/>
        <v>建筑类型</v>
      </c>
      <c r="AA32" s="1581">
        <f t="shared" si="3"/>
        <v>1</v>
      </c>
      <c r="AB32" s="1581">
        <f t="shared" si="4"/>
        <v>1</v>
      </c>
      <c r="AC32" s="1581">
        <f t="shared" si="5"/>
        <v>1</v>
      </c>
    </row>
    <row r="33" spans="1:29" s="1342" customFormat="1" ht="15">
      <c r="A33" s="606"/>
      <c r="B33" s="530" t="s">
        <v>729</v>
      </c>
      <c r="C33" s="883">
        <f>'数据-汇总表'!E31</f>
        <v>289959.02999999997</v>
      </c>
      <c r="D33" s="255">
        <v>100</v>
      </c>
      <c r="E33" s="537">
        <v>78851</v>
      </c>
      <c r="F33" s="866">
        <f>LOOKUP(E33,103:103,104:104)-LOOKUP(C33,103:103,104:104)+100</f>
        <v>98</v>
      </c>
      <c r="G33" s="536">
        <v>682931</v>
      </c>
      <c r="H33" s="255">
        <f>LOOKUP(G33,103:103,104:104)-LOOKUP(C33,103:103,104:104)+100</f>
        <v>104</v>
      </c>
      <c r="I33" s="537">
        <v>280000</v>
      </c>
      <c r="J33" s="255">
        <f>LOOKUP(I33,103:103,104:104)-LOOKUP(C33,103:103,104:104)+100</f>
        <v>100</v>
      </c>
      <c r="K33" s="868"/>
      <c r="L33" s="2150"/>
      <c r="M33" s="2181"/>
      <c r="N33" s="2181"/>
      <c r="O33" s="2153"/>
      <c r="P33" s="3367"/>
      <c r="Q33" s="1610" t="str">
        <f t="shared" si="11"/>
        <v>项目建筑规模</v>
      </c>
      <c r="R33" s="1582" t="s">
        <v>11</v>
      </c>
      <c r="S33" s="1583">
        <f t="shared" si="12"/>
        <v>98</v>
      </c>
      <c r="T33" s="1582" t="s">
        <v>11</v>
      </c>
      <c r="U33" s="1583">
        <f t="shared" si="13"/>
        <v>104</v>
      </c>
      <c r="V33" s="1582" t="s">
        <v>11</v>
      </c>
      <c r="W33" s="1583">
        <f t="shared" si="14"/>
        <v>100</v>
      </c>
      <c r="X33" s="1584"/>
      <c r="Y33" s="3367"/>
      <c r="Z33" s="1585" t="str">
        <f t="shared" si="15"/>
        <v>项目建筑规模</v>
      </c>
      <c r="AA33" s="1581">
        <f t="shared" si="3"/>
        <v>1.0204081632653061</v>
      </c>
      <c r="AB33" s="1581">
        <f t="shared" si="4"/>
        <v>0.96153846153846156</v>
      </c>
      <c r="AC33" s="1581">
        <f t="shared" si="5"/>
        <v>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v>2</v>
      </c>
      <c r="L34" s="2152"/>
      <c r="M34" s="2144"/>
      <c r="N34" s="2144"/>
      <c r="O34" s="2151"/>
      <c r="P34" s="3367"/>
      <c r="Q34" s="1577" t="str">
        <f t="shared" si="11"/>
        <v>建筑结构</v>
      </c>
      <c r="R34" s="1578" t="s">
        <v>11</v>
      </c>
      <c r="S34" s="1579">
        <f t="shared" si="12"/>
        <v>100</v>
      </c>
      <c r="T34" s="1578" t="s">
        <v>11</v>
      </c>
      <c r="U34" s="1579">
        <f t="shared" si="13"/>
        <v>100</v>
      </c>
      <c r="V34" s="1578" t="s">
        <v>11</v>
      </c>
      <c r="W34" s="1579">
        <f t="shared" si="14"/>
        <v>100</v>
      </c>
      <c r="X34" s="1572"/>
      <c r="Y34" s="3367"/>
      <c r="Z34" s="1580" t="str">
        <f t="shared" si="15"/>
        <v>建筑结构</v>
      </c>
      <c r="AA34" s="1581">
        <f t="shared" si="3"/>
        <v>1</v>
      </c>
      <c r="AB34" s="1581">
        <f t="shared" si="4"/>
        <v>1</v>
      </c>
      <c r="AC34" s="1581">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v>3</v>
      </c>
      <c r="L35" s="2152"/>
      <c r="M35" s="2144"/>
      <c r="N35" s="2144"/>
      <c r="O35" s="2151"/>
      <c r="P35" s="3367"/>
      <c r="Q35" s="1577" t="str">
        <f t="shared" si="11"/>
        <v>建筑品质</v>
      </c>
      <c r="R35" s="1578" t="s">
        <v>11</v>
      </c>
      <c r="S35" s="1579">
        <f t="shared" si="12"/>
        <v>100</v>
      </c>
      <c r="T35" s="1578" t="s">
        <v>11</v>
      </c>
      <c r="U35" s="1579">
        <f t="shared" si="13"/>
        <v>100</v>
      </c>
      <c r="V35" s="1578" t="s">
        <v>11</v>
      </c>
      <c r="W35" s="1579">
        <f t="shared" si="14"/>
        <v>100</v>
      </c>
      <c r="X35" s="1572"/>
      <c r="Y35" s="3367"/>
      <c r="Z35" s="1580" t="str">
        <f t="shared" si="15"/>
        <v>建筑品质</v>
      </c>
      <c r="AA35" s="1581">
        <f t="shared" si="3"/>
        <v>1</v>
      </c>
      <c r="AB35" s="1581">
        <f t="shared" si="4"/>
        <v>1</v>
      </c>
      <c r="AC35" s="1581">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v>3</v>
      </c>
      <c r="L36" s="2152"/>
      <c r="M36" s="2144"/>
      <c r="N36" s="2144"/>
      <c r="O36" s="2151"/>
      <c r="P36" s="3367"/>
      <c r="Q36" s="1577" t="str">
        <f t="shared" si="11"/>
        <v>公共部分装修</v>
      </c>
      <c r="R36" s="1578" t="s">
        <v>11</v>
      </c>
      <c r="S36" s="1579">
        <f t="shared" si="12"/>
        <v>100</v>
      </c>
      <c r="T36" s="1578" t="s">
        <v>11</v>
      </c>
      <c r="U36" s="1579">
        <f t="shared" si="13"/>
        <v>100</v>
      </c>
      <c r="V36" s="1578" t="s">
        <v>11</v>
      </c>
      <c r="W36" s="1579">
        <f t="shared" si="14"/>
        <v>100</v>
      </c>
      <c r="X36" s="1572"/>
      <c r="Y36" s="3367"/>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67"/>
      <c r="Q37" s="1154" t="str">
        <f t="shared" si="11"/>
        <v>成新度</v>
      </c>
      <c r="R37" s="1573" t="s">
        <v>11</v>
      </c>
      <c r="S37" s="1574">
        <f t="shared" si="12"/>
        <v>100</v>
      </c>
      <c r="T37" s="1573" t="s">
        <v>11</v>
      </c>
      <c r="U37" s="1574">
        <f t="shared" si="13"/>
        <v>100</v>
      </c>
      <c r="V37" s="1573" t="s">
        <v>11</v>
      </c>
      <c r="W37" s="1574">
        <f t="shared" si="14"/>
        <v>100</v>
      </c>
      <c r="X37" s="1575"/>
      <c r="Y37" s="3367"/>
      <c r="Z37" s="1153"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v>1</v>
      </c>
      <c r="L38" s="2152"/>
      <c r="M38" s="2144"/>
      <c r="N38" s="2144"/>
      <c r="O38" s="2151"/>
      <c r="P38" s="3367" t="s">
        <v>551</v>
      </c>
      <c r="Q38" s="1577" t="str">
        <f t="shared" si="11"/>
        <v>物业管理</v>
      </c>
      <c r="R38" s="1578" t="s">
        <v>11</v>
      </c>
      <c r="S38" s="1579">
        <f t="shared" si="12"/>
        <v>100</v>
      </c>
      <c r="T38" s="1578" t="s">
        <v>11</v>
      </c>
      <c r="U38" s="1579">
        <f t="shared" si="13"/>
        <v>100</v>
      </c>
      <c r="V38" s="1578" t="s">
        <v>11</v>
      </c>
      <c r="W38" s="1579">
        <f t="shared" si="14"/>
        <v>100</v>
      </c>
      <c r="X38" s="1572"/>
      <c r="Y38" s="3367" t="s">
        <v>551</v>
      </c>
      <c r="Z38" s="1580" t="str">
        <f t="shared" si="15"/>
        <v>物业管理</v>
      </c>
      <c r="AA38" s="1581">
        <f t="shared" si="3"/>
        <v>1</v>
      </c>
      <c r="AB38" s="1581">
        <f t="shared" si="4"/>
        <v>1</v>
      </c>
      <c r="AC38" s="1581">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v>1</v>
      </c>
      <c r="L39" s="2152"/>
      <c r="M39" s="2144"/>
      <c r="N39" s="2144"/>
      <c r="O39" s="2151"/>
      <c r="P39" s="3367"/>
      <c r="Q39" s="1577" t="str">
        <f t="shared" si="11"/>
        <v>市政基础设施</v>
      </c>
      <c r="R39" s="1578" t="s">
        <v>11</v>
      </c>
      <c r="S39" s="1579">
        <f t="shared" si="12"/>
        <v>100</v>
      </c>
      <c r="T39" s="1578" t="s">
        <v>11</v>
      </c>
      <c r="U39" s="1579">
        <f t="shared" si="13"/>
        <v>100</v>
      </c>
      <c r="V39" s="1578" t="s">
        <v>11</v>
      </c>
      <c r="W39" s="1579">
        <f t="shared" si="14"/>
        <v>100</v>
      </c>
      <c r="X39" s="1572"/>
      <c r="Y39" s="3367"/>
      <c r="Z39" s="1580" t="str">
        <f t="shared" si="15"/>
        <v>市政基础设施</v>
      </c>
      <c r="AA39" s="1581">
        <f t="shared" si="3"/>
        <v>1</v>
      </c>
      <c r="AB39" s="1581">
        <f t="shared" si="4"/>
        <v>1</v>
      </c>
      <c r="AC39" s="1581">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7"/>
      <c r="Q40" s="1577" t="str">
        <f t="shared" si="11"/>
        <v>房型</v>
      </c>
      <c r="R40" s="1578" t="s">
        <v>11</v>
      </c>
      <c r="S40" s="1579">
        <f t="shared" si="12"/>
        <v>100</v>
      </c>
      <c r="T40" s="1578" t="s">
        <v>11</v>
      </c>
      <c r="U40" s="1579">
        <f t="shared" si="13"/>
        <v>100</v>
      </c>
      <c r="V40" s="1578" t="s">
        <v>11</v>
      </c>
      <c r="W40" s="1579">
        <f t="shared" si="14"/>
        <v>100</v>
      </c>
      <c r="X40" s="1572"/>
      <c r="Y40" s="3367"/>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7"/>
      <c r="Q41" s="1610" t="str">
        <f t="shared" si="11"/>
        <v>单套/主力户型建筑面积</v>
      </c>
      <c r="R41" s="1582" t="s">
        <v>11</v>
      </c>
      <c r="S41" s="1583">
        <f t="shared" si="12"/>
        <v>100</v>
      </c>
      <c r="T41" s="1582" t="s">
        <v>11</v>
      </c>
      <c r="U41" s="1583">
        <f t="shared" si="13"/>
        <v>100</v>
      </c>
      <c r="V41" s="1582" t="s">
        <v>11</v>
      </c>
      <c r="W41" s="1583">
        <f t="shared" si="14"/>
        <v>100</v>
      </c>
      <c r="X41" s="1584"/>
      <c r="Y41" s="3367"/>
      <c r="Z41" s="1585" t="str">
        <f t="shared" si="15"/>
        <v>单套/主力户型建筑面积</v>
      </c>
      <c r="AA41" s="1581">
        <f t="shared" si="3"/>
        <v>1</v>
      </c>
      <c r="AB41" s="1581">
        <f t="shared" si="4"/>
        <v>1</v>
      </c>
      <c r="AC41" s="1581">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v>1</v>
      </c>
      <c r="L42" s="2152"/>
      <c r="M42" s="2144"/>
      <c r="N42" s="2144"/>
      <c r="O42" s="2151"/>
      <c r="P42" s="3367"/>
      <c r="Q42" s="1577" t="str">
        <f t="shared" si="11"/>
        <v>内部装修</v>
      </c>
      <c r="R42" s="1578" t="s">
        <v>11</v>
      </c>
      <c r="S42" s="1579">
        <f t="shared" si="12"/>
        <v>100</v>
      </c>
      <c r="T42" s="1578" t="s">
        <v>11</v>
      </c>
      <c r="U42" s="1579">
        <f t="shared" si="13"/>
        <v>100</v>
      </c>
      <c r="V42" s="1578" t="s">
        <v>11</v>
      </c>
      <c r="W42" s="1579">
        <f t="shared" si="14"/>
        <v>100</v>
      </c>
      <c r="X42" s="1572"/>
      <c r="Y42" s="3367"/>
      <c r="Z42" s="1580" t="str">
        <f t="shared" si="15"/>
        <v>内部装修</v>
      </c>
      <c r="AA42" s="1581">
        <f t="shared" si="3"/>
        <v>1</v>
      </c>
      <c r="AB42" s="1581">
        <f t="shared" si="4"/>
        <v>1</v>
      </c>
      <c r="AC42" s="1581">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v>1</v>
      </c>
      <c r="L43" s="2152"/>
      <c r="M43" s="2144"/>
      <c r="N43" s="2144"/>
      <c r="O43" s="2151"/>
      <c r="P43" s="3367"/>
      <c r="Q43" s="1577" t="str">
        <f t="shared" si="11"/>
        <v>内部装修维护情况</v>
      </c>
      <c r="R43" s="1578" t="s">
        <v>11</v>
      </c>
      <c r="S43" s="1579">
        <f t="shared" si="12"/>
        <v>100</v>
      </c>
      <c r="T43" s="1578" t="s">
        <v>11</v>
      </c>
      <c r="U43" s="1579">
        <f t="shared" si="13"/>
        <v>100</v>
      </c>
      <c r="V43" s="1578" t="s">
        <v>11</v>
      </c>
      <c r="W43" s="1579">
        <f t="shared" si="14"/>
        <v>100</v>
      </c>
      <c r="X43" s="1572"/>
      <c r="Y43" s="3367"/>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7"/>
      <c r="Q44" s="1154">
        <f t="shared" si="11"/>
        <v>111</v>
      </c>
      <c r="R44" s="1573" t="s">
        <v>11</v>
      </c>
      <c r="S44" s="1574">
        <f t="shared" si="12"/>
        <v>100</v>
      </c>
      <c r="T44" s="1573" t="s">
        <v>11</v>
      </c>
      <c r="U44" s="1574">
        <f t="shared" si="13"/>
        <v>100</v>
      </c>
      <c r="V44" s="1573" t="s">
        <v>11</v>
      </c>
      <c r="W44" s="1574">
        <f t="shared" si="14"/>
        <v>100</v>
      </c>
      <c r="X44" s="1575"/>
      <c r="Y44" s="3367"/>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7"/>
      <c r="Q45" s="1577">
        <f t="shared" si="11"/>
        <v>111</v>
      </c>
      <c r="R45" s="1578" t="s">
        <v>11</v>
      </c>
      <c r="S45" s="1579">
        <f t="shared" si="12"/>
        <v>100</v>
      </c>
      <c r="T45" s="1578" t="s">
        <v>11</v>
      </c>
      <c r="U45" s="1579">
        <f t="shared" si="13"/>
        <v>100</v>
      </c>
      <c r="V45" s="1578" t="s">
        <v>11</v>
      </c>
      <c r="W45" s="1579">
        <f t="shared" si="14"/>
        <v>100</v>
      </c>
      <c r="X45" s="1572"/>
      <c r="Y45" s="3367"/>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7"/>
      <c r="Q46" s="1577">
        <f t="shared" si="11"/>
        <v>111</v>
      </c>
      <c r="R46" s="1578" t="s">
        <v>10</v>
      </c>
      <c r="S46" s="1579">
        <f t="shared" si="12"/>
        <v>100</v>
      </c>
      <c r="T46" s="1578" t="s">
        <v>10</v>
      </c>
      <c r="U46" s="1579">
        <f t="shared" si="13"/>
        <v>100</v>
      </c>
      <c r="V46" s="1578" t="s">
        <v>10</v>
      </c>
      <c r="W46" s="1579">
        <f t="shared" si="14"/>
        <v>100</v>
      </c>
      <c r="X46" s="1572"/>
      <c r="Y46" s="3437"/>
      <c r="Z46" s="1580">
        <f t="shared" si="15"/>
        <v>111</v>
      </c>
      <c r="AA46" s="1581">
        <f t="shared" si="3"/>
        <v>1</v>
      </c>
      <c r="AB46" s="1581">
        <f t="shared" si="4"/>
        <v>1</v>
      </c>
      <c r="AC46" s="1581">
        <f t="shared" si="5"/>
        <v>1</v>
      </c>
    </row>
    <row r="47" spans="1:29" ht="15">
      <c r="A47" s="610" t="s">
        <v>739</v>
      </c>
      <c r="B47" s="890"/>
      <c r="C47" s="2662" t="s">
        <v>9</v>
      </c>
      <c r="D47" s="2663"/>
      <c r="E47" s="2664">
        <f>ROUND(11000*0.99,0)</f>
        <v>10890</v>
      </c>
      <c r="F47" s="2665"/>
      <c r="G47" s="2666">
        <f>ROUND(13000*0.99,0)</f>
        <v>12870</v>
      </c>
      <c r="H47" s="2667"/>
      <c r="I47" s="2664">
        <f>ROUND(11500*0.99,0)</f>
        <v>11385</v>
      </c>
      <c r="J47" s="2667"/>
      <c r="K47" s="1611"/>
      <c r="L47" s="2154"/>
      <c r="M47" s="2155"/>
      <c r="N47" s="2144"/>
      <c r="O47" s="2155"/>
      <c r="P47" s="3329" t="str">
        <f>A47</f>
        <v>成交单价（元/平方米）</v>
      </c>
      <c r="Q47" s="3329"/>
      <c r="R47" s="3436">
        <f>E47</f>
        <v>10890</v>
      </c>
      <c r="S47" s="3436"/>
      <c r="T47" s="3436">
        <f>G47</f>
        <v>12870</v>
      </c>
      <c r="U47" s="3436"/>
      <c r="V47" s="3436">
        <f>I47</f>
        <v>11385</v>
      </c>
      <c r="W47" s="3436"/>
      <c r="X47" s="1564"/>
      <c r="Y47" s="1586"/>
      <c r="Z47" s="1564"/>
      <c r="AA47" s="1564"/>
      <c r="AB47" s="1564"/>
      <c r="AC47" s="1564"/>
    </row>
    <row r="48" spans="1:29" ht="15.75" thickBot="1">
      <c r="A48" s="618" t="s">
        <v>2777</v>
      </c>
      <c r="B48" s="891"/>
      <c r="C48" s="2668">
        <f>R49</f>
        <v>11428</v>
      </c>
      <c r="D48" s="2669"/>
      <c r="E48" s="2670">
        <f>R48</f>
        <v>11112</v>
      </c>
      <c r="F48" s="2670"/>
      <c r="G48" s="2668">
        <f>T48</f>
        <v>11786</v>
      </c>
      <c r="H48" s="2669"/>
      <c r="I48" s="2670">
        <f>V48</f>
        <v>11385</v>
      </c>
      <c r="J48" s="2669"/>
      <c r="K48" s="1612"/>
      <c r="L48" s="2154"/>
      <c r="M48" s="2155"/>
      <c r="N48" s="2155"/>
      <c r="O48" s="2155"/>
      <c r="P48" s="3329" t="str">
        <f>A48</f>
        <v>比较价格（元/平方米）</v>
      </c>
      <c r="Q48" s="3329"/>
      <c r="R48" s="3436">
        <f>IF(F1="售价",ROUND(PRODUCT(R47,AA7:AA46),0),ROUND(PRODUCT(R47,AA7:AA46),1))</f>
        <v>11112</v>
      </c>
      <c r="S48" s="3436"/>
      <c r="T48" s="3436">
        <f>IF(F1="售价",ROUND(PRODUCT(T47,AB7:AB46),0),ROUND(PRODUCT(T47,AB7:AB46),1))</f>
        <v>11786</v>
      </c>
      <c r="U48" s="3436"/>
      <c r="V48" s="3436">
        <f>IF(F1="售价",ROUND(PRODUCT(V47,AC7:AC46),0),ROUND(PRODUCT(V47,AC7:AC46),1))</f>
        <v>11385</v>
      </c>
      <c r="W48" s="3436"/>
      <c r="X48" s="1564"/>
      <c r="Y48" s="1564"/>
      <c r="Z48" s="1564"/>
      <c r="AA48" s="1564"/>
      <c r="AB48" s="1564"/>
      <c r="AC48" s="1564"/>
    </row>
    <row r="49" spans="1:29" ht="15.75" thickBot="1">
      <c r="A49" s="624" t="s">
        <v>2950</v>
      </c>
      <c r="B49" s="625"/>
      <c r="C49" s="2671">
        <f>R49</f>
        <v>11428</v>
      </c>
      <c r="D49" s="2671"/>
      <c r="E49" s="2671"/>
      <c r="F49" s="2671"/>
      <c r="G49" s="2671"/>
      <c r="H49" s="2671"/>
      <c r="I49" s="2671"/>
      <c r="J49" s="2671"/>
      <c r="K49" s="1613"/>
      <c r="L49" s="2154"/>
      <c r="M49" s="2155"/>
      <c r="N49" s="2155"/>
      <c r="O49" s="2155"/>
      <c r="P49" s="3326" t="str">
        <f>A49</f>
        <v>估价对象XX用房的比较价格（楼面单价，元/平方米）</v>
      </c>
      <c r="Q49" s="3327"/>
      <c r="R49" s="3435">
        <f>IF(F1="售价",ROUND(AVERAGE(R48:V48),0),ROUND(AVERAGE(R48:V48),1))</f>
        <v>11428</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2.0385674931129527E-2</v>
      </c>
      <c r="F52" s="630" t="str">
        <f>IF(OR(E52&gt;=0.3,E52&lt;=-0.3),"超过30%","")</f>
        <v/>
      </c>
      <c r="G52" s="629">
        <f>IF(G47&lt;G48,G48/G47-1,G47/G48-1)</f>
        <v>9.1973527914474884E-2</v>
      </c>
      <c r="H52" s="630" t="str">
        <f>IF(OR(G52&gt;=0.3,G52&lt;=-0.3),"超过30%","")</f>
        <v/>
      </c>
      <c r="I52" s="629">
        <f>IF(I47&lt;I48,I48/I47-1,I47/I48-1)</f>
        <v>0</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6.0655147588192904E-2</v>
      </c>
      <c r="F53" s="630" t="str">
        <f>IF(OR(E53&gt;=0.2,E53&lt;=-0.2),"超过20%","")</f>
        <v/>
      </c>
      <c r="G53" s="629">
        <f>IF(G48&lt;I48,I48/G48-1,G48/I48-1)</f>
        <v>3.5221783047870048E-2</v>
      </c>
      <c r="H53" s="630" t="str">
        <f>IF(OR(G53&gt;=0.2,G53&lt;=-0.2),"超过20%","")</f>
        <v/>
      </c>
      <c r="I53" s="629">
        <f>IF(I48&lt;E48,E48/I48-1,I48/E48-1)</f>
        <v>2.4568034557235441E-2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0.18181818181818188</v>
      </c>
      <c r="F54" s="630" t="str">
        <f>IF(OR(E54&gt;=0.3,E54&lt;=-0.3),"超过30%","")</f>
        <v/>
      </c>
      <c r="G54" s="629">
        <f>IF(G47&lt;I47,I47/G47-1,G47/I47-1)</f>
        <v>0.13043478260869557</v>
      </c>
      <c r="H54" s="630" t="str">
        <f>IF(OR(G54&gt;=0.3,G54&lt;=-0.3),"超过30%","")</f>
        <v/>
      </c>
      <c r="I54" s="629">
        <f>IF(I47&lt;E47,E47/I47-1,I47/E47-1)</f>
        <v>4.5454545454545414E-2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3018</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98</v>
      </c>
      <c r="E106" s="682">
        <f t="shared" si="26"/>
        <v>96</v>
      </c>
      <c r="F106" s="682">
        <f t="shared" si="26"/>
        <v>94</v>
      </c>
      <c r="G106" s="682">
        <f t="shared" si="26"/>
        <v>92</v>
      </c>
      <c r="H106" s="682">
        <f t="shared" si="26"/>
        <v>90</v>
      </c>
      <c r="I106" s="682">
        <f t="shared" si="26"/>
        <v>88</v>
      </c>
      <c r="J106" s="682">
        <f t="shared" si="26"/>
        <v>86</v>
      </c>
      <c r="K106" s="682">
        <f t="shared" si="26"/>
        <v>84</v>
      </c>
      <c r="L106" s="682">
        <f t="shared" si="26"/>
        <v>82</v>
      </c>
      <c r="M106" s="682">
        <f t="shared" si="26"/>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97</v>
      </c>
      <c r="E108" s="682">
        <f t="shared" si="27"/>
        <v>94</v>
      </c>
      <c r="F108" s="682">
        <f t="shared" si="27"/>
        <v>91</v>
      </c>
      <c r="G108" s="682">
        <f t="shared" si="27"/>
        <v>88</v>
      </c>
      <c r="H108" s="682">
        <f t="shared" si="27"/>
        <v>85</v>
      </c>
      <c r="I108" s="682">
        <f t="shared" si="27"/>
        <v>82</v>
      </c>
      <c r="J108" s="682">
        <f t="shared" si="27"/>
        <v>79</v>
      </c>
      <c r="K108" s="682">
        <f t="shared" si="27"/>
        <v>76</v>
      </c>
      <c r="L108" s="682">
        <f t="shared" si="27"/>
        <v>73</v>
      </c>
      <c r="M108" s="682">
        <f t="shared" si="27"/>
        <v>70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97</v>
      </c>
      <c r="E110" s="682">
        <f t="shared" si="28"/>
        <v>94</v>
      </c>
      <c r="F110" s="682">
        <f t="shared" si="28"/>
        <v>91</v>
      </c>
      <c r="G110" s="682">
        <f t="shared" si="28"/>
        <v>88</v>
      </c>
      <c r="H110" s="682">
        <f t="shared" si="28"/>
        <v>85</v>
      </c>
      <c r="I110" s="682">
        <f t="shared" si="28"/>
        <v>82</v>
      </c>
      <c r="J110" s="682">
        <f t="shared" si="28"/>
        <v>79</v>
      </c>
      <c r="K110" s="682">
        <f t="shared" si="28"/>
        <v>76</v>
      </c>
      <c r="L110" s="682">
        <f t="shared" si="28"/>
        <v>73</v>
      </c>
      <c r="M110" s="682">
        <f t="shared" si="28"/>
        <v>70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99</v>
      </c>
      <c r="E115" s="682">
        <f t="shared" si="29"/>
        <v>98</v>
      </c>
      <c r="F115" s="682">
        <f t="shared" si="29"/>
        <v>97</v>
      </c>
      <c r="G115" s="682">
        <f t="shared" si="29"/>
        <v>96</v>
      </c>
      <c r="H115" s="682">
        <f t="shared" si="29"/>
        <v>95</v>
      </c>
      <c r="I115" s="682">
        <f t="shared" si="29"/>
        <v>94</v>
      </c>
      <c r="J115" s="682">
        <f t="shared" si="29"/>
        <v>93</v>
      </c>
      <c r="K115" s="682">
        <f t="shared" si="29"/>
        <v>92</v>
      </c>
      <c r="L115" s="682">
        <f t="shared" si="29"/>
        <v>91</v>
      </c>
      <c r="M115" s="682">
        <f t="shared" si="29"/>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99</v>
      </c>
      <c r="E123" s="682">
        <f t="shared" si="31"/>
        <v>98</v>
      </c>
      <c r="F123" s="682">
        <f t="shared" si="31"/>
        <v>97</v>
      </c>
      <c r="G123" s="682">
        <f t="shared" si="31"/>
        <v>96</v>
      </c>
      <c r="H123" s="682">
        <f t="shared" si="31"/>
        <v>95</v>
      </c>
      <c r="I123" s="682">
        <f t="shared" si="31"/>
        <v>94</v>
      </c>
      <c r="J123" s="682">
        <f t="shared" si="31"/>
        <v>93</v>
      </c>
      <c r="K123" s="682">
        <f t="shared" si="31"/>
        <v>92</v>
      </c>
      <c r="L123" s="682">
        <f t="shared" si="31"/>
        <v>91</v>
      </c>
      <c r="M123" s="682">
        <f t="shared" si="31"/>
        <v>90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268"/>
  <sheetViews>
    <sheetView topLeftCell="A18" zoomScaleNormal="100" workbookViewId="0">
      <selection activeCell="I54" sqref="I54"/>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2975</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47199</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15250</v>
      </c>
      <c r="C3" s="855" t="s">
        <v>725</v>
      </c>
      <c r="D3" s="854">
        <f>SUMIF('数据-汇总表'!$C19:$C33,D1,'数据-汇总表'!$E19:$E33)</f>
        <v>30950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5" t="s">
        <v>523</v>
      </c>
      <c r="D4" s="3336"/>
      <c r="E4" s="3370" t="s">
        <v>524</v>
      </c>
      <c r="F4" s="3371"/>
      <c r="G4" s="3335" t="s">
        <v>525</v>
      </c>
      <c r="H4" s="3336"/>
      <c r="I4" s="3335" t="s">
        <v>526</v>
      </c>
      <c r="J4" s="3336"/>
      <c r="K4" s="856" t="s">
        <v>527</v>
      </c>
      <c r="L4" s="2143"/>
      <c r="M4" s="2144"/>
      <c r="N4" s="2144"/>
      <c r="O4" s="2144"/>
      <c r="P4" s="3337" t="s">
        <v>528</v>
      </c>
      <c r="Q4" s="3338"/>
      <c r="R4" s="3343" t="s">
        <v>524</v>
      </c>
      <c r="S4" s="3344"/>
      <c r="T4" s="3343" t="s">
        <v>525</v>
      </c>
      <c r="U4" s="3344"/>
      <c r="V4" s="3330" t="s">
        <v>526</v>
      </c>
      <c r="W4" s="3330"/>
      <c r="X4" s="3152"/>
      <c r="Y4" s="3343" t="s">
        <v>528</v>
      </c>
      <c r="Z4" s="3344"/>
      <c r="AA4" s="3332" t="s">
        <v>524</v>
      </c>
      <c r="AB4" s="3332" t="s">
        <v>525</v>
      </c>
      <c r="AC4" s="3332" t="s">
        <v>526</v>
      </c>
    </row>
    <row r="5" spans="1:29" ht="15">
      <c r="A5" s="518"/>
      <c r="B5" s="519"/>
      <c r="C5" s="3353" t="s">
        <v>2944</v>
      </c>
      <c r="D5" s="3352"/>
      <c r="E5" s="3440" t="s">
        <v>3011</v>
      </c>
      <c r="F5" s="3373"/>
      <c r="G5" s="3351" t="s">
        <v>3036</v>
      </c>
      <c r="H5" s="3352"/>
      <c r="I5" s="3351" t="s">
        <v>3012</v>
      </c>
      <c r="J5" s="3352"/>
      <c r="K5" s="857"/>
      <c r="L5" s="2143"/>
      <c r="M5" s="2144"/>
      <c r="N5" s="2144"/>
      <c r="O5" s="2144"/>
      <c r="P5" s="3339"/>
      <c r="Q5" s="3340"/>
      <c r="R5" s="3345"/>
      <c r="S5" s="3346"/>
      <c r="T5" s="3345"/>
      <c r="U5" s="3346"/>
      <c r="V5" s="3330"/>
      <c r="W5" s="3330"/>
      <c r="X5" s="3152"/>
      <c r="Y5" s="3345"/>
      <c r="Z5" s="3346"/>
      <c r="AA5" s="3333"/>
      <c r="AB5" s="3333"/>
      <c r="AC5" s="3333"/>
    </row>
    <row r="6" spans="1:29" ht="15.75" thickBot="1">
      <c r="A6" s="520"/>
      <c r="B6" s="521"/>
      <c r="C6" s="3349" t="s">
        <v>2948</v>
      </c>
      <c r="D6" s="3350"/>
      <c r="E6" s="3439" t="s">
        <v>3016</v>
      </c>
      <c r="F6" s="3369"/>
      <c r="G6" s="3438" t="s">
        <v>3029</v>
      </c>
      <c r="H6" s="3350"/>
      <c r="I6" s="3438" t="s">
        <v>3013</v>
      </c>
      <c r="J6" s="3350"/>
      <c r="K6" s="857" t="s">
        <v>529</v>
      </c>
      <c r="L6" s="2143"/>
      <c r="M6" s="2144"/>
      <c r="N6" s="2144"/>
      <c r="O6" s="2144"/>
      <c r="P6" s="3341"/>
      <c r="Q6" s="3342"/>
      <c r="R6" s="3345"/>
      <c r="S6" s="3346"/>
      <c r="T6" s="3347"/>
      <c r="U6" s="3348"/>
      <c r="V6" s="3330"/>
      <c r="W6" s="3330"/>
      <c r="X6" s="3152"/>
      <c r="Y6" s="3347"/>
      <c r="Z6" s="3348"/>
      <c r="AA6" s="3334"/>
      <c r="AB6" s="3334"/>
      <c r="AC6" s="3334"/>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61" t="s">
        <v>531</v>
      </c>
      <c r="Q7" s="3363"/>
      <c r="R7" s="1573" t="s">
        <v>13</v>
      </c>
      <c r="S7" s="1574">
        <f t="shared" ref="S7:S15" si="0">F7</f>
        <v>100</v>
      </c>
      <c r="T7" s="1573" t="s">
        <v>13</v>
      </c>
      <c r="U7" s="1574">
        <f t="shared" ref="U7:U15" si="1">H7</f>
        <v>100</v>
      </c>
      <c r="V7" s="1573" t="s">
        <v>13</v>
      </c>
      <c r="W7" s="1574">
        <f t="shared" ref="W7:W15" si="2">J7</f>
        <v>100</v>
      </c>
      <c r="X7" s="1575"/>
      <c r="Y7" s="3361" t="s">
        <v>531</v>
      </c>
      <c r="Z7" s="3362"/>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61" t="s">
        <v>534</v>
      </c>
      <c r="Q8" s="3362"/>
      <c r="R8" s="1573" t="s">
        <v>13</v>
      </c>
      <c r="S8" s="1574">
        <f t="shared" si="0"/>
        <v>100</v>
      </c>
      <c r="T8" s="1573" t="s">
        <v>13</v>
      </c>
      <c r="U8" s="1574">
        <f t="shared" si="1"/>
        <v>100</v>
      </c>
      <c r="V8" s="1573" t="s">
        <v>13</v>
      </c>
      <c r="W8" s="1574">
        <f t="shared" si="2"/>
        <v>100</v>
      </c>
      <c r="X8" s="1575"/>
      <c r="Y8" s="3361" t="s">
        <v>534</v>
      </c>
      <c r="Z8" s="3362"/>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9" t="s">
        <v>536</v>
      </c>
      <c r="Q9" s="3151" t="str">
        <f t="shared" ref="Q9:Q15" si="6">B9</f>
        <v>用途</v>
      </c>
      <c r="R9" s="1573" t="s">
        <v>8</v>
      </c>
      <c r="S9" s="1574">
        <f t="shared" si="0"/>
        <v>100</v>
      </c>
      <c r="T9" s="1573" t="s">
        <v>8</v>
      </c>
      <c r="U9" s="1574">
        <f t="shared" si="1"/>
        <v>100</v>
      </c>
      <c r="V9" s="1573" t="s">
        <v>8</v>
      </c>
      <c r="W9" s="1574">
        <f t="shared" si="2"/>
        <v>100</v>
      </c>
      <c r="X9" s="1575"/>
      <c r="Y9" s="3275" t="s">
        <v>537</v>
      </c>
      <c r="Z9" s="3150"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9"/>
      <c r="Q10" s="3151" t="str">
        <f t="shared" si="6"/>
        <v>土地使用年限（年）</v>
      </c>
      <c r="R10" s="1573" t="s">
        <v>8</v>
      </c>
      <c r="S10" s="1574">
        <f t="shared" si="0"/>
        <v>100</v>
      </c>
      <c r="T10" s="1573" t="s">
        <v>8</v>
      </c>
      <c r="U10" s="1574">
        <f t="shared" si="1"/>
        <v>100</v>
      </c>
      <c r="V10" s="1573" t="s">
        <v>8</v>
      </c>
      <c r="W10" s="1574">
        <f t="shared" si="2"/>
        <v>100</v>
      </c>
      <c r="X10" s="1575"/>
      <c r="Y10" s="3275"/>
      <c r="Z10" s="3150" t="str">
        <f t="shared" si="7"/>
        <v>土地使用年限（年）</v>
      </c>
      <c r="AA10" s="1576">
        <f t="shared" si="3"/>
        <v>1</v>
      </c>
      <c r="AB10" s="1576">
        <f t="shared" si="4"/>
        <v>1</v>
      </c>
      <c r="AC10" s="1576">
        <f t="shared" si="5"/>
        <v>1</v>
      </c>
    </row>
    <row r="11" spans="1:29" ht="15.75" thickBot="1">
      <c r="A11" s="2955"/>
      <c r="B11" s="2959" t="s">
        <v>2775</v>
      </c>
      <c r="C11" s="536">
        <f>'数据-汇总表'!I4</f>
        <v>2.31</v>
      </c>
      <c r="D11" s="255">
        <v>100</v>
      </c>
      <c r="E11" s="537">
        <v>2.5</v>
      </c>
      <c r="F11" s="866">
        <f>LOOKUP(E11,68:68,69:69)-LOOKUP(C11,68:68,69:69)+100</f>
        <v>100</v>
      </c>
      <c r="G11" s="536">
        <v>1.4</v>
      </c>
      <c r="H11" s="255">
        <f>LOOKUP(G11,68:68,69:69)-LOOKUP(C11,68:68,69:69)+100</f>
        <v>103</v>
      </c>
      <c r="I11" s="536">
        <v>2.5</v>
      </c>
      <c r="J11" s="255">
        <f>LOOKUP(I11,68:68,69:69)-LOOKUP(C11,68:68,69:69)+100</f>
        <v>100</v>
      </c>
      <c r="K11" s="867">
        <f>'比较法-住宅、综合'!K13</f>
        <v>3</v>
      </c>
      <c r="L11" s="2150"/>
      <c r="M11" s="2144"/>
      <c r="N11" s="2144"/>
      <c r="O11" s="2151"/>
      <c r="P11" s="3329"/>
      <c r="Q11" s="3151" t="str">
        <f t="shared" si="6"/>
        <v>容积率</v>
      </c>
      <c r="R11" s="1573" t="s">
        <v>10</v>
      </c>
      <c r="S11" s="1574">
        <f t="shared" si="0"/>
        <v>100</v>
      </c>
      <c r="T11" s="1573" t="s">
        <v>10</v>
      </c>
      <c r="U11" s="1574">
        <f t="shared" si="1"/>
        <v>103</v>
      </c>
      <c r="V11" s="1573" t="s">
        <v>10</v>
      </c>
      <c r="W11" s="1574">
        <f t="shared" si="2"/>
        <v>100</v>
      </c>
      <c r="X11" s="1575"/>
      <c r="Y11" s="3275"/>
      <c r="Z11" s="3150" t="str">
        <f t="shared" si="7"/>
        <v>容积率</v>
      </c>
      <c r="AA11" s="1576">
        <f t="shared" si="3"/>
        <v>1</v>
      </c>
      <c r="AB11" s="1576">
        <f t="shared" si="4"/>
        <v>0.970873786407767</v>
      </c>
      <c r="AC11" s="1576">
        <f t="shared" si="5"/>
        <v>1</v>
      </c>
    </row>
    <row r="12" spans="1:29" s="1223" customFormat="1" ht="15.75" hidden="1" thickBot="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9"/>
      <c r="Q12" s="3151">
        <f t="shared" si="6"/>
        <v>111</v>
      </c>
      <c r="R12" s="1573" t="s">
        <v>10</v>
      </c>
      <c r="S12" s="1574">
        <f t="shared" si="0"/>
        <v>100</v>
      </c>
      <c r="T12" s="1573" t="s">
        <v>10</v>
      </c>
      <c r="U12" s="1574">
        <f t="shared" si="1"/>
        <v>100</v>
      </c>
      <c r="V12" s="1573" t="s">
        <v>10</v>
      </c>
      <c r="W12" s="1574">
        <f t="shared" si="2"/>
        <v>100</v>
      </c>
      <c r="X12" s="1575"/>
      <c r="Y12" s="3275"/>
      <c r="Z12" s="3150">
        <f t="shared" si="7"/>
        <v>111</v>
      </c>
      <c r="AA12" s="1576">
        <f>D12/F12</f>
        <v>1</v>
      </c>
      <c r="AB12" s="1576">
        <f>D12/H12</f>
        <v>1</v>
      </c>
      <c r="AC12" s="1576">
        <f>D12/J12</f>
        <v>1</v>
      </c>
    </row>
    <row r="13" spans="1:29" ht="15.75" hidden="1" thickBot="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9"/>
      <c r="Q13" s="3151">
        <f t="shared" si="6"/>
        <v>111</v>
      </c>
      <c r="R13" s="1573" t="s">
        <v>10</v>
      </c>
      <c r="S13" s="1574">
        <f t="shared" si="0"/>
        <v>100</v>
      </c>
      <c r="T13" s="1573" t="s">
        <v>10</v>
      </c>
      <c r="U13" s="1574">
        <f t="shared" si="1"/>
        <v>100</v>
      </c>
      <c r="V13" s="1573" t="s">
        <v>10</v>
      </c>
      <c r="W13" s="1574">
        <f t="shared" si="2"/>
        <v>100</v>
      </c>
      <c r="X13" s="1575"/>
      <c r="Y13" s="3275"/>
      <c r="Z13" s="3150">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9"/>
      <c r="Q14" s="3151">
        <f t="shared" si="6"/>
        <v>111</v>
      </c>
      <c r="R14" s="1573" t="s">
        <v>10</v>
      </c>
      <c r="S14" s="1574">
        <f t="shared" si="0"/>
        <v>100</v>
      </c>
      <c r="T14" s="1573" t="s">
        <v>10</v>
      </c>
      <c r="U14" s="1574">
        <f t="shared" si="1"/>
        <v>100</v>
      </c>
      <c r="V14" s="1573" t="s">
        <v>10</v>
      </c>
      <c r="W14" s="1574">
        <f t="shared" si="2"/>
        <v>100</v>
      </c>
      <c r="X14" s="1575"/>
      <c r="Y14" s="3275"/>
      <c r="Z14" s="3150">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95</v>
      </c>
      <c r="I15" s="553"/>
      <c r="J15" s="552">
        <f>SUMIF(76:76,I16,77:77)-SUMIF(76:76,C16,77:77)+100</f>
        <v>100</v>
      </c>
      <c r="K15" s="871">
        <f>'比较法-住宅、综合'!K17</f>
        <v>5</v>
      </c>
      <c r="L15" s="2152"/>
      <c r="M15" s="2144"/>
      <c r="N15" s="2144"/>
      <c r="O15" s="2151"/>
      <c r="P15" s="3364" t="s">
        <v>541</v>
      </c>
      <c r="Q15" s="3153" t="str">
        <f t="shared" si="6"/>
        <v>居住社区成熟度</v>
      </c>
      <c r="R15" s="1578" t="s">
        <v>10</v>
      </c>
      <c r="S15" s="1579">
        <f t="shared" si="0"/>
        <v>100</v>
      </c>
      <c r="T15" s="1578" t="s">
        <v>10</v>
      </c>
      <c r="U15" s="1579">
        <f t="shared" si="1"/>
        <v>95</v>
      </c>
      <c r="V15" s="1578" t="s">
        <v>10</v>
      </c>
      <c r="W15" s="1579">
        <f t="shared" si="2"/>
        <v>100</v>
      </c>
      <c r="X15" s="3152"/>
      <c r="Y15" s="3364" t="s">
        <v>541</v>
      </c>
      <c r="Z15" s="3154" t="str">
        <f t="shared" si="7"/>
        <v>居住社区成熟度</v>
      </c>
      <c r="AA15" s="3155">
        <f t="shared" si="3"/>
        <v>1</v>
      </c>
      <c r="AB15" s="3155">
        <f t="shared" si="4"/>
        <v>1.0526315789473684</v>
      </c>
      <c r="AC15" s="3155">
        <f t="shared" si="5"/>
        <v>1</v>
      </c>
    </row>
    <row r="16" spans="1:29" ht="15">
      <c r="A16" s="535"/>
      <c r="B16" s="872"/>
      <c r="C16" s="579" t="s">
        <v>2999</v>
      </c>
      <c r="D16" s="558"/>
      <c r="E16" s="559" t="s">
        <v>2999</v>
      </c>
      <c r="F16" s="560"/>
      <c r="G16" s="561" t="s">
        <v>3009</v>
      </c>
      <c r="H16" s="562"/>
      <c r="I16" s="559" t="s">
        <v>2999</v>
      </c>
      <c r="J16" s="558"/>
      <c r="K16" s="873"/>
      <c r="L16" s="2152"/>
      <c r="M16" s="2144"/>
      <c r="N16" s="2144"/>
      <c r="O16" s="2151"/>
      <c r="P16" s="3365"/>
      <c r="Q16" s="3153"/>
      <c r="R16" s="1578"/>
      <c r="S16" s="1579"/>
      <c r="T16" s="1578"/>
      <c r="U16" s="1579"/>
      <c r="V16" s="1578"/>
      <c r="W16" s="1579"/>
      <c r="X16" s="3152"/>
      <c r="Y16" s="3365"/>
      <c r="Z16" s="3154"/>
      <c r="AA16" s="3155">
        <v>1</v>
      </c>
      <c r="AB16" s="3155">
        <v>1</v>
      </c>
      <c r="AC16" s="3155">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97</v>
      </c>
      <c r="I17" s="565"/>
      <c r="J17" s="568">
        <f>SUMIF(78:78,I18,79:79)-SUMIF(78:78,C18,79:79)+100</f>
        <v>100</v>
      </c>
      <c r="K17" s="871">
        <f>'比较法-住宅、综合'!K23</f>
        <v>3</v>
      </c>
      <c r="L17" s="2152"/>
      <c r="M17" s="2144"/>
      <c r="N17" s="2144"/>
      <c r="O17" s="2151"/>
      <c r="P17" s="3365"/>
      <c r="Q17" s="3153" t="str">
        <f>B17</f>
        <v>交通便捷度</v>
      </c>
      <c r="R17" s="1578" t="s">
        <v>10</v>
      </c>
      <c r="S17" s="1579">
        <f>F17</f>
        <v>100</v>
      </c>
      <c r="T17" s="1578" t="s">
        <v>10</v>
      </c>
      <c r="U17" s="1579">
        <f>H17</f>
        <v>97</v>
      </c>
      <c r="V17" s="1578" t="s">
        <v>10</v>
      </c>
      <c r="W17" s="1579">
        <f>J17</f>
        <v>100</v>
      </c>
      <c r="X17" s="3152"/>
      <c r="Y17" s="3365"/>
      <c r="Z17" s="3154" t="str">
        <f>Q17</f>
        <v>交通便捷度</v>
      </c>
      <c r="AA17" s="3155">
        <f t="shared" si="3"/>
        <v>1</v>
      </c>
      <c r="AB17" s="3155">
        <f t="shared" si="4"/>
        <v>1.0309278350515463</v>
      </c>
      <c r="AC17" s="3155">
        <f t="shared" si="5"/>
        <v>1</v>
      </c>
    </row>
    <row r="18" spans="1:29" ht="15">
      <c r="A18" s="535"/>
      <c r="B18" s="598"/>
      <c r="C18" s="876" t="s">
        <v>2999</v>
      </c>
      <c r="D18" s="562"/>
      <c r="E18" s="571" t="s">
        <v>2999</v>
      </c>
      <c r="F18" s="566"/>
      <c r="G18" s="572" t="s">
        <v>3009</v>
      </c>
      <c r="H18" s="558"/>
      <c r="I18" s="571" t="s">
        <v>2999</v>
      </c>
      <c r="J18" s="558"/>
      <c r="K18" s="873"/>
      <c r="L18" s="2152"/>
      <c r="M18" s="2144"/>
      <c r="N18" s="2144"/>
      <c r="O18" s="2151"/>
      <c r="P18" s="3365"/>
      <c r="Q18" s="3153"/>
      <c r="R18" s="1578"/>
      <c r="S18" s="1579"/>
      <c r="T18" s="1578"/>
      <c r="U18" s="1579"/>
      <c r="V18" s="1578"/>
      <c r="W18" s="1579"/>
      <c r="X18" s="3152"/>
      <c r="Y18" s="3365"/>
      <c r="Z18" s="3154"/>
      <c r="AA18" s="3155">
        <v>1</v>
      </c>
      <c r="AB18" s="3155">
        <v>1</v>
      </c>
      <c r="AC18" s="3155">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98</v>
      </c>
      <c r="I19" s="573"/>
      <c r="J19" s="562">
        <f>SUMIF(80:80,I20,81:81)-SUMIF(80:80,C20,81:81)+100</f>
        <v>100</v>
      </c>
      <c r="K19" s="871">
        <f>'比较法-住宅、综合'!K29</f>
        <v>2</v>
      </c>
      <c r="L19" s="2152"/>
      <c r="M19" s="2144"/>
      <c r="N19" s="2144"/>
      <c r="O19" s="2151"/>
      <c r="P19" s="3365"/>
      <c r="Q19" s="3153" t="str">
        <f>B19</f>
        <v>公共配套设施</v>
      </c>
      <c r="R19" s="1578" t="s">
        <v>10</v>
      </c>
      <c r="S19" s="1579">
        <f>F19</f>
        <v>100</v>
      </c>
      <c r="T19" s="1578" t="s">
        <v>10</v>
      </c>
      <c r="U19" s="1579">
        <f>H19</f>
        <v>98</v>
      </c>
      <c r="V19" s="1578" t="s">
        <v>10</v>
      </c>
      <c r="W19" s="1579">
        <f>J19</f>
        <v>100</v>
      </c>
      <c r="X19" s="3152"/>
      <c r="Y19" s="3365"/>
      <c r="Z19" s="3154" t="str">
        <f>Q19</f>
        <v>公共配套设施</v>
      </c>
      <c r="AA19" s="3155">
        <f t="shared" si="3"/>
        <v>1</v>
      </c>
      <c r="AB19" s="3155">
        <f t="shared" si="4"/>
        <v>1.0204081632653061</v>
      </c>
      <c r="AC19" s="3155">
        <f t="shared" si="5"/>
        <v>1</v>
      </c>
    </row>
    <row r="20" spans="1:29" ht="15">
      <c r="A20" s="535"/>
      <c r="B20" s="598"/>
      <c r="C20" s="579" t="s">
        <v>2999</v>
      </c>
      <c r="D20" s="558"/>
      <c r="E20" s="559" t="s">
        <v>2999</v>
      </c>
      <c r="F20" s="560"/>
      <c r="G20" s="561" t="s">
        <v>3009</v>
      </c>
      <c r="H20" s="558"/>
      <c r="I20" s="559" t="s">
        <v>2999</v>
      </c>
      <c r="J20" s="558"/>
      <c r="K20" s="873"/>
      <c r="L20" s="2152"/>
      <c r="M20" s="2144"/>
      <c r="N20" s="2144"/>
      <c r="O20" s="2151"/>
      <c r="P20" s="3365"/>
      <c r="Q20" s="3153"/>
      <c r="R20" s="1578"/>
      <c r="S20" s="1579"/>
      <c r="T20" s="1578"/>
      <c r="U20" s="1579"/>
      <c r="V20" s="1578"/>
      <c r="W20" s="1579"/>
      <c r="X20" s="3152"/>
      <c r="Y20" s="3365"/>
      <c r="Z20" s="3154"/>
      <c r="AA20" s="3155">
        <v>1</v>
      </c>
      <c r="AB20" s="3155">
        <v>1</v>
      </c>
      <c r="AC20" s="3155">
        <v>1</v>
      </c>
    </row>
    <row r="21" spans="1:29" ht="28.5">
      <c r="A21" s="535"/>
      <c r="B21" s="2628" t="s">
        <v>2561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5"/>
      <c r="Q21" s="3153" t="str">
        <f>B21</f>
        <v>基础设施水平</v>
      </c>
      <c r="R21" s="1578" t="s">
        <v>10</v>
      </c>
      <c r="S21" s="1579">
        <f>F21</f>
        <v>100</v>
      </c>
      <c r="T21" s="1578" t="s">
        <v>10</v>
      </c>
      <c r="U21" s="1579">
        <f>H21</f>
        <v>100</v>
      </c>
      <c r="V21" s="1578" t="s">
        <v>10</v>
      </c>
      <c r="W21" s="1579">
        <f>J21</f>
        <v>100</v>
      </c>
      <c r="X21" s="3152"/>
      <c r="Y21" s="3365"/>
      <c r="Z21" s="3154" t="str">
        <f>Q21</f>
        <v>基础设施水平</v>
      </c>
      <c r="AA21" s="3155">
        <f t="shared" ref="AA21" si="8">D21/F21</f>
        <v>1</v>
      </c>
      <c r="AB21" s="3155">
        <f t="shared" ref="AB21" si="9">D21/H21</f>
        <v>1</v>
      </c>
      <c r="AC21" s="3155">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5"/>
      <c r="Q22" s="3153"/>
      <c r="R22" s="1578"/>
      <c r="S22" s="1579"/>
      <c r="T22" s="1578"/>
      <c r="U22" s="1579"/>
      <c r="V22" s="1578"/>
      <c r="W22" s="1579"/>
      <c r="X22" s="3152"/>
      <c r="Y22" s="3365"/>
      <c r="Z22" s="3154"/>
      <c r="AA22" s="3155">
        <v>1</v>
      </c>
      <c r="AB22" s="3155">
        <v>1</v>
      </c>
      <c r="AC22" s="3155">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105</v>
      </c>
      <c r="I23" s="565"/>
      <c r="J23" s="562">
        <f>SUMIF(84:84,I24,85:85)-SUMIF(84:84,C24,85:85)+100</f>
        <v>100</v>
      </c>
      <c r="K23" s="871">
        <f>'比较法-住宅、综合'!K27</f>
        <v>5</v>
      </c>
      <c r="L23" s="2152"/>
      <c r="M23" s="2144"/>
      <c r="N23" s="2144"/>
      <c r="O23" s="2151"/>
      <c r="P23" s="3365"/>
      <c r="Q23" s="3153" t="str">
        <f>B23</f>
        <v>自然及人文环境</v>
      </c>
      <c r="R23" s="1578" t="s">
        <v>10</v>
      </c>
      <c r="S23" s="1579">
        <f>F23</f>
        <v>100</v>
      </c>
      <c r="T23" s="1578" t="s">
        <v>10</v>
      </c>
      <c r="U23" s="1579">
        <f>H23</f>
        <v>105</v>
      </c>
      <c r="V23" s="1578" t="s">
        <v>10</v>
      </c>
      <c r="W23" s="1579">
        <f>J23</f>
        <v>100</v>
      </c>
      <c r="X23" s="3152"/>
      <c r="Y23" s="3365"/>
      <c r="Z23" s="3154" t="str">
        <f>Q23</f>
        <v>自然及人文环境</v>
      </c>
      <c r="AA23" s="3155">
        <f t="shared" si="3"/>
        <v>1</v>
      </c>
      <c r="AB23" s="3155">
        <f t="shared" si="4"/>
        <v>0.95238095238095233</v>
      </c>
      <c r="AC23" s="3155">
        <f t="shared" si="5"/>
        <v>1</v>
      </c>
    </row>
    <row r="24" spans="1:29" ht="15.75" thickBot="1">
      <c r="A24" s="535"/>
      <c r="B24" s="598"/>
      <c r="C24" s="579" t="s">
        <v>3009</v>
      </c>
      <c r="D24" s="558"/>
      <c r="E24" s="559" t="s">
        <v>3009</v>
      </c>
      <c r="F24" s="560"/>
      <c r="G24" s="561" t="s">
        <v>2999</v>
      </c>
      <c r="H24" s="558"/>
      <c r="I24" s="559" t="s">
        <v>3009</v>
      </c>
      <c r="J24" s="558"/>
      <c r="K24" s="873"/>
      <c r="L24" s="2152"/>
      <c r="M24" s="2144"/>
      <c r="N24" s="2144"/>
      <c r="O24" s="2151"/>
      <c r="P24" s="3365"/>
      <c r="Q24" s="3153"/>
      <c r="R24" s="1578"/>
      <c r="S24" s="1579"/>
      <c r="T24" s="1578"/>
      <c r="U24" s="1579"/>
      <c r="V24" s="1578"/>
      <c r="W24" s="1579"/>
      <c r="X24" s="3152"/>
      <c r="Y24" s="3365"/>
      <c r="Z24" s="3154"/>
      <c r="AA24" s="3155">
        <v>1</v>
      </c>
      <c r="AB24" s="3155">
        <v>1</v>
      </c>
      <c r="AC24" s="3155">
        <v>1</v>
      </c>
    </row>
    <row r="25" spans="1:29" ht="15.75" hidden="1" thickBot="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5"/>
      <c r="Q25" s="3153" t="str">
        <f t="shared" ref="Q25:Q46" si="11">B25</f>
        <v>楼层-1</v>
      </c>
      <c r="R25" s="1578" t="s">
        <v>10</v>
      </c>
      <c r="S25" s="1579">
        <f>F25</f>
        <v>100</v>
      </c>
      <c r="T25" s="1578" t="s">
        <v>10</v>
      </c>
      <c r="U25" s="1579">
        <f>H25</f>
        <v>100</v>
      </c>
      <c r="V25" s="1578" t="s">
        <v>10</v>
      </c>
      <c r="W25" s="1579">
        <f>J25</f>
        <v>100</v>
      </c>
      <c r="X25" s="3152"/>
      <c r="Y25" s="3365"/>
      <c r="Z25" s="3154" t="str">
        <f>Q25</f>
        <v>楼层-1</v>
      </c>
      <c r="AA25" s="3155">
        <f t="shared" si="3"/>
        <v>1</v>
      </c>
      <c r="AB25" s="3155">
        <f t="shared" si="4"/>
        <v>1</v>
      </c>
      <c r="AC25" s="3155">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5"/>
      <c r="Q26" s="3153" t="str">
        <f t="shared" si="11"/>
        <v>朝向</v>
      </c>
      <c r="R26" s="1578" t="s">
        <v>10</v>
      </c>
      <c r="S26" s="1579">
        <f>F26</f>
        <v>100</v>
      </c>
      <c r="T26" s="1578" t="s">
        <v>10</v>
      </c>
      <c r="U26" s="1579">
        <f>H26</f>
        <v>100</v>
      </c>
      <c r="V26" s="1578" t="s">
        <v>10</v>
      </c>
      <c r="W26" s="1579">
        <f>J26</f>
        <v>100</v>
      </c>
      <c r="X26" s="3152"/>
      <c r="Y26" s="3365"/>
      <c r="Z26" s="3154" t="str">
        <f>Q26</f>
        <v>朝向</v>
      </c>
      <c r="AA26" s="3155">
        <f t="shared" si="3"/>
        <v>1</v>
      </c>
      <c r="AB26" s="3155">
        <f t="shared" si="4"/>
        <v>1</v>
      </c>
      <c r="AC26" s="3155">
        <f t="shared" si="5"/>
        <v>1</v>
      </c>
    </row>
    <row r="27" spans="1:29" s="1223" customFormat="1" ht="15.75" hidden="1" thickBot="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5"/>
      <c r="Q27" s="3151" t="str">
        <f t="shared" si="11"/>
        <v>道路级别</v>
      </c>
      <c r="R27" s="1573" t="s">
        <v>10</v>
      </c>
      <c r="S27" s="1574">
        <f>F27</f>
        <v>100</v>
      </c>
      <c r="T27" s="1573" t="s">
        <v>10</v>
      </c>
      <c r="U27" s="1574">
        <f>H27</f>
        <v>100</v>
      </c>
      <c r="V27" s="1573" t="s">
        <v>10</v>
      </c>
      <c r="W27" s="1574">
        <f>J27</f>
        <v>100</v>
      </c>
      <c r="X27" s="1575"/>
      <c r="Y27" s="3365"/>
      <c r="Z27" s="3150" t="str">
        <f>Q27</f>
        <v>道路级别</v>
      </c>
      <c r="AA27" s="3155">
        <f>D27/F27</f>
        <v>1</v>
      </c>
      <c r="AB27" s="3155">
        <f>D27/H27</f>
        <v>1</v>
      </c>
      <c r="AC27" s="315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5"/>
      <c r="Q28" s="3153">
        <f t="shared" si="11"/>
        <v>111</v>
      </c>
      <c r="R28" s="1578" t="s">
        <v>10</v>
      </c>
      <c r="S28" s="1579">
        <f t="shared" ref="S28:S46" si="12">F28</f>
        <v>100</v>
      </c>
      <c r="T28" s="1578" t="s">
        <v>10</v>
      </c>
      <c r="U28" s="1579">
        <f t="shared" ref="U28:U46" si="13">H28</f>
        <v>100</v>
      </c>
      <c r="V28" s="1578" t="s">
        <v>10</v>
      </c>
      <c r="W28" s="1579">
        <f t="shared" ref="W28:W46" si="14">J28</f>
        <v>100</v>
      </c>
      <c r="X28" s="3152"/>
      <c r="Y28" s="3365"/>
      <c r="Z28" s="3154">
        <f t="shared" ref="Z28:Z46" si="15">Q28</f>
        <v>111</v>
      </c>
      <c r="AA28" s="3155">
        <f t="shared" si="3"/>
        <v>1</v>
      </c>
      <c r="AB28" s="3155">
        <f t="shared" si="4"/>
        <v>1</v>
      </c>
      <c r="AC28" s="315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5"/>
      <c r="Q29" s="3153">
        <f t="shared" si="11"/>
        <v>111</v>
      </c>
      <c r="R29" s="1578" t="s">
        <v>10</v>
      </c>
      <c r="S29" s="1579">
        <f t="shared" si="12"/>
        <v>100</v>
      </c>
      <c r="T29" s="1578" t="s">
        <v>10</v>
      </c>
      <c r="U29" s="1579">
        <f t="shared" si="13"/>
        <v>100</v>
      </c>
      <c r="V29" s="1578" t="s">
        <v>10</v>
      </c>
      <c r="W29" s="1579">
        <f t="shared" si="14"/>
        <v>100</v>
      </c>
      <c r="X29" s="3152"/>
      <c r="Y29" s="3365"/>
      <c r="Z29" s="3154">
        <f t="shared" si="15"/>
        <v>111</v>
      </c>
      <c r="AA29" s="3155">
        <f t="shared" si="3"/>
        <v>1</v>
      </c>
      <c r="AB29" s="3155">
        <f t="shared" si="4"/>
        <v>1</v>
      </c>
      <c r="AC29" s="315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5"/>
      <c r="Q30" s="3153">
        <f t="shared" si="11"/>
        <v>111</v>
      </c>
      <c r="R30" s="1578" t="s">
        <v>10</v>
      </c>
      <c r="S30" s="1579">
        <f t="shared" si="12"/>
        <v>100</v>
      </c>
      <c r="T30" s="1578" t="s">
        <v>10</v>
      </c>
      <c r="U30" s="1579">
        <f t="shared" si="13"/>
        <v>100</v>
      </c>
      <c r="V30" s="1578" t="s">
        <v>10</v>
      </c>
      <c r="W30" s="1579">
        <f t="shared" si="14"/>
        <v>100</v>
      </c>
      <c r="X30" s="3152"/>
      <c r="Y30" s="3365"/>
      <c r="Z30" s="3154">
        <f t="shared" si="15"/>
        <v>111</v>
      </c>
      <c r="AA30" s="3155">
        <f t="shared" si="3"/>
        <v>1</v>
      </c>
      <c r="AB30" s="3155">
        <f t="shared" si="4"/>
        <v>1</v>
      </c>
      <c r="AC30" s="315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5"/>
      <c r="Q31" s="3153">
        <f t="shared" si="11"/>
        <v>111</v>
      </c>
      <c r="R31" s="1578" t="s">
        <v>10</v>
      </c>
      <c r="S31" s="1579">
        <f t="shared" si="12"/>
        <v>100</v>
      </c>
      <c r="T31" s="1578" t="s">
        <v>10</v>
      </c>
      <c r="U31" s="1579">
        <f t="shared" si="13"/>
        <v>100</v>
      </c>
      <c r="V31" s="1578" t="s">
        <v>10</v>
      </c>
      <c r="W31" s="1579">
        <f t="shared" si="14"/>
        <v>100</v>
      </c>
      <c r="X31" s="3152"/>
      <c r="Y31" s="3365"/>
      <c r="Z31" s="3154">
        <f t="shared" si="15"/>
        <v>111</v>
      </c>
      <c r="AA31" s="3155">
        <f t="shared" si="3"/>
        <v>1</v>
      </c>
      <c r="AB31" s="3155">
        <f t="shared" si="4"/>
        <v>1</v>
      </c>
      <c r="AC31" s="3155">
        <f t="shared" si="5"/>
        <v>1</v>
      </c>
    </row>
    <row r="32" spans="1:29" ht="15">
      <c r="A32" s="2946" t="s">
        <v>2772</v>
      </c>
      <c r="B32" s="172" t="s">
        <v>728</v>
      </c>
      <c r="C32" s="881" t="s">
        <v>2975</v>
      </c>
      <c r="D32" s="600">
        <v>100</v>
      </c>
      <c r="E32" s="882" t="s">
        <v>2975</v>
      </c>
      <c r="F32" s="578">
        <f>SUMIF(100:100,E32,101:101)-SUMIF(100:100,C32,101:101)+100</f>
        <v>100</v>
      </c>
      <c r="G32" s="881" t="s">
        <v>2975</v>
      </c>
      <c r="H32" s="600">
        <f>SUMIF(100:100,G32,101:101)-SUMIF(100:100,C32,101:101)+100</f>
        <v>100</v>
      </c>
      <c r="I32" s="882" t="s">
        <v>2975</v>
      </c>
      <c r="J32" s="543">
        <f>SUMIF(100:100,I32,101:101)-SUMIF(100:100,C32,101:101)+100</f>
        <v>100</v>
      </c>
      <c r="K32" s="867">
        <v>2</v>
      </c>
      <c r="L32" s="2152"/>
      <c r="M32" s="2144"/>
      <c r="N32" s="2144"/>
      <c r="O32" s="2151"/>
      <c r="P32" s="3366" t="s">
        <v>551</v>
      </c>
      <c r="Q32" s="3153" t="str">
        <f t="shared" si="11"/>
        <v>建筑类型</v>
      </c>
      <c r="R32" s="1578" t="s">
        <v>10</v>
      </c>
      <c r="S32" s="1579">
        <f t="shared" si="12"/>
        <v>100</v>
      </c>
      <c r="T32" s="1578" t="s">
        <v>10</v>
      </c>
      <c r="U32" s="1579">
        <f t="shared" si="13"/>
        <v>100</v>
      </c>
      <c r="V32" s="1578" t="s">
        <v>10</v>
      </c>
      <c r="W32" s="1579">
        <f t="shared" si="14"/>
        <v>100</v>
      </c>
      <c r="X32" s="3152"/>
      <c r="Y32" s="3367" t="s">
        <v>551</v>
      </c>
      <c r="Z32" s="3154" t="str">
        <f t="shared" si="15"/>
        <v>建筑类型</v>
      </c>
      <c r="AA32" s="3155">
        <f t="shared" si="3"/>
        <v>1</v>
      </c>
      <c r="AB32" s="3155">
        <f t="shared" si="4"/>
        <v>1</v>
      </c>
      <c r="AC32" s="3155">
        <f t="shared" si="5"/>
        <v>1</v>
      </c>
    </row>
    <row r="33" spans="1:29" s="1342" customFormat="1" ht="15">
      <c r="A33" s="606"/>
      <c r="B33" s="530" t="s">
        <v>729</v>
      </c>
      <c r="C33" s="883">
        <f>'数据-汇总表'!E31</f>
        <v>289959.02999999997</v>
      </c>
      <c r="D33" s="255">
        <v>100</v>
      </c>
      <c r="E33" s="537">
        <v>78851</v>
      </c>
      <c r="F33" s="866">
        <f>LOOKUP(E33,103:103,104:104)-LOOKUP(C33,103:103,104:104)+100</f>
        <v>98</v>
      </c>
      <c r="G33" s="536">
        <v>280000</v>
      </c>
      <c r="H33" s="255">
        <f>LOOKUP(G33,103:103,104:104)-LOOKUP(C33,103:103,104:104)+100</f>
        <v>100</v>
      </c>
      <c r="I33" s="537">
        <v>280000</v>
      </c>
      <c r="J33" s="255">
        <f>LOOKUP(I33,103:103,104:104)-LOOKUP(C33,103:103,104:104)+100</f>
        <v>100</v>
      </c>
      <c r="K33" s="868"/>
      <c r="L33" s="2150"/>
      <c r="M33" s="2181"/>
      <c r="N33" s="2181"/>
      <c r="O33" s="2153"/>
      <c r="P33" s="3367"/>
      <c r="Q33" s="1610" t="str">
        <f t="shared" si="11"/>
        <v>项目建筑规模</v>
      </c>
      <c r="R33" s="1582" t="s">
        <v>10</v>
      </c>
      <c r="S33" s="1583">
        <f t="shared" si="12"/>
        <v>98</v>
      </c>
      <c r="T33" s="1582" t="s">
        <v>10</v>
      </c>
      <c r="U33" s="1583">
        <f t="shared" si="13"/>
        <v>100</v>
      </c>
      <c r="V33" s="1582" t="s">
        <v>10</v>
      </c>
      <c r="W33" s="1583">
        <f t="shared" si="14"/>
        <v>100</v>
      </c>
      <c r="X33" s="1584"/>
      <c r="Y33" s="3367"/>
      <c r="Z33" s="1585" t="str">
        <f t="shared" si="15"/>
        <v>项目建筑规模</v>
      </c>
      <c r="AA33" s="3155">
        <f t="shared" si="3"/>
        <v>1.0204081632653061</v>
      </c>
      <c r="AB33" s="3155">
        <f t="shared" si="4"/>
        <v>1</v>
      </c>
      <c r="AC33" s="3155">
        <f t="shared" si="5"/>
        <v>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v>2</v>
      </c>
      <c r="L34" s="2152"/>
      <c r="M34" s="2144"/>
      <c r="N34" s="2144"/>
      <c r="O34" s="2151"/>
      <c r="P34" s="3367"/>
      <c r="Q34" s="3153" t="str">
        <f t="shared" si="11"/>
        <v>建筑结构</v>
      </c>
      <c r="R34" s="1578" t="s">
        <v>10</v>
      </c>
      <c r="S34" s="1579">
        <f t="shared" si="12"/>
        <v>100</v>
      </c>
      <c r="T34" s="1578" t="s">
        <v>10</v>
      </c>
      <c r="U34" s="1579">
        <f t="shared" si="13"/>
        <v>100</v>
      </c>
      <c r="V34" s="1578" t="s">
        <v>10</v>
      </c>
      <c r="W34" s="1579">
        <f t="shared" si="14"/>
        <v>100</v>
      </c>
      <c r="X34" s="3152"/>
      <c r="Y34" s="3367"/>
      <c r="Z34" s="3154" t="str">
        <f t="shared" si="15"/>
        <v>建筑结构</v>
      </c>
      <c r="AA34" s="3155">
        <f t="shared" si="3"/>
        <v>1</v>
      </c>
      <c r="AB34" s="3155">
        <f t="shared" si="4"/>
        <v>1</v>
      </c>
      <c r="AC34" s="3155">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v>3</v>
      </c>
      <c r="L35" s="2152"/>
      <c r="M35" s="2144"/>
      <c r="N35" s="2144"/>
      <c r="O35" s="2151"/>
      <c r="P35" s="3367"/>
      <c r="Q35" s="3153" t="str">
        <f t="shared" si="11"/>
        <v>建筑品质</v>
      </c>
      <c r="R35" s="1578" t="s">
        <v>10</v>
      </c>
      <c r="S35" s="1579">
        <f t="shared" si="12"/>
        <v>100</v>
      </c>
      <c r="T35" s="1578" t="s">
        <v>10</v>
      </c>
      <c r="U35" s="1579">
        <f t="shared" si="13"/>
        <v>100</v>
      </c>
      <c r="V35" s="1578" t="s">
        <v>10</v>
      </c>
      <c r="W35" s="1579">
        <f t="shared" si="14"/>
        <v>100</v>
      </c>
      <c r="X35" s="3152"/>
      <c r="Y35" s="3367"/>
      <c r="Z35" s="3154" t="str">
        <f t="shared" si="15"/>
        <v>建筑品质</v>
      </c>
      <c r="AA35" s="3155">
        <f t="shared" si="3"/>
        <v>1</v>
      </c>
      <c r="AB35" s="3155">
        <f t="shared" si="4"/>
        <v>1</v>
      </c>
      <c r="AC35" s="3155">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v>3</v>
      </c>
      <c r="L36" s="2152"/>
      <c r="M36" s="2144"/>
      <c r="N36" s="2144"/>
      <c r="O36" s="2151"/>
      <c r="P36" s="3367"/>
      <c r="Q36" s="3153" t="str">
        <f t="shared" si="11"/>
        <v>公共部分装修</v>
      </c>
      <c r="R36" s="1578" t="s">
        <v>10</v>
      </c>
      <c r="S36" s="1579">
        <f t="shared" si="12"/>
        <v>100</v>
      </c>
      <c r="T36" s="1578" t="s">
        <v>10</v>
      </c>
      <c r="U36" s="1579">
        <f t="shared" si="13"/>
        <v>100</v>
      </c>
      <c r="V36" s="1578" t="s">
        <v>10</v>
      </c>
      <c r="W36" s="1579">
        <f t="shared" si="14"/>
        <v>100</v>
      </c>
      <c r="X36" s="3152"/>
      <c r="Y36" s="3367"/>
      <c r="Z36" s="3154" t="str">
        <f t="shared" si="15"/>
        <v>公共部分装修</v>
      </c>
      <c r="AA36" s="3155">
        <f t="shared" si="3"/>
        <v>1</v>
      </c>
      <c r="AB36" s="3155">
        <f t="shared" si="4"/>
        <v>1</v>
      </c>
      <c r="AC36" s="3155">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67"/>
      <c r="Q37" s="3151" t="str">
        <f t="shared" si="11"/>
        <v>成新度</v>
      </c>
      <c r="R37" s="1573" t="s">
        <v>10</v>
      </c>
      <c r="S37" s="1574">
        <f t="shared" si="12"/>
        <v>100</v>
      </c>
      <c r="T37" s="1573" t="s">
        <v>10</v>
      </c>
      <c r="U37" s="1574">
        <f t="shared" si="13"/>
        <v>100</v>
      </c>
      <c r="V37" s="1573" t="s">
        <v>10</v>
      </c>
      <c r="W37" s="1574">
        <f t="shared" si="14"/>
        <v>100</v>
      </c>
      <c r="X37" s="1575"/>
      <c r="Y37" s="3367"/>
      <c r="Z37" s="3150"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v>1</v>
      </c>
      <c r="L38" s="2152"/>
      <c r="M38" s="2144"/>
      <c r="N38" s="2144"/>
      <c r="O38" s="2151"/>
      <c r="P38" s="3367" t="s">
        <v>551</v>
      </c>
      <c r="Q38" s="3153" t="str">
        <f t="shared" si="11"/>
        <v>物业管理</v>
      </c>
      <c r="R38" s="1578" t="s">
        <v>10</v>
      </c>
      <c r="S38" s="1579">
        <f t="shared" si="12"/>
        <v>100</v>
      </c>
      <c r="T38" s="1578" t="s">
        <v>10</v>
      </c>
      <c r="U38" s="1579">
        <f t="shared" si="13"/>
        <v>100</v>
      </c>
      <c r="V38" s="1578" t="s">
        <v>10</v>
      </c>
      <c r="W38" s="1579">
        <f t="shared" si="14"/>
        <v>100</v>
      </c>
      <c r="X38" s="3152"/>
      <c r="Y38" s="3367" t="s">
        <v>551</v>
      </c>
      <c r="Z38" s="3154" t="str">
        <f t="shared" si="15"/>
        <v>物业管理</v>
      </c>
      <c r="AA38" s="3155">
        <f t="shared" si="3"/>
        <v>1</v>
      </c>
      <c r="AB38" s="3155">
        <f t="shared" si="4"/>
        <v>1</v>
      </c>
      <c r="AC38" s="3155">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v>1</v>
      </c>
      <c r="L39" s="2152"/>
      <c r="M39" s="2144"/>
      <c r="N39" s="2144"/>
      <c r="O39" s="2151"/>
      <c r="P39" s="3367"/>
      <c r="Q39" s="3153" t="str">
        <f t="shared" si="11"/>
        <v>市政基础设施</v>
      </c>
      <c r="R39" s="1578" t="s">
        <v>10</v>
      </c>
      <c r="S39" s="1579">
        <f t="shared" si="12"/>
        <v>100</v>
      </c>
      <c r="T39" s="1578" t="s">
        <v>10</v>
      </c>
      <c r="U39" s="1579">
        <f t="shared" si="13"/>
        <v>100</v>
      </c>
      <c r="V39" s="1578" t="s">
        <v>10</v>
      </c>
      <c r="W39" s="1579">
        <f t="shared" si="14"/>
        <v>100</v>
      </c>
      <c r="X39" s="3152"/>
      <c r="Y39" s="3367"/>
      <c r="Z39" s="3154" t="str">
        <f t="shared" si="15"/>
        <v>市政基础设施</v>
      </c>
      <c r="AA39" s="3155">
        <f t="shared" si="3"/>
        <v>1</v>
      </c>
      <c r="AB39" s="3155">
        <f t="shared" si="4"/>
        <v>1</v>
      </c>
      <c r="AC39" s="3155">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7"/>
      <c r="Q40" s="3153" t="str">
        <f t="shared" si="11"/>
        <v>房型</v>
      </c>
      <c r="R40" s="1578" t="s">
        <v>10</v>
      </c>
      <c r="S40" s="1579">
        <f t="shared" si="12"/>
        <v>100</v>
      </c>
      <c r="T40" s="1578" t="s">
        <v>10</v>
      </c>
      <c r="U40" s="1579">
        <f t="shared" si="13"/>
        <v>100</v>
      </c>
      <c r="V40" s="1578" t="s">
        <v>10</v>
      </c>
      <c r="W40" s="1579">
        <f t="shared" si="14"/>
        <v>100</v>
      </c>
      <c r="X40" s="3152"/>
      <c r="Y40" s="3367"/>
      <c r="Z40" s="3154" t="str">
        <f t="shared" si="15"/>
        <v>房型</v>
      </c>
      <c r="AA40" s="3155">
        <f t="shared" si="3"/>
        <v>1</v>
      </c>
      <c r="AB40" s="3155">
        <f t="shared" si="4"/>
        <v>1</v>
      </c>
      <c r="AC40" s="3155">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7"/>
      <c r="Q41" s="1610" t="str">
        <f t="shared" si="11"/>
        <v>单套/主力户型建筑面积</v>
      </c>
      <c r="R41" s="1582" t="s">
        <v>10</v>
      </c>
      <c r="S41" s="1583">
        <f t="shared" si="12"/>
        <v>100</v>
      </c>
      <c r="T41" s="1582" t="s">
        <v>10</v>
      </c>
      <c r="U41" s="1583">
        <f t="shared" si="13"/>
        <v>100</v>
      </c>
      <c r="V41" s="1582" t="s">
        <v>10</v>
      </c>
      <c r="W41" s="1583">
        <f t="shared" si="14"/>
        <v>100</v>
      </c>
      <c r="X41" s="1584"/>
      <c r="Y41" s="3367"/>
      <c r="Z41" s="1585" t="str">
        <f t="shared" si="15"/>
        <v>单套/主力户型建筑面积</v>
      </c>
      <c r="AA41" s="3155">
        <f t="shared" si="3"/>
        <v>1</v>
      </c>
      <c r="AB41" s="3155">
        <f t="shared" si="4"/>
        <v>1</v>
      </c>
      <c r="AC41" s="3155">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v>1</v>
      </c>
      <c r="L42" s="2152"/>
      <c r="M42" s="2144"/>
      <c r="N42" s="2144"/>
      <c r="O42" s="2151"/>
      <c r="P42" s="3367"/>
      <c r="Q42" s="3153" t="str">
        <f t="shared" si="11"/>
        <v>内部装修</v>
      </c>
      <c r="R42" s="1578" t="s">
        <v>10</v>
      </c>
      <c r="S42" s="1579">
        <f t="shared" si="12"/>
        <v>100</v>
      </c>
      <c r="T42" s="1578" t="s">
        <v>10</v>
      </c>
      <c r="U42" s="1579">
        <f t="shared" si="13"/>
        <v>100</v>
      </c>
      <c r="V42" s="1578" t="s">
        <v>10</v>
      </c>
      <c r="W42" s="1579">
        <f t="shared" si="14"/>
        <v>100</v>
      </c>
      <c r="X42" s="3152"/>
      <c r="Y42" s="3367"/>
      <c r="Z42" s="3154" t="str">
        <f t="shared" si="15"/>
        <v>内部装修</v>
      </c>
      <c r="AA42" s="3155">
        <f t="shared" si="3"/>
        <v>1</v>
      </c>
      <c r="AB42" s="3155">
        <f t="shared" si="4"/>
        <v>1</v>
      </c>
      <c r="AC42" s="3155">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v>1</v>
      </c>
      <c r="L43" s="2152"/>
      <c r="M43" s="2144"/>
      <c r="N43" s="2144"/>
      <c r="O43" s="2151"/>
      <c r="P43" s="3367"/>
      <c r="Q43" s="3153" t="str">
        <f t="shared" si="11"/>
        <v>内部装修维护情况</v>
      </c>
      <c r="R43" s="1578" t="s">
        <v>10</v>
      </c>
      <c r="S43" s="1579">
        <f t="shared" si="12"/>
        <v>100</v>
      </c>
      <c r="T43" s="1578" t="s">
        <v>10</v>
      </c>
      <c r="U43" s="1579">
        <f t="shared" si="13"/>
        <v>100</v>
      </c>
      <c r="V43" s="1578" t="s">
        <v>10</v>
      </c>
      <c r="W43" s="1579">
        <f t="shared" si="14"/>
        <v>100</v>
      </c>
      <c r="X43" s="3152"/>
      <c r="Y43" s="3367"/>
      <c r="Z43" s="3154" t="str">
        <f t="shared" si="15"/>
        <v>内部装修维护情况</v>
      </c>
      <c r="AA43" s="3155">
        <f t="shared" si="3"/>
        <v>1</v>
      </c>
      <c r="AB43" s="3155">
        <f t="shared" si="4"/>
        <v>1</v>
      </c>
      <c r="AC43" s="3155">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7"/>
      <c r="Q44" s="3151">
        <f t="shared" si="11"/>
        <v>111</v>
      </c>
      <c r="R44" s="1573" t="s">
        <v>10</v>
      </c>
      <c r="S44" s="1574">
        <f t="shared" si="12"/>
        <v>100</v>
      </c>
      <c r="T44" s="1573" t="s">
        <v>10</v>
      </c>
      <c r="U44" s="1574">
        <f t="shared" si="13"/>
        <v>100</v>
      </c>
      <c r="V44" s="1573" t="s">
        <v>10</v>
      </c>
      <c r="W44" s="1574">
        <f t="shared" si="14"/>
        <v>100</v>
      </c>
      <c r="X44" s="1575"/>
      <c r="Y44" s="3367"/>
      <c r="Z44" s="3150">
        <f t="shared" si="15"/>
        <v>111</v>
      </c>
      <c r="AA44" s="1576">
        <f t="shared" si="3"/>
        <v>1</v>
      </c>
      <c r="AB44" s="1576">
        <f t="shared" si="4"/>
        <v>1</v>
      </c>
      <c r="AC44" s="1576">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7"/>
      <c r="Q45" s="3153">
        <f t="shared" si="11"/>
        <v>111</v>
      </c>
      <c r="R45" s="1578" t="s">
        <v>10</v>
      </c>
      <c r="S45" s="1579">
        <f t="shared" si="12"/>
        <v>100</v>
      </c>
      <c r="T45" s="1578" t="s">
        <v>10</v>
      </c>
      <c r="U45" s="1579">
        <f t="shared" si="13"/>
        <v>100</v>
      </c>
      <c r="V45" s="1578" t="s">
        <v>10</v>
      </c>
      <c r="W45" s="1579">
        <f t="shared" si="14"/>
        <v>100</v>
      </c>
      <c r="X45" s="3152"/>
      <c r="Y45" s="3367"/>
      <c r="Z45" s="3154">
        <f t="shared" si="15"/>
        <v>111</v>
      </c>
      <c r="AA45" s="3155">
        <f t="shared" si="3"/>
        <v>1</v>
      </c>
      <c r="AB45" s="3155">
        <f t="shared" si="4"/>
        <v>1</v>
      </c>
      <c r="AC45" s="3155">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7"/>
      <c r="Q46" s="3153">
        <f t="shared" si="11"/>
        <v>111</v>
      </c>
      <c r="R46" s="1578" t="s">
        <v>10</v>
      </c>
      <c r="S46" s="1579">
        <f t="shared" si="12"/>
        <v>100</v>
      </c>
      <c r="T46" s="1578" t="s">
        <v>10</v>
      </c>
      <c r="U46" s="1579">
        <f t="shared" si="13"/>
        <v>100</v>
      </c>
      <c r="V46" s="1578" t="s">
        <v>10</v>
      </c>
      <c r="W46" s="1579">
        <f t="shared" si="14"/>
        <v>100</v>
      </c>
      <c r="X46" s="3152"/>
      <c r="Y46" s="3437"/>
      <c r="Z46" s="3154">
        <f t="shared" si="15"/>
        <v>111</v>
      </c>
      <c r="AA46" s="3155">
        <f t="shared" si="3"/>
        <v>1</v>
      </c>
      <c r="AB46" s="3155">
        <f t="shared" si="4"/>
        <v>1</v>
      </c>
      <c r="AC46" s="3155">
        <f t="shared" si="5"/>
        <v>1</v>
      </c>
    </row>
    <row r="47" spans="1:29" ht="15">
      <c r="A47" s="610" t="s">
        <v>739</v>
      </c>
      <c r="B47" s="890"/>
      <c r="C47" s="2662" t="s">
        <v>2</v>
      </c>
      <c r="D47" s="2663"/>
      <c r="E47" s="2664">
        <f>ROUND(16000*0.98,0)</f>
        <v>15680</v>
      </c>
      <c r="F47" s="2665"/>
      <c r="G47" s="2666">
        <f>ROUND(15000*0.98,0)</f>
        <v>14700</v>
      </c>
      <c r="H47" s="2667"/>
      <c r="I47" s="2664">
        <f>ROUND(15000*0.98,0)</f>
        <v>14700</v>
      </c>
      <c r="J47" s="2667"/>
      <c r="K47" s="1611"/>
      <c r="L47" s="2154"/>
      <c r="M47" s="2155"/>
      <c r="N47" s="2144"/>
      <c r="O47" s="2155"/>
      <c r="P47" s="3329" t="str">
        <f>A47</f>
        <v>成交单价（元/平方米）</v>
      </c>
      <c r="Q47" s="3329"/>
      <c r="R47" s="3436">
        <f>E47</f>
        <v>15680</v>
      </c>
      <c r="S47" s="3436"/>
      <c r="T47" s="3436">
        <f>G47</f>
        <v>14700</v>
      </c>
      <c r="U47" s="3436"/>
      <c r="V47" s="3436">
        <f>I47</f>
        <v>14700</v>
      </c>
      <c r="W47" s="3436"/>
      <c r="X47" s="1564"/>
      <c r="Y47" s="1586"/>
      <c r="Z47" s="1564"/>
      <c r="AA47" s="1564"/>
      <c r="AB47" s="1564"/>
      <c r="AC47" s="1564"/>
    </row>
    <row r="48" spans="1:29" ht="15.75" thickBot="1">
      <c r="A48" s="618" t="s">
        <v>2710</v>
      </c>
      <c r="B48" s="891"/>
      <c r="C48" s="2668">
        <f>R49</f>
        <v>15250</v>
      </c>
      <c r="D48" s="2669"/>
      <c r="E48" s="2670">
        <f>R48</f>
        <v>16000</v>
      </c>
      <c r="F48" s="2670"/>
      <c r="G48" s="2668">
        <f>T48</f>
        <v>15051</v>
      </c>
      <c r="H48" s="2669"/>
      <c r="I48" s="2670">
        <f>V48</f>
        <v>14700</v>
      </c>
      <c r="J48" s="2669"/>
      <c r="K48" s="1612"/>
      <c r="L48" s="2154"/>
      <c r="M48" s="2155"/>
      <c r="N48" s="2155"/>
      <c r="O48" s="2155"/>
      <c r="P48" s="3329" t="str">
        <f>A48</f>
        <v>比较价格（元/平方米）</v>
      </c>
      <c r="Q48" s="3329"/>
      <c r="R48" s="3436">
        <f>IF(F1="售价",ROUND(PRODUCT(R47,AA7:AA46),0),ROUND(PRODUCT(R47,AA7:AA46),1))</f>
        <v>16000</v>
      </c>
      <c r="S48" s="3436"/>
      <c r="T48" s="3436">
        <f>IF(F1="售价",ROUND(PRODUCT(T47,AB7:AB46),0),ROUND(PRODUCT(T47,AB7:AB46),1))</f>
        <v>15051</v>
      </c>
      <c r="U48" s="3436"/>
      <c r="V48" s="3436">
        <f>IF(F1="售价",ROUND(PRODUCT(V47,AC7:AC46),0),ROUND(PRODUCT(V47,AC7:AC46),1))</f>
        <v>14700</v>
      </c>
      <c r="W48" s="3436"/>
      <c r="X48" s="1564"/>
      <c r="Y48" s="1564"/>
      <c r="Z48" s="1564"/>
      <c r="AA48" s="1564"/>
      <c r="AB48" s="1564"/>
      <c r="AC48" s="1564"/>
    </row>
    <row r="49" spans="1:29" ht="15.75" thickBot="1">
      <c r="A49" s="624" t="s">
        <v>2950</v>
      </c>
      <c r="B49" s="625"/>
      <c r="C49" s="2671">
        <f>R49</f>
        <v>15250</v>
      </c>
      <c r="D49" s="2671"/>
      <c r="E49" s="2671"/>
      <c r="F49" s="2671"/>
      <c r="G49" s="2671"/>
      <c r="H49" s="2671"/>
      <c r="I49" s="2671"/>
      <c r="J49" s="2671"/>
      <c r="K49" s="1613"/>
      <c r="L49" s="2154"/>
      <c r="M49" s="2155"/>
      <c r="N49" s="2155"/>
      <c r="O49" s="2155"/>
      <c r="P49" s="3326" t="str">
        <f>A49</f>
        <v>估价对象XX用房的比较价格（楼面单价，元/平方米）</v>
      </c>
      <c r="Q49" s="3327"/>
      <c r="R49" s="3435">
        <f>IF(F1="售价",ROUND(AVERAGE(R48:V48),0),ROUND(AVERAGE(R48:V48),1))</f>
        <v>15250</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2.0408163265306145E-2</v>
      </c>
      <c r="F52" s="630" t="str">
        <f>IF(OR(E52&gt;=0.3,E52&lt;=-0.3),"超过30%","")</f>
        <v/>
      </c>
      <c r="G52" s="629">
        <f>IF(G47&lt;G48,G48/G47-1,G47/G48-1)</f>
        <v>2.3877551020408116E-2</v>
      </c>
      <c r="H52" s="630" t="str">
        <f>IF(OR(G52&gt;=0.3,G52&lt;=-0.3),"超过30%","")</f>
        <v/>
      </c>
      <c r="I52" s="629">
        <f>IF(I47&lt;I48,I48/I47-1,I47/I48-1)</f>
        <v>0</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6.3052288884459573E-2</v>
      </c>
      <c r="F53" s="630" t="str">
        <f>IF(OR(E53&gt;=0.2,E53&lt;=-0.2),"超过20%","")</f>
        <v/>
      </c>
      <c r="G53" s="629">
        <f>IF(G48&lt;I48,I48/G48-1,G48/I48-1)</f>
        <v>2.3877551020408116E-2</v>
      </c>
      <c r="H53" s="630" t="str">
        <f>IF(OR(G53&gt;=0.2,G53&lt;=-0.2),"超过20%","")</f>
        <v/>
      </c>
      <c r="I53" s="629">
        <f>IF(I48&lt;E48,E48/I48-1,I48/E48-1)</f>
        <v>8.8435374149659962E-2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6.6666666666666652E-2</v>
      </c>
      <c r="F54" s="630" t="str">
        <f>IF(OR(E54&gt;=0.3,E54&lt;=-0.3),"超过30%","")</f>
        <v/>
      </c>
      <c r="G54" s="629">
        <f>IF(G47&lt;I47,I47/G47-1,G47/I47-1)</f>
        <v>0</v>
      </c>
      <c r="H54" s="630" t="str">
        <f>IF(OR(G54&gt;=0.3,G54&lt;=-0.3),"超过30%","")</f>
        <v/>
      </c>
      <c r="I54" s="629">
        <f>IF(I47&lt;E47,E47/I47-1,I47/E47-1)</f>
        <v>6.6666666666666652E-2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2561</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3030</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98</v>
      </c>
      <c r="E106" s="682">
        <f t="shared" si="26"/>
        <v>96</v>
      </c>
      <c r="F106" s="682">
        <f t="shared" si="26"/>
        <v>94</v>
      </c>
      <c r="G106" s="682">
        <f t="shared" si="26"/>
        <v>92</v>
      </c>
      <c r="H106" s="682">
        <f t="shared" si="26"/>
        <v>90</v>
      </c>
      <c r="I106" s="682">
        <f t="shared" si="26"/>
        <v>88</v>
      </c>
      <c r="J106" s="682">
        <f t="shared" si="26"/>
        <v>86</v>
      </c>
      <c r="K106" s="682">
        <f t="shared" si="26"/>
        <v>84</v>
      </c>
      <c r="L106" s="682">
        <f t="shared" si="26"/>
        <v>82</v>
      </c>
      <c r="M106" s="682">
        <f t="shared" si="26"/>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97</v>
      </c>
      <c r="E108" s="682">
        <f t="shared" si="27"/>
        <v>94</v>
      </c>
      <c r="F108" s="682">
        <f t="shared" si="27"/>
        <v>91</v>
      </c>
      <c r="G108" s="682">
        <f t="shared" si="27"/>
        <v>88</v>
      </c>
      <c r="H108" s="682">
        <f t="shared" si="27"/>
        <v>85</v>
      </c>
      <c r="I108" s="682">
        <f t="shared" si="27"/>
        <v>82</v>
      </c>
      <c r="J108" s="682">
        <f t="shared" si="27"/>
        <v>79</v>
      </c>
      <c r="K108" s="682">
        <f t="shared" si="27"/>
        <v>76</v>
      </c>
      <c r="L108" s="682">
        <f t="shared" si="27"/>
        <v>73</v>
      </c>
      <c r="M108" s="682">
        <f t="shared" si="27"/>
        <v>70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97</v>
      </c>
      <c r="E110" s="682">
        <f t="shared" si="28"/>
        <v>94</v>
      </c>
      <c r="F110" s="682">
        <f t="shared" si="28"/>
        <v>91</v>
      </c>
      <c r="G110" s="682">
        <f t="shared" si="28"/>
        <v>88</v>
      </c>
      <c r="H110" s="682">
        <f t="shared" si="28"/>
        <v>85</v>
      </c>
      <c r="I110" s="682">
        <f t="shared" si="28"/>
        <v>82</v>
      </c>
      <c r="J110" s="682">
        <f t="shared" si="28"/>
        <v>79</v>
      </c>
      <c r="K110" s="682">
        <f t="shared" si="28"/>
        <v>76</v>
      </c>
      <c r="L110" s="682">
        <f t="shared" si="28"/>
        <v>73</v>
      </c>
      <c r="M110" s="682">
        <f t="shared" si="28"/>
        <v>70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99</v>
      </c>
      <c r="E115" s="682">
        <f t="shared" si="29"/>
        <v>98</v>
      </c>
      <c r="F115" s="682">
        <f t="shared" si="29"/>
        <v>97</v>
      </c>
      <c r="G115" s="682">
        <f t="shared" si="29"/>
        <v>96</v>
      </c>
      <c r="H115" s="682">
        <f t="shared" si="29"/>
        <v>95</v>
      </c>
      <c r="I115" s="682">
        <f t="shared" si="29"/>
        <v>94</v>
      </c>
      <c r="J115" s="682">
        <f t="shared" si="29"/>
        <v>93</v>
      </c>
      <c r="K115" s="682">
        <f t="shared" si="29"/>
        <v>92</v>
      </c>
      <c r="L115" s="682">
        <f t="shared" si="29"/>
        <v>91</v>
      </c>
      <c r="M115" s="682">
        <f t="shared" si="29"/>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99</v>
      </c>
      <c r="E123" s="682">
        <f t="shared" si="31"/>
        <v>98</v>
      </c>
      <c r="F123" s="682">
        <f t="shared" si="31"/>
        <v>97</v>
      </c>
      <c r="G123" s="682">
        <f t="shared" si="31"/>
        <v>96</v>
      </c>
      <c r="H123" s="682">
        <f t="shared" si="31"/>
        <v>95</v>
      </c>
      <c r="I123" s="682">
        <f t="shared" si="31"/>
        <v>94</v>
      </c>
      <c r="J123" s="682">
        <f t="shared" si="31"/>
        <v>93</v>
      </c>
      <c r="K123" s="682">
        <f t="shared" si="31"/>
        <v>92</v>
      </c>
      <c r="L123" s="682">
        <f t="shared" si="31"/>
        <v>91</v>
      </c>
      <c r="M123" s="682">
        <f t="shared" si="31"/>
        <v>90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2272</v>
      </c>
      <c r="H138" s="1934" t="s">
        <v>2273</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2279</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268"/>
  <sheetViews>
    <sheetView topLeftCell="A18" zoomScaleNormal="100" workbookViewId="0">
      <selection activeCell="I47" sqref="I4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2982</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2524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19277</v>
      </c>
      <c r="C3" s="855" t="s">
        <v>725</v>
      </c>
      <c r="D3" s="854">
        <f>SUMIF('数据-汇总表'!$C19:$C33,D1,'数据-汇总表'!$E19:$E33)</f>
        <v>1309.3</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5" t="s">
        <v>523</v>
      </c>
      <c r="D4" s="3336"/>
      <c r="E4" s="3370" t="s">
        <v>524</v>
      </c>
      <c r="F4" s="3371"/>
      <c r="G4" s="3335" t="s">
        <v>525</v>
      </c>
      <c r="H4" s="3336"/>
      <c r="I4" s="3335" t="s">
        <v>526</v>
      </c>
      <c r="J4" s="3336"/>
      <c r="K4" s="856" t="s">
        <v>527</v>
      </c>
      <c r="L4" s="2143"/>
      <c r="M4" s="2144"/>
      <c r="N4" s="2144"/>
      <c r="O4" s="2144"/>
      <c r="P4" s="3337" t="s">
        <v>528</v>
      </c>
      <c r="Q4" s="3338"/>
      <c r="R4" s="3343" t="s">
        <v>524</v>
      </c>
      <c r="S4" s="3344"/>
      <c r="T4" s="3343" t="s">
        <v>525</v>
      </c>
      <c r="U4" s="3344"/>
      <c r="V4" s="3330" t="s">
        <v>526</v>
      </c>
      <c r="W4" s="3330"/>
      <c r="X4" s="3152"/>
      <c r="Y4" s="3343" t="s">
        <v>528</v>
      </c>
      <c r="Z4" s="3344"/>
      <c r="AA4" s="3332" t="s">
        <v>524</v>
      </c>
      <c r="AB4" s="3332" t="s">
        <v>525</v>
      </c>
      <c r="AC4" s="3332" t="s">
        <v>526</v>
      </c>
    </row>
    <row r="5" spans="1:29" ht="15">
      <c r="A5" s="518"/>
      <c r="B5" s="519"/>
      <c r="C5" s="3353" t="s">
        <v>2944</v>
      </c>
      <c r="D5" s="3352"/>
      <c r="E5" s="3440" t="s">
        <v>3037</v>
      </c>
      <c r="F5" s="3373"/>
      <c r="G5" s="3351" t="s">
        <v>3033</v>
      </c>
      <c r="H5" s="3352"/>
      <c r="I5" s="3351" t="s">
        <v>3038</v>
      </c>
      <c r="J5" s="3352"/>
      <c r="K5" s="857"/>
      <c r="L5" s="2143"/>
      <c r="M5" s="2144"/>
      <c r="N5" s="2144"/>
      <c r="O5" s="2144"/>
      <c r="P5" s="3339"/>
      <c r="Q5" s="3340"/>
      <c r="R5" s="3345"/>
      <c r="S5" s="3346"/>
      <c r="T5" s="3345"/>
      <c r="U5" s="3346"/>
      <c r="V5" s="3330"/>
      <c r="W5" s="3330"/>
      <c r="X5" s="3152"/>
      <c r="Y5" s="3345"/>
      <c r="Z5" s="3346"/>
      <c r="AA5" s="3333"/>
      <c r="AB5" s="3333"/>
      <c r="AC5" s="3333"/>
    </row>
    <row r="6" spans="1:29" ht="15.75" thickBot="1">
      <c r="A6" s="520"/>
      <c r="B6" s="521"/>
      <c r="C6" s="3349" t="s">
        <v>2948</v>
      </c>
      <c r="D6" s="3350"/>
      <c r="E6" s="3439" t="s">
        <v>3031</v>
      </c>
      <c r="F6" s="3369"/>
      <c r="G6" s="3438" t="s">
        <v>3034</v>
      </c>
      <c r="H6" s="3350"/>
      <c r="I6" s="3438" t="s">
        <v>3032</v>
      </c>
      <c r="J6" s="3350"/>
      <c r="K6" s="857" t="s">
        <v>529</v>
      </c>
      <c r="L6" s="2143"/>
      <c r="M6" s="2144"/>
      <c r="N6" s="2144"/>
      <c r="O6" s="2144"/>
      <c r="P6" s="3341"/>
      <c r="Q6" s="3342"/>
      <c r="R6" s="3345"/>
      <c r="S6" s="3346"/>
      <c r="T6" s="3347"/>
      <c r="U6" s="3348"/>
      <c r="V6" s="3330"/>
      <c r="W6" s="3330"/>
      <c r="X6" s="3152"/>
      <c r="Y6" s="3347"/>
      <c r="Z6" s="3348"/>
      <c r="AA6" s="3334"/>
      <c r="AB6" s="3334"/>
      <c r="AC6" s="3334"/>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61" t="s">
        <v>531</v>
      </c>
      <c r="Q7" s="3363"/>
      <c r="R7" s="1573" t="s">
        <v>13</v>
      </c>
      <c r="S7" s="1574">
        <f t="shared" ref="S7:S15" si="0">F7</f>
        <v>100</v>
      </c>
      <c r="T7" s="1573" t="s">
        <v>13</v>
      </c>
      <c r="U7" s="1574">
        <f t="shared" ref="U7:U15" si="1">H7</f>
        <v>100</v>
      </c>
      <c r="V7" s="1573" t="s">
        <v>13</v>
      </c>
      <c r="W7" s="1574">
        <f t="shared" ref="W7:W15" si="2">J7</f>
        <v>100</v>
      </c>
      <c r="X7" s="1575"/>
      <c r="Y7" s="3361" t="s">
        <v>531</v>
      </c>
      <c r="Z7" s="3362"/>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61" t="s">
        <v>534</v>
      </c>
      <c r="Q8" s="3362"/>
      <c r="R8" s="1573" t="s">
        <v>13</v>
      </c>
      <c r="S8" s="1574">
        <f t="shared" si="0"/>
        <v>100</v>
      </c>
      <c r="T8" s="1573" t="s">
        <v>13</v>
      </c>
      <c r="U8" s="1574">
        <f t="shared" si="1"/>
        <v>100</v>
      </c>
      <c r="V8" s="1573" t="s">
        <v>13</v>
      </c>
      <c r="W8" s="1574">
        <f t="shared" si="2"/>
        <v>100</v>
      </c>
      <c r="X8" s="1575"/>
      <c r="Y8" s="3361" t="s">
        <v>534</v>
      </c>
      <c r="Z8" s="3362"/>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9" t="s">
        <v>536</v>
      </c>
      <c r="Q9" s="3151" t="str">
        <f t="shared" ref="Q9:Q15" si="6">B9</f>
        <v>用途</v>
      </c>
      <c r="R9" s="1573" t="s">
        <v>8</v>
      </c>
      <c r="S9" s="1574">
        <f t="shared" si="0"/>
        <v>100</v>
      </c>
      <c r="T9" s="1573" t="s">
        <v>8</v>
      </c>
      <c r="U9" s="1574">
        <f t="shared" si="1"/>
        <v>100</v>
      </c>
      <c r="V9" s="1573" t="s">
        <v>8</v>
      </c>
      <c r="W9" s="1574">
        <f t="shared" si="2"/>
        <v>100</v>
      </c>
      <c r="X9" s="1575"/>
      <c r="Y9" s="3275" t="s">
        <v>537</v>
      </c>
      <c r="Z9" s="3150"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9"/>
      <c r="Q10" s="3151" t="str">
        <f t="shared" si="6"/>
        <v>土地使用年限（年）</v>
      </c>
      <c r="R10" s="1573" t="s">
        <v>8</v>
      </c>
      <c r="S10" s="1574">
        <f t="shared" si="0"/>
        <v>100</v>
      </c>
      <c r="T10" s="1573" t="s">
        <v>8</v>
      </c>
      <c r="U10" s="1574">
        <f t="shared" si="1"/>
        <v>100</v>
      </c>
      <c r="V10" s="1573" t="s">
        <v>8</v>
      </c>
      <c r="W10" s="1574">
        <f t="shared" si="2"/>
        <v>100</v>
      </c>
      <c r="X10" s="1575"/>
      <c r="Y10" s="3275"/>
      <c r="Z10" s="3150" t="str">
        <f t="shared" si="7"/>
        <v>土地使用年限（年）</v>
      </c>
      <c r="AA10" s="1576">
        <f t="shared" si="3"/>
        <v>1</v>
      </c>
      <c r="AB10" s="1576">
        <f t="shared" si="4"/>
        <v>1</v>
      </c>
      <c r="AC10" s="1576">
        <f t="shared" si="5"/>
        <v>1</v>
      </c>
    </row>
    <row r="11" spans="1:29" ht="15.75" thickBot="1">
      <c r="A11" s="2955"/>
      <c r="B11" s="2959" t="s">
        <v>2775</v>
      </c>
      <c r="C11" s="536">
        <f>'数据-汇总表'!I4</f>
        <v>2.31</v>
      </c>
      <c r="D11" s="255">
        <v>100</v>
      </c>
      <c r="E11" s="537">
        <v>2.2000000000000002</v>
      </c>
      <c r="F11" s="866">
        <f>LOOKUP(E11,68:68,69:69)-LOOKUP(C11,68:68,69:69)+100</f>
        <v>100</v>
      </c>
      <c r="G11" s="536">
        <v>0.3</v>
      </c>
      <c r="H11" s="255">
        <f>LOOKUP(G11,68:68,69:69)-LOOKUP(C11,68:68,69:69)+100</f>
        <v>106</v>
      </c>
      <c r="I11" s="536">
        <v>1.46</v>
      </c>
      <c r="J11" s="255">
        <f>LOOKUP(I11,68:68,69:69)-LOOKUP(C11,68:68,69:69)+100</f>
        <v>103</v>
      </c>
      <c r="K11" s="867">
        <f>'比较法-住宅、综合'!K13</f>
        <v>3</v>
      </c>
      <c r="L11" s="2150"/>
      <c r="M11" s="2144"/>
      <c r="N11" s="2144"/>
      <c r="O11" s="2151"/>
      <c r="P11" s="3329"/>
      <c r="Q11" s="3151" t="str">
        <f t="shared" si="6"/>
        <v>容积率</v>
      </c>
      <c r="R11" s="1573" t="s">
        <v>10</v>
      </c>
      <c r="S11" s="1574">
        <f t="shared" si="0"/>
        <v>100</v>
      </c>
      <c r="T11" s="1573" t="s">
        <v>10</v>
      </c>
      <c r="U11" s="1574">
        <f t="shared" si="1"/>
        <v>106</v>
      </c>
      <c r="V11" s="1573" t="s">
        <v>10</v>
      </c>
      <c r="W11" s="1574">
        <f t="shared" si="2"/>
        <v>103</v>
      </c>
      <c r="X11" s="1575"/>
      <c r="Y11" s="3275"/>
      <c r="Z11" s="3150" t="str">
        <f t="shared" si="7"/>
        <v>容积率</v>
      </c>
      <c r="AA11" s="1576">
        <f t="shared" si="3"/>
        <v>1</v>
      </c>
      <c r="AB11" s="1576">
        <f t="shared" si="4"/>
        <v>0.94339622641509435</v>
      </c>
      <c r="AC11" s="1576">
        <f t="shared" si="5"/>
        <v>0.970873786407767</v>
      </c>
    </row>
    <row r="12" spans="1:29" s="1223" customFormat="1" ht="15.75" hidden="1" thickBot="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9"/>
      <c r="Q12" s="3151">
        <f t="shared" si="6"/>
        <v>111</v>
      </c>
      <c r="R12" s="1573" t="s">
        <v>10</v>
      </c>
      <c r="S12" s="1574">
        <f t="shared" si="0"/>
        <v>100</v>
      </c>
      <c r="T12" s="1573" t="s">
        <v>10</v>
      </c>
      <c r="U12" s="1574">
        <f t="shared" si="1"/>
        <v>100</v>
      </c>
      <c r="V12" s="1573" t="s">
        <v>10</v>
      </c>
      <c r="W12" s="1574">
        <f t="shared" si="2"/>
        <v>100</v>
      </c>
      <c r="X12" s="1575"/>
      <c r="Y12" s="3275"/>
      <c r="Z12" s="3150">
        <f t="shared" si="7"/>
        <v>111</v>
      </c>
      <c r="AA12" s="1576">
        <f>D12/F12</f>
        <v>1</v>
      </c>
      <c r="AB12" s="1576">
        <f>D12/H12</f>
        <v>1</v>
      </c>
      <c r="AC12" s="1576">
        <f>D12/J12</f>
        <v>1</v>
      </c>
    </row>
    <row r="13" spans="1:29" ht="15.75" hidden="1" thickBot="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9"/>
      <c r="Q13" s="3151">
        <f t="shared" si="6"/>
        <v>111</v>
      </c>
      <c r="R13" s="1573" t="s">
        <v>10</v>
      </c>
      <c r="S13" s="1574">
        <f t="shared" si="0"/>
        <v>100</v>
      </c>
      <c r="T13" s="1573" t="s">
        <v>10</v>
      </c>
      <c r="U13" s="1574">
        <f t="shared" si="1"/>
        <v>100</v>
      </c>
      <c r="V13" s="1573" t="s">
        <v>10</v>
      </c>
      <c r="W13" s="1574">
        <f t="shared" si="2"/>
        <v>100</v>
      </c>
      <c r="X13" s="1575"/>
      <c r="Y13" s="3275"/>
      <c r="Z13" s="3150">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9"/>
      <c r="Q14" s="3151">
        <f t="shared" si="6"/>
        <v>111</v>
      </c>
      <c r="R14" s="1573" t="s">
        <v>10</v>
      </c>
      <c r="S14" s="1574">
        <f t="shared" si="0"/>
        <v>100</v>
      </c>
      <c r="T14" s="1573" t="s">
        <v>10</v>
      </c>
      <c r="U14" s="1574">
        <f t="shared" si="1"/>
        <v>100</v>
      </c>
      <c r="V14" s="1573" t="s">
        <v>10</v>
      </c>
      <c r="W14" s="1574">
        <f t="shared" si="2"/>
        <v>100</v>
      </c>
      <c r="X14" s="1575"/>
      <c r="Y14" s="3275"/>
      <c r="Z14" s="3150">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95</v>
      </c>
      <c r="G15" s="555"/>
      <c r="H15" s="552">
        <f>SUMIF(76:76,G16,77:77)-SUMIF(76:76,C16,77:77)+100</f>
        <v>95</v>
      </c>
      <c r="I15" s="553"/>
      <c r="J15" s="552">
        <f>SUMIF(76:76,I16,77:77)-SUMIF(76:76,C16,77:77)+100</f>
        <v>100</v>
      </c>
      <c r="K15" s="871">
        <f>'比较法-住宅、综合'!K17</f>
        <v>5</v>
      </c>
      <c r="L15" s="2152"/>
      <c r="M15" s="2144"/>
      <c r="N15" s="2144"/>
      <c r="O15" s="2151"/>
      <c r="P15" s="3364" t="s">
        <v>541</v>
      </c>
      <c r="Q15" s="3153" t="str">
        <f t="shared" si="6"/>
        <v>居住社区成熟度</v>
      </c>
      <c r="R15" s="1578" t="s">
        <v>10</v>
      </c>
      <c r="S15" s="1579">
        <f t="shared" si="0"/>
        <v>95</v>
      </c>
      <c r="T15" s="1578" t="s">
        <v>10</v>
      </c>
      <c r="U15" s="1579">
        <f t="shared" si="1"/>
        <v>95</v>
      </c>
      <c r="V15" s="1578" t="s">
        <v>10</v>
      </c>
      <c r="W15" s="1579">
        <f t="shared" si="2"/>
        <v>100</v>
      </c>
      <c r="X15" s="3152"/>
      <c r="Y15" s="3364" t="s">
        <v>541</v>
      </c>
      <c r="Z15" s="3154" t="str">
        <f t="shared" si="7"/>
        <v>居住社区成熟度</v>
      </c>
      <c r="AA15" s="3155">
        <f t="shared" si="3"/>
        <v>1.0526315789473684</v>
      </c>
      <c r="AB15" s="3155">
        <f t="shared" si="4"/>
        <v>1.0526315789473684</v>
      </c>
      <c r="AC15" s="3155">
        <f t="shared" si="5"/>
        <v>1</v>
      </c>
    </row>
    <row r="16" spans="1:29" ht="15">
      <c r="A16" s="535"/>
      <c r="B16" s="872"/>
      <c r="C16" s="579" t="s">
        <v>2999</v>
      </c>
      <c r="D16" s="558"/>
      <c r="E16" s="559" t="s">
        <v>3009</v>
      </c>
      <c r="F16" s="560"/>
      <c r="G16" s="561" t="s">
        <v>3009</v>
      </c>
      <c r="H16" s="562"/>
      <c r="I16" s="559" t="s">
        <v>2999</v>
      </c>
      <c r="J16" s="558"/>
      <c r="K16" s="873"/>
      <c r="L16" s="2152"/>
      <c r="M16" s="2144"/>
      <c r="N16" s="2144"/>
      <c r="O16" s="2151"/>
      <c r="P16" s="3365"/>
      <c r="Q16" s="3153"/>
      <c r="R16" s="1578"/>
      <c r="S16" s="1579"/>
      <c r="T16" s="1578"/>
      <c r="U16" s="1579"/>
      <c r="V16" s="1578"/>
      <c r="W16" s="1579"/>
      <c r="X16" s="3152"/>
      <c r="Y16" s="3365"/>
      <c r="Z16" s="3154"/>
      <c r="AA16" s="3155">
        <v>1</v>
      </c>
      <c r="AB16" s="3155">
        <v>1</v>
      </c>
      <c r="AC16" s="3155">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97</v>
      </c>
      <c r="I17" s="565"/>
      <c r="J17" s="568">
        <f>SUMIF(78:78,I18,79:79)-SUMIF(78:78,C18,79:79)+100</f>
        <v>100</v>
      </c>
      <c r="K17" s="871">
        <f>'比较法-住宅、综合'!K23</f>
        <v>3</v>
      </c>
      <c r="L17" s="2152"/>
      <c r="M17" s="2144"/>
      <c r="N17" s="2144"/>
      <c r="O17" s="2151"/>
      <c r="P17" s="3365"/>
      <c r="Q17" s="3153" t="str">
        <f>B17</f>
        <v>交通便捷度</v>
      </c>
      <c r="R17" s="1578" t="s">
        <v>10</v>
      </c>
      <c r="S17" s="1579">
        <f>F17</f>
        <v>97</v>
      </c>
      <c r="T17" s="1578" t="s">
        <v>10</v>
      </c>
      <c r="U17" s="1579">
        <f>H17</f>
        <v>97</v>
      </c>
      <c r="V17" s="1578" t="s">
        <v>10</v>
      </c>
      <c r="W17" s="1579">
        <f>J17</f>
        <v>100</v>
      </c>
      <c r="X17" s="3152"/>
      <c r="Y17" s="3365"/>
      <c r="Z17" s="3154" t="str">
        <f>Q17</f>
        <v>交通便捷度</v>
      </c>
      <c r="AA17" s="3155">
        <f t="shared" si="3"/>
        <v>1.0309278350515463</v>
      </c>
      <c r="AB17" s="3155">
        <f t="shared" si="4"/>
        <v>1.0309278350515463</v>
      </c>
      <c r="AC17" s="3155">
        <f t="shared" si="5"/>
        <v>1</v>
      </c>
    </row>
    <row r="18" spans="1:29" ht="15">
      <c r="A18" s="535"/>
      <c r="B18" s="598"/>
      <c r="C18" s="876" t="s">
        <v>2999</v>
      </c>
      <c r="D18" s="562"/>
      <c r="E18" s="571" t="s">
        <v>3009</v>
      </c>
      <c r="F18" s="566"/>
      <c r="G18" s="572" t="s">
        <v>3009</v>
      </c>
      <c r="H18" s="558"/>
      <c r="I18" s="571" t="s">
        <v>2999</v>
      </c>
      <c r="J18" s="558"/>
      <c r="K18" s="873"/>
      <c r="L18" s="2152"/>
      <c r="M18" s="2144"/>
      <c r="N18" s="2144"/>
      <c r="O18" s="2151"/>
      <c r="P18" s="3365"/>
      <c r="Q18" s="3153"/>
      <c r="R18" s="1578"/>
      <c r="S18" s="1579"/>
      <c r="T18" s="1578"/>
      <c r="U18" s="1579"/>
      <c r="V18" s="1578"/>
      <c r="W18" s="1579"/>
      <c r="X18" s="3152"/>
      <c r="Y18" s="3365"/>
      <c r="Z18" s="3154"/>
      <c r="AA18" s="3155">
        <v>1</v>
      </c>
      <c r="AB18" s="3155">
        <v>1</v>
      </c>
      <c r="AC18" s="3155">
        <v>1</v>
      </c>
    </row>
    <row r="19" spans="1:29" ht="42.75">
      <c r="A19" s="535"/>
      <c r="B19" s="2635" t="s">
        <v>2560</v>
      </c>
      <c r="C19" s="875" t="str">
        <f>估价对象房地状况!C7</f>
        <v>估价对象所在区域公共配套设施齐备情况</v>
      </c>
      <c r="D19" s="568">
        <v>100</v>
      </c>
      <c r="E19" s="573"/>
      <c r="F19" s="574">
        <f>SUMIF(80:80,E20,81:81)-SUMIF(80:80,C20,81:81)+100</f>
        <v>98</v>
      </c>
      <c r="G19" s="575"/>
      <c r="H19" s="562">
        <f>SUMIF(80:80,G20,81:81)-SUMIF(80:80,C20,81:81)+100</f>
        <v>98</v>
      </c>
      <c r="I19" s="573"/>
      <c r="J19" s="562">
        <f>SUMIF(80:80,I20,81:81)-SUMIF(80:80,C20,81:81)+100</f>
        <v>100</v>
      </c>
      <c r="K19" s="871">
        <f>'比较法-住宅、综合'!K29</f>
        <v>2</v>
      </c>
      <c r="L19" s="2152"/>
      <c r="M19" s="2144"/>
      <c r="N19" s="2144"/>
      <c r="O19" s="2151"/>
      <c r="P19" s="3365"/>
      <c r="Q19" s="3153" t="str">
        <f>B19</f>
        <v>公共配套设施</v>
      </c>
      <c r="R19" s="1578" t="s">
        <v>10</v>
      </c>
      <c r="S19" s="1579">
        <f>F19</f>
        <v>98</v>
      </c>
      <c r="T19" s="1578" t="s">
        <v>10</v>
      </c>
      <c r="U19" s="1579">
        <f>H19</f>
        <v>98</v>
      </c>
      <c r="V19" s="1578" t="s">
        <v>10</v>
      </c>
      <c r="W19" s="1579">
        <f>J19</f>
        <v>100</v>
      </c>
      <c r="X19" s="3152"/>
      <c r="Y19" s="3365"/>
      <c r="Z19" s="3154" t="str">
        <f>Q19</f>
        <v>公共配套设施</v>
      </c>
      <c r="AA19" s="3155">
        <f t="shared" si="3"/>
        <v>1.0204081632653061</v>
      </c>
      <c r="AB19" s="3155">
        <f t="shared" si="4"/>
        <v>1.0204081632653061</v>
      </c>
      <c r="AC19" s="3155">
        <f t="shared" si="5"/>
        <v>1</v>
      </c>
    </row>
    <row r="20" spans="1:29" ht="15">
      <c r="A20" s="535"/>
      <c r="B20" s="598"/>
      <c r="C20" s="579" t="s">
        <v>2999</v>
      </c>
      <c r="D20" s="558"/>
      <c r="E20" s="559" t="s">
        <v>3009</v>
      </c>
      <c r="F20" s="560"/>
      <c r="G20" s="561" t="s">
        <v>3009</v>
      </c>
      <c r="H20" s="558"/>
      <c r="I20" s="559" t="s">
        <v>2999</v>
      </c>
      <c r="J20" s="558"/>
      <c r="K20" s="873"/>
      <c r="L20" s="2152"/>
      <c r="M20" s="2144"/>
      <c r="N20" s="2144"/>
      <c r="O20" s="2151"/>
      <c r="P20" s="3365"/>
      <c r="Q20" s="3153"/>
      <c r="R20" s="1578"/>
      <c r="S20" s="1579"/>
      <c r="T20" s="1578"/>
      <c r="U20" s="1579"/>
      <c r="V20" s="1578"/>
      <c r="W20" s="1579"/>
      <c r="X20" s="3152"/>
      <c r="Y20" s="3365"/>
      <c r="Z20" s="3154"/>
      <c r="AA20" s="3155">
        <v>1</v>
      </c>
      <c r="AB20" s="3155">
        <v>1</v>
      </c>
      <c r="AC20" s="3155">
        <v>1</v>
      </c>
    </row>
    <row r="21" spans="1:29" ht="28.5">
      <c r="A21" s="535"/>
      <c r="B21" s="2628" t="s">
        <v>2561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5"/>
      <c r="Q21" s="3153" t="str">
        <f>B21</f>
        <v>基础设施水平</v>
      </c>
      <c r="R21" s="1578" t="s">
        <v>10</v>
      </c>
      <c r="S21" s="1579">
        <f>F21</f>
        <v>100</v>
      </c>
      <c r="T21" s="1578" t="s">
        <v>10</v>
      </c>
      <c r="U21" s="1579">
        <f>H21</f>
        <v>100</v>
      </c>
      <c r="V21" s="1578" t="s">
        <v>10</v>
      </c>
      <c r="W21" s="1579">
        <f>J21</f>
        <v>100</v>
      </c>
      <c r="X21" s="3152"/>
      <c r="Y21" s="3365"/>
      <c r="Z21" s="3154" t="str">
        <f>Q21</f>
        <v>基础设施水平</v>
      </c>
      <c r="AA21" s="3155">
        <f t="shared" ref="AA21" si="8">D21/F21</f>
        <v>1</v>
      </c>
      <c r="AB21" s="3155">
        <f t="shared" ref="AB21" si="9">D21/H21</f>
        <v>1</v>
      </c>
      <c r="AC21" s="3155">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5"/>
      <c r="Q22" s="3153"/>
      <c r="R22" s="1578"/>
      <c r="S22" s="1579"/>
      <c r="T22" s="1578"/>
      <c r="U22" s="1579"/>
      <c r="V22" s="1578"/>
      <c r="W22" s="1579"/>
      <c r="X22" s="3152"/>
      <c r="Y22" s="3365"/>
      <c r="Z22" s="3154"/>
      <c r="AA22" s="3155">
        <v>1</v>
      </c>
      <c r="AB22" s="3155">
        <v>1</v>
      </c>
      <c r="AC22" s="3155">
        <v>1</v>
      </c>
    </row>
    <row r="23" spans="1:29" ht="57">
      <c r="A23" s="535"/>
      <c r="B23" s="874" t="s">
        <v>297</v>
      </c>
      <c r="C23" s="875" t="str">
        <f>估价对象房地状况!C9</f>
        <v>区域自然环境：；人文环境；综合评价环境状况一般</v>
      </c>
      <c r="D23" s="562">
        <v>100</v>
      </c>
      <c r="E23" s="565"/>
      <c r="F23" s="566">
        <f>SUMIF(84:84,E24,85:85)-SUMIF(84:84,C24,85:85)+100</f>
        <v>105</v>
      </c>
      <c r="G23" s="567"/>
      <c r="H23" s="562">
        <f>SUMIF(84:84,G24,85:85)-SUMIF(84:84,C24,85:85)+100</f>
        <v>105</v>
      </c>
      <c r="I23" s="565"/>
      <c r="J23" s="562">
        <f>SUMIF(84:84,I24,85:85)-SUMIF(84:84,C24,85:85)+100</f>
        <v>100</v>
      </c>
      <c r="K23" s="871">
        <f>'比较法-住宅、综合'!K27</f>
        <v>5</v>
      </c>
      <c r="L23" s="2152"/>
      <c r="M23" s="2144"/>
      <c r="N23" s="2144"/>
      <c r="O23" s="2151"/>
      <c r="P23" s="3365"/>
      <c r="Q23" s="3153" t="str">
        <f>B23</f>
        <v>自然及人文环境</v>
      </c>
      <c r="R23" s="1578" t="s">
        <v>10</v>
      </c>
      <c r="S23" s="1579">
        <f>F23</f>
        <v>105</v>
      </c>
      <c r="T23" s="1578" t="s">
        <v>10</v>
      </c>
      <c r="U23" s="1579">
        <f>H23</f>
        <v>105</v>
      </c>
      <c r="V23" s="1578" t="s">
        <v>10</v>
      </c>
      <c r="W23" s="1579">
        <f>J23</f>
        <v>100</v>
      </c>
      <c r="X23" s="3152"/>
      <c r="Y23" s="3365"/>
      <c r="Z23" s="3154" t="str">
        <f>Q23</f>
        <v>自然及人文环境</v>
      </c>
      <c r="AA23" s="3155">
        <f t="shared" si="3"/>
        <v>0.95238095238095233</v>
      </c>
      <c r="AB23" s="3155">
        <f t="shared" si="4"/>
        <v>0.95238095238095233</v>
      </c>
      <c r="AC23" s="3155">
        <f t="shared" si="5"/>
        <v>1</v>
      </c>
    </row>
    <row r="24" spans="1:29" ht="15.75" thickBot="1">
      <c r="A24" s="535"/>
      <c r="B24" s="598"/>
      <c r="C24" s="579" t="s">
        <v>3009</v>
      </c>
      <c r="D24" s="558"/>
      <c r="E24" s="559" t="s">
        <v>2999</v>
      </c>
      <c r="F24" s="560"/>
      <c r="G24" s="561" t="s">
        <v>2999</v>
      </c>
      <c r="H24" s="558"/>
      <c r="I24" s="559" t="s">
        <v>3009</v>
      </c>
      <c r="J24" s="558"/>
      <c r="K24" s="873"/>
      <c r="L24" s="2152"/>
      <c r="M24" s="2144"/>
      <c r="N24" s="2144"/>
      <c r="O24" s="2151"/>
      <c r="P24" s="3365"/>
      <c r="Q24" s="3153"/>
      <c r="R24" s="1578"/>
      <c r="S24" s="1579"/>
      <c r="T24" s="1578"/>
      <c r="U24" s="1579"/>
      <c r="V24" s="1578"/>
      <c r="W24" s="1579"/>
      <c r="X24" s="3152"/>
      <c r="Y24" s="3365"/>
      <c r="Z24" s="3154"/>
      <c r="AA24" s="3155">
        <v>1</v>
      </c>
      <c r="AB24" s="3155">
        <v>1</v>
      </c>
      <c r="AC24" s="3155">
        <v>1</v>
      </c>
    </row>
    <row r="25" spans="1:29" ht="15.75" hidden="1" thickBot="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5"/>
      <c r="Q25" s="3153" t="str">
        <f t="shared" ref="Q25:Q46" si="11">B25</f>
        <v>楼层-1</v>
      </c>
      <c r="R25" s="1578" t="s">
        <v>10</v>
      </c>
      <c r="S25" s="1579">
        <f>F25</f>
        <v>100</v>
      </c>
      <c r="T25" s="1578" t="s">
        <v>10</v>
      </c>
      <c r="U25" s="1579">
        <f>H25</f>
        <v>100</v>
      </c>
      <c r="V25" s="1578" t="s">
        <v>10</v>
      </c>
      <c r="W25" s="1579">
        <f>J25</f>
        <v>100</v>
      </c>
      <c r="X25" s="3152"/>
      <c r="Y25" s="3365"/>
      <c r="Z25" s="3154" t="str">
        <f>Q25</f>
        <v>楼层-1</v>
      </c>
      <c r="AA25" s="3155">
        <f t="shared" si="3"/>
        <v>1</v>
      </c>
      <c r="AB25" s="3155">
        <f t="shared" si="4"/>
        <v>1</v>
      </c>
      <c r="AC25" s="3155">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5"/>
      <c r="Q26" s="3153" t="str">
        <f t="shared" si="11"/>
        <v>朝向</v>
      </c>
      <c r="R26" s="1578" t="s">
        <v>10</v>
      </c>
      <c r="S26" s="1579">
        <f>F26</f>
        <v>100</v>
      </c>
      <c r="T26" s="1578" t="s">
        <v>10</v>
      </c>
      <c r="U26" s="1579">
        <f>H26</f>
        <v>100</v>
      </c>
      <c r="V26" s="1578" t="s">
        <v>10</v>
      </c>
      <c r="W26" s="1579">
        <f>J26</f>
        <v>100</v>
      </c>
      <c r="X26" s="3152"/>
      <c r="Y26" s="3365"/>
      <c r="Z26" s="3154" t="str">
        <f>Q26</f>
        <v>朝向</v>
      </c>
      <c r="AA26" s="3155">
        <f t="shared" si="3"/>
        <v>1</v>
      </c>
      <c r="AB26" s="3155">
        <f t="shared" si="4"/>
        <v>1</v>
      </c>
      <c r="AC26" s="3155">
        <f t="shared" si="5"/>
        <v>1</v>
      </c>
    </row>
    <row r="27" spans="1:29" s="1223" customFormat="1" ht="15.75" hidden="1" thickBot="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5"/>
      <c r="Q27" s="3151" t="str">
        <f t="shared" si="11"/>
        <v>道路级别</v>
      </c>
      <c r="R27" s="1573" t="s">
        <v>10</v>
      </c>
      <c r="S27" s="1574">
        <f>F27</f>
        <v>100</v>
      </c>
      <c r="T27" s="1573" t="s">
        <v>10</v>
      </c>
      <c r="U27" s="1574">
        <f>H27</f>
        <v>100</v>
      </c>
      <c r="V27" s="1573" t="s">
        <v>10</v>
      </c>
      <c r="W27" s="1574">
        <f>J27</f>
        <v>100</v>
      </c>
      <c r="X27" s="1575"/>
      <c r="Y27" s="3365"/>
      <c r="Z27" s="3150" t="str">
        <f>Q27</f>
        <v>道路级别</v>
      </c>
      <c r="AA27" s="3155">
        <f>D27/F27</f>
        <v>1</v>
      </c>
      <c r="AB27" s="3155">
        <f>D27/H27</f>
        <v>1</v>
      </c>
      <c r="AC27" s="315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5"/>
      <c r="Q28" s="3153">
        <f t="shared" si="11"/>
        <v>111</v>
      </c>
      <c r="R28" s="1578" t="s">
        <v>10</v>
      </c>
      <c r="S28" s="1579">
        <f t="shared" ref="S28:S46" si="12">F28</f>
        <v>100</v>
      </c>
      <c r="T28" s="1578" t="s">
        <v>10</v>
      </c>
      <c r="U28" s="1579">
        <f t="shared" ref="U28:U46" si="13">H28</f>
        <v>100</v>
      </c>
      <c r="V28" s="1578" t="s">
        <v>10</v>
      </c>
      <c r="W28" s="1579">
        <f t="shared" ref="W28:W46" si="14">J28</f>
        <v>100</v>
      </c>
      <c r="X28" s="3152"/>
      <c r="Y28" s="3365"/>
      <c r="Z28" s="3154">
        <f t="shared" ref="Z28:Z46" si="15">Q28</f>
        <v>111</v>
      </c>
      <c r="AA28" s="3155">
        <f t="shared" si="3"/>
        <v>1</v>
      </c>
      <c r="AB28" s="3155">
        <f t="shared" si="4"/>
        <v>1</v>
      </c>
      <c r="AC28" s="315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5"/>
      <c r="Q29" s="3153">
        <f t="shared" si="11"/>
        <v>111</v>
      </c>
      <c r="R29" s="1578" t="s">
        <v>10</v>
      </c>
      <c r="S29" s="1579">
        <f t="shared" si="12"/>
        <v>100</v>
      </c>
      <c r="T29" s="1578" t="s">
        <v>10</v>
      </c>
      <c r="U29" s="1579">
        <f t="shared" si="13"/>
        <v>100</v>
      </c>
      <c r="V29" s="1578" t="s">
        <v>10</v>
      </c>
      <c r="W29" s="1579">
        <f t="shared" si="14"/>
        <v>100</v>
      </c>
      <c r="X29" s="3152"/>
      <c r="Y29" s="3365"/>
      <c r="Z29" s="3154">
        <f t="shared" si="15"/>
        <v>111</v>
      </c>
      <c r="AA29" s="3155">
        <f t="shared" si="3"/>
        <v>1</v>
      </c>
      <c r="AB29" s="3155">
        <f t="shared" si="4"/>
        <v>1</v>
      </c>
      <c r="AC29" s="315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5"/>
      <c r="Q30" s="3153">
        <f t="shared" si="11"/>
        <v>111</v>
      </c>
      <c r="R30" s="1578" t="s">
        <v>10</v>
      </c>
      <c r="S30" s="1579">
        <f t="shared" si="12"/>
        <v>100</v>
      </c>
      <c r="T30" s="1578" t="s">
        <v>10</v>
      </c>
      <c r="U30" s="1579">
        <f t="shared" si="13"/>
        <v>100</v>
      </c>
      <c r="V30" s="1578" t="s">
        <v>10</v>
      </c>
      <c r="W30" s="1579">
        <f t="shared" si="14"/>
        <v>100</v>
      </c>
      <c r="X30" s="3152"/>
      <c r="Y30" s="3365"/>
      <c r="Z30" s="3154">
        <f t="shared" si="15"/>
        <v>111</v>
      </c>
      <c r="AA30" s="3155">
        <f t="shared" si="3"/>
        <v>1</v>
      </c>
      <c r="AB30" s="3155">
        <f t="shared" si="4"/>
        <v>1</v>
      </c>
      <c r="AC30" s="315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5"/>
      <c r="Q31" s="3153">
        <f t="shared" si="11"/>
        <v>111</v>
      </c>
      <c r="R31" s="1578" t="s">
        <v>10</v>
      </c>
      <c r="S31" s="1579">
        <f t="shared" si="12"/>
        <v>100</v>
      </c>
      <c r="T31" s="1578" t="s">
        <v>10</v>
      </c>
      <c r="U31" s="1579">
        <f t="shared" si="13"/>
        <v>100</v>
      </c>
      <c r="V31" s="1578" t="s">
        <v>10</v>
      </c>
      <c r="W31" s="1579">
        <f t="shared" si="14"/>
        <v>100</v>
      </c>
      <c r="X31" s="3152"/>
      <c r="Y31" s="3365"/>
      <c r="Z31" s="3154">
        <f t="shared" si="15"/>
        <v>111</v>
      </c>
      <c r="AA31" s="3155">
        <f t="shared" si="3"/>
        <v>1</v>
      </c>
      <c r="AB31" s="3155">
        <f t="shared" si="4"/>
        <v>1</v>
      </c>
      <c r="AC31" s="3155">
        <f t="shared" si="5"/>
        <v>1</v>
      </c>
    </row>
    <row r="32" spans="1:29" ht="15">
      <c r="A32" s="2946" t="s">
        <v>2772</v>
      </c>
      <c r="B32" s="172" t="s">
        <v>728</v>
      </c>
      <c r="C32" s="881" t="s">
        <v>2976</v>
      </c>
      <c r="D32" s="600">
        <v>100</v>
      </c>
      <c r="E32" s="882" t="s">
        <v>2976</v>
      </c>
      <c r="F32" s="578">
        <f>SUMIF(100:100,E32,101:101)-SUMIF(100:100,C32,101:101)+100</f>
        <v>100</v>
      </c>
      <c r="G32" s="881" t="s">
        <v>2976</v>
      </c>
      <c r="H32" s="600">
        <f>SUMIF(100:100,G32,101:101)-SUMIF(100:100,C32,101:101)+100</f>
        <v>100</v>
      </c>
      <c r="I32" s="882" t="s">
        <v>2976</v>
      </c>
      <c r="J32" s="543">
        <f>SUMIF(100:100,I32,101:101)-SUMIF(100:100,C32,101:101)+100</f>
        <v>100</v>
      </c>
      <c r="K32" s="867">
        <v>2</v>
      </c>
      <c r="L32" s="2152"/>
      <c r="M32" s="2144"/>
      <c r="N32" s="2144"/>
      <c r="O32" s="2151"/>
      <c r="P32" s="3366" t="s">
        <v>551</v>
      </c>
      <c r="Q32" s="3153" t="str">
        <f t="shared" si="11"/>
        <v>建筑类型</v>
      </c>
      <c r="R32" s="1578" t="s">
        <v>10</v>
      </c>
      <c r="S32" s="1579">
        <f t="shared" si="12"/>
        <v>100</v>
      </c>
      <c r="T32" s="1578" t="s">
        <v>10</v>
      </c>
      <c r="U32" s="1579">
        <f t="shared" si="13"/>
        <v>100</v>
      </c>
      <c r="V32" s="1578" t="s">
        <v>10</v>
      </c>
      <c r="W32" s="1579">
        <f t="shared" si="14"/>
        <v>100</v>
      </c>
      <c r="X32" s="3152"/>
      <c r="Y32" s="3367" t="s">
        <v>551</v>
      </c>
      <c r="Z32" s="3154" t="str">
        <f t="shared" si="15"/>
        <v>建筑类型</v>
      </c>
      <c r="AA32" s="3155">
        <f t="shared" si="3"/>
        <v>1</v>
      </c>
      <c r="AB32" s="3155">
        <f t="shared" si="4"/>
        <v>1</v>
      </c>
      <c r="AC32" s="3155">
        <f t="shared" si="5"/>
        <v>1</v>
      </c>
    </row>
    <row r="33" spans="1:29" s="1342" customFormat="1" ht="15">
      <c r="A33" s="606"/>
      <c r="B33" s="530" t="s">
        <v>729</v>
      </c>
      <c r="C33" s="883">
        <f>'数据-汇总表'!E31</f>
        <v>289959.02999999997</v>
      </c>
      <c r="D33" s="255">
        <v>100</v>
      </c>
      <c r="E33" s="537">
        <v>1495140</v>
      </c>
      <c r="F33" s="866">
        <f>LOOKUP(E33,103:103,104:104)-LOOKUP(C33,103:103,104:104)+100</f>
        <v>105</v>
      </c>
      <c r="G33" s="536">
        <v>170265</v>
      </c>
      <c r="H33" s="255">
        <f>LOOKUP(G33,103:103,104:104)-LOOKUP(C33,103:103,104:104)+100</f>
        <v>99</v>
      </c>
      <c r="I33" s="537">
        <v>89362</v>
      </c>
      <c r="J33" s="255">
        <f>LOOKUP(I33,103:103,104:104)-LOOKUP(C33,103:103,104:104)+100</f>
        <v>98</v>
      </c>
      <c r="K33" s="868"/>
      <c r="L33" s="2150"/>
      <c r="M33" s="2181"/>
      <c r="N33" s="2181"/>
      <c r="O33" s="2153"/>
      <c r="P33" s="3367"/>
      <c r="Q33" s="1610" t="str">
        <f t="shared" si="11"/>
        <v>项目建筑规模</v>
      </c>
      <c r="R33" s="1582" t="s">
        <v>10</v>
      </c>
      <c r="S33" s="1583">
        <f t="shared" si="12"/>
        <v>105</v>
      </c>
      <c r="T33" s="1582" t="s">
        <v>10</v>
      </c>
      <c r="U33" s="1583">
        <f t="shared" si="13"/>
        <v>99</v>
      </c>
      <c r="V33" s="1582" t="s">
        <v>10</v>
      </c>
      <c r="W33" s="1583">
        <f t="shared" si="14"/>
        <v>98</v>
      </c>
      <c r="X33" s="1584"/>
      <c r="Y33" s="3367"/>
      <c r="Z33" s="1585" t="str">
        <f t="shared" si="15"/>
        <v>项目建筑规模</v>
      </c>
      <c r="AA33" s="3155">
        <f t="shared" si="3"/>
        <v>0.95238095238095233</v>
      </c>
      <c r="AB33" s="3155">
        <f t="shared" si="4"/>
        <v>1.0101010101010102</v>
      </c>
      <c r="AC33" s="3155">
        <f t="shared" si="5"/>
        <v>1.0204081632653061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v>2</v>
      </c>
      <c r="L34" s="2152"/>
      <c r="M34" s="2144"/>
      <c r="N34" s="2144"/>
      <c r="O34" s="2151"/>
      <c r="P34" s="3367"/>
      <c r="Q34" s="3153" t="str">
        <f t="shared" si="11"/>
        <v>建筑结构</v>
      </c>
      <c r="R34" s="1578" t="s">
        <v>10</v>
      </c>
      <c r="S34" s="1579">
        <f t="shared" si="12"/>
        <v>100</v>
      </c>
      <c r="T34" s="1578" t="s">
        <v>10</v>
      </c>
      <c r="U34" s="1579">
        <f t="shared" si="13"/>
        <v>100</v>
      </c>
      <c r="V34" s="1578" t="s">
        <v>10</v>
      </c>
      <c r="W34" s="1579">
        <f t="shared" si="14"/>
        <v>100</v>
      </c>
      <c r="X34" s="3152"/>
      <c r="Y34" s="3367"/>
      <c r="Z34" s="3154" t="str">
        <f t="shared" si="15"/>
        <v>建筑结构</v>
      </c>
      <c r="AA34" s="3155">
        <f t="shared" si="3"/>
        <v>1</v>
      </c>
      <c r="AB34" s="3155">
        <f t="shared" si="4"/>
        <v>1</v>
      </c>
      <c r="AC34" s="3155">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v>3</v>
      </c>
      <c r="L35" s="2152"/>
      <c r="M35" s="2144"/>
      <c r="N35" s="2144"/>
      <c r="O35" s="2151"/>
      <c r="P35" s="3367"/>
      <c r="Q35" s="3153" t="str">
        <f t="shared" si="11"/>
        <v>建筑品质</v>
      </c>
      <c r="R35" s="1578" t="s">
        <v>10</v>
      </c>
      <c r="S35" s="1579">
        <f t="shared" si="12"/>
        <v>100</v>
      </c>
      <c r="T35" s="1578" t="s">
        <v>10</v>
      </c>
      <c r="U35" s="1579">
        <f t="shared" si="13"/>
        <v>100</v>
      </c>
      <c r="V35" s="1578" t="s">
        <v>10</v>
      </c>
      <c r="W35" s="1579">
        <f t="shared" si="14"/>
        <v>100</v>
      </c>
      <c r="X35" s="3152"/>
      <c r="Y35" s="3367"/>
      <c r="Z35" s="3154" t="str">
        <f t="shared" si="15"/>
        <v>建筑品质</v>
      </c>
      <c r="AA35" s="3155">
        <f t="shared" si="3"/>
        <v>1</v>
      </c>
      <c r="AB35" s="3155">
        <f t="shared" si="4"/>
        <v>1</v>
      </c>
      <c r="AC35" s="3155">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v>3</v>
      </c>
      <c r="L36" s="2152"/>
      <c r="M36" s="2144"/>
      <c r="N36" s="2144"/>
      <c r="O36" s="2151"/>
      <c r="P36" s="3367"/>
      <c r="Q36" s="3153" t="str">
        <f t="shared" si="11"/>
        <v>公共部分装修</v>
      </c>
      <c r="R36" s="1578" t="s">
        <v>10</v>
      </c>
      <c r="S36" s="1579">
        <f t="shared" si="12"/>
        <v>100</v>
      </c>
      <c r="T36" s="1578" t="s">
        <v>10</v>
      </c>
      <c r="U36" s="1579">
        <f t="shared" si="13"/>
        <v>100</v>
      </c>
      <c r="V36" s="1578" t="s">
        <v>10</v>
      </c>
      <c r="W36" s="1579">
        <f t="shared" si="14"/>
        <v>100</v>
      </c>
      <c r="X36" s="3152"/>
      <c r="Y36" s="3367"/>
      <c r="Z36" s="3154" t="str">
        <f t="shared" si="15"/>
        <v>公共部分装修</v>
      </c>
      <c r="AA36" s="3155">
        <f t="shared" si="3"/>
        <v>1</v>
      </c>
      <c r="AB36" s="3155">
        <f t="shared" si="4"/>
        <v>1</v>
      </c>
      <c r="AC36" s="3155">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67"/>
      <c r="Q37" s="3151" t="str">
        <f t="shared" si="11"/>
        <v>成新度</v>
      </c>
      <c r="R37" s="1573" t="s">
        <v>10</v>
      </c>
      <c r="S37" s="1574">
        <f t="shared" si="12"/>
        <v>100</v>
      </c>
      <c r="T37" s="1573" t="s">
        <v>10</v>
      </c>
      <c r="U37" s="1574">
        <f t="shared" si="13"/>
        <v>100</v>
      </c>
      <c r="V37" s="1573" t="s">
        <v>10</v>
      </c>
      <c r="W37" s="1574">
        <f t="shared" si="14"/>
        <v>100</v>
      </c>
      <c r="X37" s="1575"/>
      <c r="Y37" s="3367"/>
      <c r="Z37" s="3150"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v>1</v>
      </c>
      <c r="L38" s="2152"/>
      <c r="M38" s="2144"/>
      <c r="N38" s="2144"/>
      <c r="O38" s="2151"/>
      <c r="P38" s="3367" t="s">
        <v>551</v>
      </c>
      <c r="Q38" s="3153" t="str">
        <f t="shared" si="11"/>
        <v>物业管理</v>
      </c>
      <c r="R38" s="1578" t="s">
        <v>10</v>
      </c>
      <c r="S38" s="1579">
        <f t="shared" si="12"/>
        <v>100</v>
      </c>
      <c r="T38" s="1578" t="s">
        <v>10</v>
      </c>
      <c r="U38" s="1579">
        <f t="shared" si="13"/>
        <v>100</v>
      </c>
      <c r="V38" s="1578" t="s">
        <v>10</v>
      </c>
      <c r="W38" s="1579">
        <f t="shared" si="14"/>
        <v>100</v>
      </c>
      <c r="X38" s="3152"/>
      <c r="Y38" s="3367" t="s">
        <v>551</v>
      </c>
      <c r="Z38" s="3154" t="str">
        <f t="shared" si="15"/>
        <v>物业管理</v>
      </c>
      <c r="AA38" s="3155">
        <f t="shared" si="3"/>
        <v>1</v>
      </c>
      <c r="AB38" s="3155">
        <f t="shared" si="4"/>
        <v>1</v>
      </c>
      <c r="AC38" s="3155">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v>1</v>
      </c>
      <c r="L39" s="2152"/>
      <c r="M39" s="2144"/>
      <c r="N39" s="2144"/>
      <c r="O39" s="2151"/>
      <c r="P39" s="3367"/>
      <c r="Q39" s="3153" t="str">
        <f t="shared" si="11"/>
        <v>市政基础设施</v>
      </c>
      <c r="R39" s="1578" t="s">
        <v>10</v>
      </c>
      <c r="S39" s="1579">
        <f t="shared" si="12"/>
        <v>100</v>
      </c>
      <c r="T39" s="1578" t="s">
        <v>10</v>
      </c>
      <c r="U39" s="1579">
        <f t="shared" si="13"/>
        <v>100</v>
      </c>
      <c r="V39" s="1578" t="s">
        <v>10</v>
      </c>
      <c r="W39" s="1579">
        <f t="shared" si="14"/>
        <v>100</v>
      </c>
      <c r="X39" s="3152"/>
      <c r="Y39" s="3367"/>
      <c r="Z39" s="3154" t="str">
        <f t="shared" si="15"/>
        <v>市政基础设施</v>
      </c>
      <c r="AA39" s="3155">
        <f t="shared" si="3"/>
        <v>1</v>
      </c>
      <c r="AB39" s="3155">
        <f t="shared" si="4"/>
        <v>1</v>
      </c>
      <c r="AC39" s="3155">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7"/>
      <c r="Q40" s="3153" t="str">
        <f t="shared" si="11"/>
        <v>房型</v>
      </c>
      <c r="R40" s="1578" t="s">
        <v>10</v>
      </c>
      <c r="S40" s="1579">
        <f t="shared" si="12"/>
        <v>100</v>
      </c>
      <c r="T40" s="1578" t="s">
        <v>10</v>
      </c>
      <c r="U40" s="1579">
        <f t="shared" si="13"/>
        <v>100</v>
      </c>
      <c r="V40" s="1578" t="s">
        <v>10</v>
      </c>
      <c r="W40" s="1579">
        <f t="shared" si="14"/>
        <v>100</v>
      </c>
      <c r="X40" s="3152"/>
      <c r="Y40" s="3367"/>
      <c r="Z40" s="3154" t="str">
        <f t="shared" si="15"/>
        <v>房型</v>
      </c>
      <c r="AA40" s="3155">
        <f t="shared" si="3"/>
        <v>1</v>
      </c>
      <c r="AB40" s="3155">
        <f t="shared" si="4"/>
        <v>1</v>
      </c>
      <c r="AC40" s="3155">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7"/>
      <c r="Q41" s="1610" t="str">
        <f t="shared" si="11"/>
        <v>单套/主力户型建筑面积</v>
      </c>
      <c r="R41" s="1582" t="s">
        <v>10</v>
      </c>
      <c r="S41" s="1583">
        <f t="shared" si="12"/>
        <v>100</v>
      </c>
      <c r="T41" s="1582" t="s">
        <v>10</v>
      </c>
      <c r="U41" s="1583">
        <f t="shared" si="13"/>
        <v>100</v>
      </c>
      <c r="V41" s="1582" t="s">
        <v>10</v>
      </c>
      <c r="W41" s="1583">
        <f t="shared" si="14"/>
        <v>100</v>
      </c>
      <c r="X41" s="1584"/>
      <c r="Y41" s="3367"/>
      <c r="Z41" s="1585" t="str">
        <f t="shared" si="15"/>
        <v>单套/主力户型建筑面积</v>
      </c>
      <c r="AA41" s="3155">
        <f t="shared" si="3"/>
        <v>1</v>
      </c>
      <c r="AB41" s="3155">
        <f t="shared" si="4"/>
        <v>1</v>
      </c>
      <c r="AC41" s="3155">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v>1</v>
      </c>
      <c r="L42" s="2152"/>
      <c r="M42" s="2144"/>
      <c r="N42" s="2144"/>
      <c r="O42" s="2151"/>
      <c r="P42" s="3367"/>
      <c r="Q42" s="3153" t="str">
        <f t="shared" si="11"/>
        <v>内部装修</v>
      </c>
      <c r="R42" s="1578" t="s">
        <v>10</v>
      </c>
      <c r="S42" s="1579">
        <f t="shared" si="12"/>
        <v>100</v>
      </c>
      <c r="T42" s="1578" t="s">
        <v>10</v>
      </c>
      <c r="U42" s="1579">
        <f t="shared" si="13"/>
        <v>100</v>
      </c>
      <c r="V42" s="1578" t="s">
        <v>10</v>
      </c>
      <c r="W42" s="1579">
        <f t="shared" si="14"/>
        <v>100</v>
      </c>
      <c r="X42" s="3152"/>
      <c r="Y42" s="3367"/>
      <c r="Z42" s="3154" t="str">
        <f t="shared" si="15"/>
        <v>内部装修</v>
      </c>
      <c r="AA42" s="3155">
        <f t="shared" si="3"/>
        <v>1</v>
      </c>
      <c r="AB42" s="3155">
        <f t="shared" si="4"/>
        <v>1</v>
      </c>
      <c r="AC42" s="3155">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v>1</v>
      </c>
      <c r="L43" s="2152"/>
      <c r="M43" s="2144"/>
      <c r="N43" s="2144"/>
      <c r="O43" s="2151"/>
      <c r="P43" s="3367"/>
      <c r="Q43" s="3153" t="str">
        <f t="shared" si="11"/>
        <v>内部装修维护情况</v>
      </c>
      <c r="R43" s="1578" t="s">
        <v>10</v>
      </c>
      <c r="S43" s="1579">
        <f t="shared" si="12"/>
        <v>100</v>
      </c>
      <c r="T43" s="1578" t="s">
        <v>10</v>
      </c>
      <c r="U43" s="1579">
        <f t="shared" si="13"/>
        <v>100</v>
      </c>
      <c r="V43" s="1578" t="s">
        <v>10</v>
      </c>
      <c r="W43" s="1579">
        <f t="shared" si="14"/>
        <v>100</v>
      </c>
      <c r="X43" s="3152"/>
      <c r="Y43" s="3367"/>
      <c r="Z43" s="3154" t="str">
        <f t="shared" si="15"/>
        <v>内部装修维护情况</v>
      </c>
      <c r="AA43" s="3155">
        <f t="shared" si="3"/>
        <v>1</v>
      </c>
      <c r="AB43" s="3155">
        <f t="shared" si="4"/>
        <v>1</v>
      </c>
      <c r="AC43" s="3155">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7"/>
      <c r="Q44" s="3151">
        <f t="shared" si="11"/>
        <v>111</v>
      </c>
      <c r="R44" s="1573" t="s">
        <v>10</v>
      </c>
      <c r="S44" s="1574">
        <f t="shared" si="12"/>
        <v>100</v>
      </c>
      <c r="T44" s="1573" t="s">
        <v>10</v>
      </c>
      <c r="U44" s="1574">
        <f t="shared" si="13"/>
        <v>100</v>
      </c>
      <c r="V44" s="1573" t="s">
        <v>10</v>
      </c>
      <c r="W44" s="1574">
        <f t="shared" si="14"/>
        <v>100</v>
      </c>
      <c r="X44" s="1575"/>
      <c r="Y44" s="3367"/>
      <c r="Z44" s="3150">
        <f t="shared" si="15"/>
        <v>111</v>
      </c>
      <c r="AA44" s="1576">
        <f t="shared" si="3"/>
        <v>1</v>
      </c>
      <c r="AB44" s="1576">
        <f t="shared" si="4"/>
        <v>1</v>
      </c>
      <c r="AC44" s="1576">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7"/>
      <c r="Q45" s="3153">
        <f t="shared" si="11"/>
        <v>111</v>
      </c>
      <c r="R45" s="1578" t="s">
        <v>10</v>
      </c>
      <c r="S45" s="1579">
        <f t="shared" si="12"/>
        <v>100</v>
      </c>
      <c r="T45" s="1578" t="s">
        <v>10</v>
      </c>
      <c r="U45" s="1579">
        <f t="shared" si="13"/>
        <v>100</v>
      </c>
      <c r="V45" s="1578" t="s">
        <v>10</v>
      </c>
      <c r="W45" s="1579">
        <f t="shared" si="14"/>
        <v>100</v>
      </c>
      <c r="X45" s="3152"/>
      <c r="Y45" s="3367"/>
      <c r="Z45" s="3154">
        <f t="shared" si="15"/>
        <v>111</v>
      </c>
      <c r="AA45" s="3155">
        <f t="shared" si="3"/>
        <v>1</v>
      </c>
      <c r="AB45" s="3155">
        <f t="shared" si="4"/>
        <v>1</v>
      </c>
      <c r="AC45" s="3155">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7"/>
      <c r="Q46" s="3153">
        <f t="shared" si="11"/>
        <v>111</v>
      </c>
      <c r="R46" s="1578" t="s">
        <v>10</v>
      </c>
      <c r="S46" s="1579">
        <f t="shared" si="12"/>
        <v>100</v>
      </c>
      <c r="T46" s="1578" t="s">
        <v>10</v>
      </c>
      <c r="U46" s="1579">
        <f t="shared" si="13"/>
        <v>100</v>
      </c>
      <c r="V46" s="1578" t="s">
        <v>10</v>
      </c>
      <c r="W46" s="1579">
        <f t="shared" si="14"/>
        <v>100</v>
      </c>
      <c r="X46" s="3152"/>
      <c r="Y46" s="3437"/>
      <c r="Z46" s="3154">
        <f t="shared" si="15"/>
        <v>111</v>
      </c>
      <c r="AA46" s="3155">
        <f t="shared" si="3"/>
        <v>1</v>
      </c>
      <c r="AB46" s="3155">
        <f t="shared" si="4"/>
        <v>1</v>
      </c>
      <c r="AC46" s="3155">
        <f t="shared" si="5"/>
        <v>1</v>
      </c>
    </row>
    <row r="47" spans="1:29" ht="15">
      <c r="A47" s="610" t="s">
        <v>739</v>
      </c>
      <c r="B47" s="890"/>
      <c r="C47" s="2662" t="s">
        <v>2</v>
      </c>
      <c r="D47" s="2663"/>
      <c r="E47" s="2664">
        <f>ROUND(19000*0.98,0)</f>
        <v>18620</v>
      </c>
      <c r="F47" s="2665"/>
      <c r="G47" s="2666">
        <f>ROUND(21000*0.98,0)</f>
        <v>20580</v>
      </c>
      <c r="H47" s="2667"/>
      <c r="I47" s="2664">
        <f>ROUND(19000*0.98,0)</f>
        <v>18620</v>
      </c>
      <c r="J47" s="2667"/>
      <c r="K47" s="1611"/>
      <c r="L47" s="2154"/>
      <c r="M47" s="2155"/>
      <c r="N47" s="2144"/>
      <c r="O47" s="2155"/>
      <c r="P47" s="3329" t="str">
        <f>A47</f>
        <v>成交单价（元/平方米）</v>
      </c>
      <c r="Q47" s="3329"/>
      <c r="R47" s="3436">
        <f>E47</f>
        <v>18620</v>
      </c>
      <c r="S47" s="3436"/>
      <c r="T47" s="3436">
        <f>G47</f>
        <v>20580</v>
      </c>
      <c r="U47" s="3436"/>
      <c r="V47" s="3436">
        <f>I47</f>
        <v>18620</v>
      </c>
      <c r="W47" s="3436"/>
      <c r="X47" s="1564"/>
      <c r="Y47" s="1586"/>
      <c r="Z47" s="1564"/>
      <c r="AA47" s="1564"/>
      <c r="AB47" s="1564"/>
      <c r="AC47" s="1564"/>
    </row>
    <row r="48" spans="1:29" ht="15.75" thickBot="1">
      <c r="A48" s="618" t="s">
        <v>2710</v>
      </c>
      <c r="B48" s="891"/>
      <c r="C48" s="2668">
        <f>R49</f>
        <v>19277</v>
      </c>
      <c r="D48" s="2669"/>
      <c r="E48" s="2670">
        <f>R48</f>
        <v>18702</v>
      </c>
      <c r="F48" s="2670"/>
      <c r="G48" s="2668">
        <f>T48</f>
        <v>20682</v>
      </c>
      <c r="H48" s="2669"/>
      <c r="I48" s="2670">
        <f>V48</f>
        <v>18447</v>
      </c>
      <c r="J48" s="2669"/>
      <c r="K48" s="1612"/>
      <c r="L48" s="2154"/>
      <c r="M48" s="2155"/>
      <c r="N48" s="2155"/>
      <c r="O48" s="2155"/>
      <c r="P48" s="3329" t="str">
        <f>A48</f>
        <v>比较价格（元/平方米）</v>
      </c>
      <c r="Q48" s="3329"/>
      <c r="R48" s="3436">
        <f>IF(F1="售价",ROUND(PRODUCT(R47,AA7:AA46),0),ROUND(PRODUCT(R47,AA7:AA46),1))</f>
        <v>18702</v>
      </c>
      <c r="S48" s="3436"/>
      <c r="T48" s="3436">
        <f>IF(F1="售价",ROUND(PRODUCT(T47,AB7:AB46),0),ROUND(PRODUCT(T47,AB7:AB46),1))</f>
        <v>20682</v>
      </c>
      <c r="U48" s="3436"/>
      <c r="V48" s="3436">
        <f>IF(F1="售价",ROUND(PRODUCT(V47,AC7:AC46),0),ROUND(PRODUCT(V47,AC7:AC46),1))</f>
        <v>18447</v>
      </c>
      <c r="W48" s="3436"/>
      <c r="X48" s="1564"/>
      <c r="Y48" s="1564"/>
      <c r="Z48" s="1564"/>
      <c r="AA48" s="1564"/>
      <c r="AB48" s="1564"/>
      <c r="AC48" s="1564"/>
    </row>
    <row r="49" spans="1:29" ht="15.75" thickBot="1">
      <c r="A49" s="624" t="s">
        <v>2950</v>
      </c>
      <c r="B49" s="625"/>
      <c r="C49" s="2671">
        <f>R49</f>
        <v>19277</v>
      </c>
      <c r="D49" s="2671"/>
      <c r="E49" s="2671"/>
      <c r="F49" s="2671"/>
      <c r="G49" s="2671"/>
      <c r="H49" s="2671"/>
      <c r="I49" s="2671"/>
      <c r="J49" s="2671"/>
      <c r="K49" s="1613"/>
      <c r="L49" s="2154"/>
      <c r="M49" s="2155"/>
      <c r="N49" s="2155"/>
      <c r="O49" s="2155"/>
      <c r="P49" s="3326" t="str">
        <f>A49</f>
        <v>估价对象XX用房的比较价格（楼面单价，元/平方米）</v>
      </c>
      <c r="Q49" s="3327"/>
      <c r="R49" s="3435">
        <f>IF(F1="售价",ROUND(AVERAGE(R48:V48),0),ROUND(AVERAGE(R48:V48),1))</f>
        <v>19277</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4.4038668098818068E-3</v>
      </c>
      <c r="F52" s="630" t="str">
        <f>IF(OR(E52&gt;=0.3,E52&lt;=-0.3),"超过30%","")</f>
        <v/>
      </c>
      <c r="G52" s="629">
        <f>IF(G47&lt;G48,G48/G47-1,G47/G48-1)</f>
        <v>4.9562682215742448E-3</v>
      </c>
      <c r="H52" s="630" t="str">
        <f>IF(OR(G52&gt;=0.3,G52&lt;=-0.3),"超过30%","")</f>
        <v/>
      </c>
      <c r="I52" s="629">
        <f>IF(I47&lt;I48,I48/I47-1,I47/I48-1)</f>
        <v>9.3782186805442258E-3</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0.10587102983638119</v>
      </c>
      <c r="F53" s="630" t="str">
        <f>IF(OR(E53&gt;=0.2,E53&lt;=-0.2),"超过20%","")</f>
        <v/>
      </c>
      <c r="G53" s="629">
        <f>IF(G48&lt;I48,I48/G48-1,G48/I48-1)</f>
        <v>0.12115791185558633</v>
      </c>
      <c r="H53" s="630" t="str">
        <f>IF(OR(G53&gt;=0.2,G53&lt;=-0.2),"超过20%","")</f>
        <v/>
      </c>
      <c r="I53" s="629">
        <f>IF(I48&lt;E48,E48/I48-1,I48/E48-1)</f>
        <v>1.3823385916409192E-2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0.10526315789473695</v>
      </c>
      <c r="F54" s="630" t="str">
        <f>IF(OR(E54&gt;=0.3,E54&lt;=-0.3),"超过30%","")</f>
        <v/>
      </c>
      <c r="G54" s="629">
        <f>IF(G47&lt;I47,I47/G47-1,G47/I47-1)</f>
        <v>0.10526315789473695</v>
      </c>
      <c r="H54" s="630" t="str">
        <f>IF(OR(G54&gt;=0.3,G54&lt;=-0.3),"超过30%","")</f>
        <v/>
      </c>
      <c r="I54" s="629">
        <f>IF(I47&lt;E47,E47/I47-1,I47/E47-1)</f>
        <v>0</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2561</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3035</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98</v>
      </c>
      <c r="E106" s="682">
        <f t="shared" si="26"/>
        <v>96</v>
      </c>
      <c r="F106" s="682">
        <f t="shared" si="26"/>
        <v>94</v>
      </c>
      <c r="G106" s="682">
        <f t="shared" si="26"/>
        <v>92</v>
      </c>
      <c r="H106" s="682">
        <f t="shared" si="26"/>
        <v>90</v>
      </c>
      <c r="I106" s="682">
        <f t="shared" si="26"/>
        <v>88</v>
      </c>
      <c r="J106" s="682">
        <f t="shared" si="26"/>
        <v>86</v>
      </c>
      <c r="K106" s="682">
        <f t="shared" si="26"/>
        <v>84</v>
      </c>
      <c r="L106" s="682">
        <f t="shared" si="26"/>
        <v>82</v>
      </c>
      <c r="M106" s="682">
        <f t="shared" si="26"/>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97</v>
      </c>
      <c r="E108" s="682">
        <f t="shared" si="27"/>
        <v>94</v>
      </c>
      <c r="F108" s="682">
        <f t="shared" si="27"/>
        <v>91</v>
      </c>
      <c r="G108" s="682">
        <f t="shared" si="27"/>
        <v>88</v>
      </c>
      <c r="H108" s="682">
        <f t="shared" si="27"/>
        <v>85</v>
      </c>
      <c r="I108" s="682">
        <f t="shared" si="27"/>
        <v>82</v>
      </c>
      <c r="J108" s="682">
        <f t="shared" si="27"/>
        <v>79</v>
      </c>
      <c r="K108" s="682">
        <f t="shared" si="27"/>
        <v>76</v>
      </c>
      <c r="L108" s="682">
        <f t="shared" si="27"/>
        <v>73</v>
      </c>
      <c r="M108" s="682">
        <f t="shared" si="27"/>
        <v>70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97</v>
      </c>
      <c r="E110" s="682">
        <f t="shared" si="28"/>
        <v>94</v>
      </c>
      <c r="F110" s="682">
        <f t="shared" si="28"/>
        <v>91</v>
      </c>
      <c r="G110" s="682">
        <f t="shared" si="28"/>
        <v>88</v>
      </c>
      <c r="H110" s="682">
        <f t="shared" si="28"/>
        <v>85</v>
      </c>
      <c r="I110" s="682">
        <f t="shared" si="28"/>
        <v>82</v>
      </c>
      <c r="J110" s="682">
        <f t="shared" si="28"/>
        <v>79</v>
      </c>
      <c r="K110" s="682">
        <f t="shared" si="28"/>
        <v>76</v>
      </c>
      <c r="L110" s="682">
        <f t="shared" si="28"/>
        <v>73</v>
      </c>
      <c r="M110" s="682">
        <f t="shared" si="28"/>
        <v>70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99</v>
      </c>
      <c r="E115" s="682">
        <f t="shared" si="29"/>
        <v>98</v>
      </c>
      <c r="F115" s="682">
        <f t="shared" si="29"/>
        <v>97</v>
      </c>
      <c r="G115" s="682">
        <f t="shared" si="29"/>
        <v>96</v>
      </c>
      <c r="H115" s="682">
        <f t="shared" si="29"/>
        <v>95</v>
      </c>
      <c r="I115" s="682">
        <f t="shared" si="29"/>
        <v>94</v>
      </c>
      <c r="J115" s="682">
        <f t="shared" si="29"/>
        <v>93</v>
      </c>
      <c r="K115" s="682">
        <f t="shared" si="29"/>
        <v>92</v>
      </c>
      <c r="L115" s="682">
        <f t="shared" si="29"/>
        <v>91</v>
      </c>
      <c r="M115" s="682">
        <f t="shared" si="29"/>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99</v>
      </c>
      <c r="E123" s="682">
        <f t="shared" si="31"/>
        <v>98</v>
      </c>
      <c r="F123" s="682">
        <f t="shared" si="31"/>
        <v>97</v>
      </c>
      <c r="G123" s="682">
        <f t="shared" si="31"/>
        <v>96</v>
      </c>
      <c r="H123" s="682">
        <f t="shared" si="31"/>
        <v>95</v>
      </c>
      <c r="I123" s="682">
        <f t="shared" si="31"/>
        <v>94</v>
      </c>
      <c r="J123" s="682">
        <f t="shared" si="31"/>
        <v>93</v>
      </c>
      <c r="K123" s="682">
        <f t="shared" si="31"/>
        <v>92</v>
      </c>
      <c r="L123" s="682">
        <f t="shared" si="31"/>
        <v>91</v>
      </c>
      <c r="M123" s="682">
        <f t="shared" si="31"/>
        <v>90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2272</v>
      </c>
      <c r="H138" s="1934" t="s">
        <v>2273</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2279</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35" t="s">
        <v>523</v>
      </c>
      <c r="D4" s="3336"/>
      <c r="E4" s="3370" t="s">
        <v>524</v>
      </c>
      <c r="F4" s="3371"/>
      <c r="G4" s="3335" t="s">
        <v>525</v>
      </c>
      <c r="H4" s="3336"/>
      <c r="I4" s="3335" t="s">
        <v>526</v>
      </c>
      <c r="J4" s="3336"/>
      <c r="K4" s="517" t="s">
        <v>527</v>
      </c>
      <c r="L4" s="2143"/>
      <c r="M4" s="2144"/>
      <c r="N4" s="2144"/>
      <c r="O4" s="2144"/>
      <c r="P4" s="3337" t="s">
        <v>528</v>
      </c>
      <c r="Q4" s="3338"/>
      <c r="R4" s="3343" t="s">
        <v>524</v>
      </c>
      <c r="S4" s="3344"/>
      <c r="T4" s="3343" t="s">
        <v>525</v>
      </c>
      <c r="U4" s="3344"/>
      <c r="V4" s="3330" t="s">
        <v>526</v>
      </c>
      <c r="W4" s="3330"/>
      <c r="X4" s="1572"/>
      <c r="Y4" s="3343" t="s">
        <v>528</v>
      </c>
      <c r="Z4" s="3344"/>
      <c r="AA4" s="3332" t="s">
        <v>524</v>
      </c>
      <c r="AB4" s="3330" t="s">
        <v>525</v>
      </c>
      <c r="AC4" s="3332" t="s">
        <v>526</v>
      </c>
    </row>
    <row r="5" spans="1:29" ht="15">
      <c r="A5" s="518"/>
      <c r="B5" s="519"/>
      <c r="C5" s="3353" t="s">
        <v>2944</v>
      </c>
      <c r="D5" s="3352"/>
      <c r="E5" s="3372" t="s">
        <v>2945</v>
      </c>
      <c r="F5" s="3373"/>
      <c r="G5" s="3353" t="s">
        <v>2946</v>
      </c>
      <c r="H5" s="3352"/>
      <c r="I5" s="3353" t="s">
        <v>2947</v>
      </c>
      <c r="J5" s="3352"/>
      <c r="K5" s="517"/>
      <c r="L5" s="2143"/>
      <c r="M5" s="2144"/>
      <c r="N5" s="2144"/>
      <c r="O5" s="2144"/>
      <c r="P5" s="3339"/>
      <c r="Q5" s="3340"/>
      <c r="R5" s="3345"/>
      <c r="S5" s="3346"/>
      <c r="T5" s="3345"/>
      <c r="U5" s="3346"/>
      <c r="V5" s="3330"/>
      <c r="W5" s="3330"/>
      <c r="X5" s="1572"/>
      <c r="Y5" s="3345"/>
      <c r="Z5" s="3346"/>
      <c r="AA5" s="3333"/>
      <c r="AB5" s="3330"/>
      <c r="AC5" s="3333"/>
    </row>
    <row r="6" spans="1:29" ht="15.75" thickBot="1">
      <c r="A6" s="520"/>
      <c r="B6" s="521"/>
      <c r="C6" s="3349" t="s">
        <v>2948</v>
      </c>
      <c r="D6" s="3350"/>
      <c r="E6" s="3368" t="s">
        <v>2948</v>
      </c>
      <c r="F6" s="3369"/>
      <c r="G6" s="3349" t="s">
        <v>2948</v>
      </c>
      <c r="H6" s="3350"/>
      <c r="I6" s="3349" t="s">
        <v>2948</v>
      </c>
      <c r="J6" s="3350"/>
      <c r="K6" s="517" t="s">
        <v>529</v>
      </c>
      <c r="L6" s="2143"/>
      <c r="M6" s="2144"/>
      <c r="N6" s="2144"/>
      <c r="O6" s="2144"/>
      <c r="P6" s="3341"/>
      <c r="Q6" s="3342"/>
      <c r="R6" s="3345"/>
      <c r="S6" s="3346"/>
      <c r="T6" s="3347"/>
      <c r="U6" s="3348"/>
      <c r="V6" s="3330"/>
      <c r="W6" s="3330"/>
      <c r="X6" s="1572"/>
      <c r="Y6" s="3347"/>
      <c r="Z6" s="3348"/>
      <c r="AA6" s="3334"/>
      <c r="AB6" s="3330"/>
      <c r="AC6" s="3334"/>
    </row>
    <row r="7" spans="1:29" s="1223" customFormat="1" ht="15.75" thickBot="1">
      <c r="A7" s="2951"/>
      <c r="B7" s="2958" t="s">
        <v>530</v>
      </c>
      <c r="C7" s="522">
        <f>'数据-取费表'!B2</f>
        <v>42921</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61" t="s">
        <v>531</v>
      </c>
      <c r="Q7" s="3363"/>
      <c r="R7" s="1573" t="s">
        <v>8</v>
      </c>
      <c r="S7" s="1574">
        <f t="shared" ref="S7:S15" si="0">F7</f>
        <v>0</v>
      </c>
      <c r="T7" s="1573" t="s">
        <v>8</v>
      </c>
      <c r="U7" s="1574">
        <f t="shared" ref="U7:U15" si="1">H7</f>
        <v>0</v>
      </c>
      <c r="V7" s="1573" t="s">
        <v>8</v>
      </c>
      <c r="W7" s="1574">
        <f t="shared" ref="W7:W15" si="2">J7</f>
        <v>0</v>
      </c>
      <c r="X7" s="1575"/>
      <c r="Y7" s="3361" t="s">
        <v>531</v>
      </c>
      <c r="Z7" s="3362"/>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61" t="s">
        <v>534</v>
      </c>
      <c r="Q8" s="3362"/>
      <c r="R8" s="1573" t="s">
        <v>8</v>
      </c>
      <c r="S8" s="1574">
        <f t="shared" si="0"/>
        <v>0</v>
      </c>
      <c r="T8" s="1573" t="s">
        <v>8</v>
      </c>
      <c r="U8" s="1574">
        <f t="shared" si="1"/>
        <v>0</v>
      </c>
      <c r="V8" s="1573" t="s">
        <v>8</v>
      </c>
      <c r="W8" s="1574">
        <f t="shared" si="2"/>
        <v>0</v>
      </c>
      <c r="X8" s="1575"/>
      <c r="Y8" s="3361" t="s">
        <v>534</v>
      </c>
      <c r="Z8" s="3362"/>
      <c r="AA8" s="1576" t="e">
        <f t="shared" ref="AA8:AA46" si="3">D8/F8</f>
        <v>#DIV/0!</v>
      </c>
      <c r="AB8" s="1576" t="e">
        <f t="shared" ref="AB8:AB46" si="4">D8/H8</f>
        <v>#DIV/0!</v>
      </c>
      <c r="AC8" s="1576" t="e">
        <f t="shared" ref="AC8:AC46" si="5">D8/J8</f>
        <v>#DIV/0!</v>
      </c>
    </row>
    <row r="9" spans="1:29" s="1223" customFormat="1" ht="15">
      <c r="A9" s="2953"/>
      <c r="B9" s="2960" t="s">
        <v>2773</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29" t="s">
        <v>536</v>
      </c>
      <c r="Q9" s="1154" t="str">
        <f t="shared" ref="Q9:Q15" si="6">B9</f>
        <v>用途</v>
      </c>
      <c r="R9" s="1573" t="s">
        <v>8</v>
      </c>
      <c r="S9" s="1574">
        <f t="shared" si="0"/>
        <v>100</v>
      </c>
      <c r="T9" s="1573" t="s">
        <v>8</v>
      </c>
      <c r="U9" s="1574">
        <f t="shared" si="1"/>
        <v>100</v>
      </c>
      <c r="V9" s="1573" t="s">
        <v>8</v>
      </c>
      <c r="W9" s="1574">
        <f t="shared" si="2"/>
        <v>100</v>
      </c>
      <c r="X9" s="1575"/>
      <c r="Y9" s="3275"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29"/>
      <c r="Q11" s="1154" t="str">
        <f t="shared" si="6"/>
        <v>容积率</v>
      </c>
      <c r="R11" s="1573" t="s">
        <v>8</v>
      </c>
      <c r="S11" s="1574" t="e">
        <f t="shared" si="0"/>
        <v>#N/A</v>
      </c>
      <c r="T11" s="1573" t="s">
        <v>8</v>
      </c>
      <c r="U11" s="1574" t="e">
        <f t="shared" si="1"/>
        <v>#N/A</v>
      </c>
      <c r="V11" s="1573" t="s">
        <v>8</v>
      </c>
      <c r="W11" s="1574" t="e">
        <f t="shared" si="2"/>
        <v>#N/A</v>
      </c>
      <c r="X11" s="1575"/>
      <c r="Y11" s="327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29"/>
      <c r="Q12" s="1154">
        <f t="shared" si="6"/>
        <v>111</v>
      </c>
      <c r="R12" s="1573" t="s">
        <v>8</v>
      </c>
      <c r="S12" s="1574">
        <f t="shared" si="0"/>
        <v>100</v>
      </c>
      <c r="T12" s="1573" t="s">
        <v>8</v>
      </c>
      <c r="U12" s="1574">
        <f t="shared" si="1"/>
        <v>100</v>
      </c>
      <c r="V12" s="1573" t="s">
        <v>8</v>
      </c>
      <c r="W12" s="1574">
        <f t="shared" si="2"/>
        <v>100</v>
      </c>
      <c r="X12" s="1575"/>
      <c r="Y12" s="3275"/>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29"/>
      <c r="Q13" s="1154">
        <f t="shared" si="6"/>
        <v>111</v>
      </c>
      <c r="R13" s="1573" t="s">
        <v>8</v>
      </c>
      <c r="S13" s="1574">
        <f t="shared" si="0"/>
        <v>100</v>
      </c>
      <c r="T13" s="1573" t="s">
        <v>8</v>
      </c>
      <c r="U13" s="1574">
        <f t="shared" si="1"/>
        <v>100</v>
      </c>
      <c r="V13" s="1573" t="s">
        <v>8</v>
      </c>
      <c r="W13" s="1574">
        <f t="shared" si="2"/>
        <v>100</v>
      </c>
      <c r="X13" s="1575"/>
      <c r="Y13" s="3275"/>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29"/>
      <c r="Q14" s="1154">
        <f t="shared" si="6"/>
        <v>111</v>
      </c>
      <c r="R14" s="1573" t="s">
        <v>8</v>
      </c>
      <c r="S14" s="1574">
        <f t="shared" si="0"/>
        <v>100</v>
      </c>
      <c r="T14" s="1573" t="s">
        <v>8</v>
      </c>
      <c r="U14" s="1574">
        <f t="shared" si="1"/>
        <v>100</v>
      </c>
      <c r="V14" s="1573" t="s">
        <v>8</v>
      </c>
      <c r="W14" s="1574">
        <f t="shared" si="2"/>
        <v>100</v>
      </c>
      <c r="X14" s="1575"/>
      <c r="Y14" s="3275"/>
      <c r="Z14" s="1153">
        <f t="shared" si="7"/>
        <v>111</v>
      </c>
      <c r="AA14" s="1576">
        <f t="shared" si="3"/>
        <v>1</v>
      </c>
      <c r="AB14" s="1576">
        <f t="shared" si="4"/>
        <v>1</v>
      </c>
      <c r="AC14" s="1576">
        <f t="shared" si="5"/>
        <v>1</v>
      </c>
    </row>
    <row r="15" spans="1:29" ht="71.25">
      <c r="A15" s="2949" t="s">
        <v>2771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4" t="s">
        <v>541</v>
      </c>
      <c r="Q15" s="1577" t="str">
        <f t="shared" si="6"/>
        <v>商业繁华度</v>
      </c>
      <c r="R15" s="1578" t="s">
        <v>8</v>
      </c>
      <c r="S15" s="1579">
        <f t="shared" si="0"/>
        <v>100</v>
      </c>
      <c r="T15" s="1578" t="s">
        <v>8</v>
      </c>
      <c r="U15" s="1579">
        <f t="shared" si="1"/>
        <v>100</v>
      </c>
      <c r="V15" s="1578" t="s">
        <v>8</v>
      </c>
      <c r="W15" s="1579">
        <f t="shared" si="2"/>
        <v>100</v>
      </c>
      <c r="X15" s="1572"/>
      <c r="Y15" s="3364"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5"/>
      <c r="Q16" s="1577"/>
      <c r="R16" s="1578"/>
      <c r="S16" s="1579"/>
      <c r="T16" s="1578"/>
      <c r="U16" s="1579"/>
      <c r="V16" s="1578"/>
      <c r="W16" s="1579"/>
      <c r="X16" s="1572"/>
      <c r="Y16" s="3365"/>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5"/>
      <c r="Q18" s="1577"/>
      <c r="R18" s="1578"/>
      <c r="S18" s="1579"/>
      <c r="T18" s="1578"/>
      <c r="U18" s="1579"/>
      <c r="V18" s="1578"/>
      <c r="W18" s="1579"/>
      <c r="X18" s="1572"/>
      <c r="Y18" s="3365"/>
      <c r="Z18" s="1580"/>
      <c r="AA18" s="1581">
        <v>1</v>
      </c>
      <c r="AB18" s="1581">
        <v>1</v>
      </c>
      <c r="AC18" s="1581">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5"/>
      <c r="Q20" s="1577"/>
      <c r="R20" s="1578"/>
      <c r="S20" s="1579"/>
      <c r="T20" s="1578"/>
      <c r="U20" s="1579"/>
      <c r="V20" s="1578"/>
      <c r="W20" s="1579"/>
      <c r="X20" s="1572"/>
      <c r="Y20" s="3365"/>
      <c r="Z20" s="1580"/>
      <c r="AA20" s="1581">
        <v>1</v>
      </c>
      <c r="AB20" s="1581">
        <v>1</v>
      </c>
      <c r="AC20" s="1581">
        <v>1</v>
      </c>
    </row>
    <row r="21" spans="1:29" ht="28.5">
      <c r="A21" s="535"/>
      <c r="B21" s="2628" t="s">
        <v>2572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5"/>
      <c r="Q22" s="2614"/>
      <c r="R22" s="1578"/>
      <c r="S22" s="1579"/>
      <c r="T22" s="1578"/>
      <c r="U22" s="1579"/>
      <c r="V22" s="1578"/>
      <c r="W22" s="1579"/>
      <c r="X22" s="2616"/>
      <c r="Y22" s="3365"/>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5"/>
      <c r="Q23" s="1577" t="str">
        <f>B23</f>
        <v>自然及人文环境</v>
      </c>
      <c r="R23" s="1578" t="s">
        <v>8</v>
      </c>
      <c r="S23" s="1579">
        <f>F23</f>
        <v>100</v>
      </c>
      <c r="T23" s="1578" t="s">
        <v>8</v>
      </c>
      <c r="U23" s="1579">
        <f>H23</f>
        <v>100</v>
      </c>
      <c r="V23" s="1578" t="s">
        <v>8</v>
      </c>
      <c r="W23" s="1579">
        <f>J23</f>
        <v>100</v>
      </c>
      <c r="X23" s="1572"/>
      <c r="Y23" s="336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5"/>
      <c r="Q25" s="1577" t="str">
        <f t="shared" ref="Q25:Q46" si="11">B25</f>
        <v>临街状况</v>
      </c>
      <c r="R25" s="1578" t="s">
        <v>8</v>
      </c>
      <c r="S25" s="1579">
        <f>F25</f>
        <v>100</v>
      </c>
      <c r="T25" s="1578" t="s">
        <v>8</v>
      </c>
      <c r="U25" s="1579">
        <f>H25</f>
        <v>100</v>
      </c>
      <c r="V25" s="1578" t="s">
        <v>8</v>
      </c>
      <c r="W25" s="1579">
        <f>J25</f>
        <v>100</v>
      </c>
      <c r="X25" s="1572"/>
      <c r="Y25" s="3365"/>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5"/>
      <c r="Q26" s="1577" t="str">
        <f t="shared" si="11"/>
        <v>平面位置/可视性</v>
      </c>
      <c r="R26" s="1578" t="s">
        <v>8</v>
      </c>
      <c r="S26" s="1579">
        <f>F26</f>
        <v>100</v>
      </c>
      <c r="T26" s="1578" t="s">
        <v>8</v>
      </c>
      <c r="U26" s="1579">
        <f>H26</f>
        <v>100</v>
      </c>
      <c r="V26" s="1578" t="s">
        <v>8</v>
      </c>
      <c r="W26" s="1579">
        <f>J26</f>
        <v>100</v>
      </c>
      <c r="X26" s="1572"/>
      <c r="Y26" s="3365"/>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5"/>
      <c r="Q27" s="1154" t="str">
        <f t="shared" si="11"/>
        <v>人流量</v>
      </c>
      <c r="R27" s="1573" t="s">
        <v>8</v>
      </c>
      <c r="S27" s="1574">
        <f>F27</f>
        <v>100</v>
      </c>
      <c r="T27" s="1573" t="s">
        <v>8</v>
      </c>
      <c r="U27" s="1574">
        <f>H27</f>
        <v>100</v>
      </c>
      <c r="V27" s="1573" t="s">
        <v>8</v>
      </c>
      <c r="W27" s="1574">
        <f>J27</f>
        <v>100</v>
      </c>
      <c r="X27" s="1575"/>
      <c r="Y27" s="3365"/>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5"/>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5"/>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5"/>
      <c r="Q29" s="1577">
        <f t="shared" si="11"/>
        <v>111</v>
      </c>
      <c r="R29" s="1578" t="s">
        <v>8</v>
      </c>
      <c r="S29" s="1579">
        <f t="shared" si="12"/>
        <v>100</v>
      </c>
      <c r="T29" s="1578" t="s">
        <v>8</v>
      </c>
      <c r="U29" s="1579">
        <f t="shared" si="13"/>
        <v>100</v>
      </c>
      <c r="V29" s="1578" t="s">
        <v>8</v>
      </c>
      <c r="W29" s="1579">
        <f t="shared" si="14"/>
        <v>100</v>
      </c>
      <c r="X29" s="1572"/>
      <c r="Y29" s="336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5"/>
      <c r="Q30" s="1577">
        <f t="shared" si="11"/>
        <v>111</v>
      </c>
      <c r="R30" s="1578" t="s">
        <v>8</v>
      </c>
      <c r="S30" s="1579">
        <f t="shared" si="12"/>
        <v>100</v>
      </c>
      <c r="T30" s="1578" t="s">
        <v>8</v>
      </c>
      <c r="U30" s="1579">
        <f t="shared" si="13"/>
        <v>100</v>
      </c>
      <c r="V30" s="1578" t="s">
        <v>8</v>
      </c>
      <c r="W30" s="1579">
        <f t="shared" si="14"/>
        <v>100</v>
      </c>
      <c r="X30" s="1572"/>
      <c r="Y30" s="3365"/>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5"/>
      <c r="Q31" s="1577">
        <f t="shared" si="11"/>
        <v>111</v>
      </c>
      <c r="R31" s="1578" t="s">
        <v>8</v>
      </c>
      <c r="S31" s="1579">
        <f t="shared" si="12"/>
        <v>100</v>
      </c>
      <c r="T31" s="1578" t="s">
        <v>8</v>
      </c>
      <c r="U31" s="1579">
        <f t="shared" si="13"/>
        <v>100</v>
      </c>
      <c r="V31" s="1578" t="s">
        <v>8</v>
      </c>
      <c r="W31" s="1579">
        <f t="shared" si="14"/>
        <v>100</v>
      </c>
      <c r="X31" s="1572"/>
      <c r="Y31" s="3365"/>
      <c r="Z31" s="1580">
        <f t="shared" si="15"/>
        <v>111</v>
      </c>
      <c r="AA31" s="1581">
        <f t="shared" si="3"/>
        <v>1</v>
      </c>
      <c r="AB31" s="1581">
        <f t="shared" si="4"/>
        <v>1</v>
      </c>
      <c r="AC31" s="1581">
        <f t="shared" si="5"/>
        <v>1</v>
      </c>
    </row>
    <row r="32" spans="1:29" ht="15">
      <c r="A32" s="2946" t="s">
        <v>2772</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6" t="s">
        <v>551</v>
      </c>
      <c r="Q32" s="1577" t="str">
        <f t="shared" si="11"/>
        <v>商业类型</v>
      </c>
      <c r="R32" s="1578" t="s">
        <v>8</v>
      </c>
      <c r="S32" s="1579">
        <f t="shared" si="12"/>
        <v>100</v>
      </c>
      <c r="T32" s="1578" t="s">
        <v>8</v>
      </c>
      <c r="U32" s="1579">
        <f t="shared" si="13"/>
        <v>100</v>
      </c>
      <c r="V32" s="1578" t="s">
        <v>8</v>
      </c>
      <c r="W32" s="1579">
        <f t="shared" si="14"/>
        <v>100</v>
      </c>
      <c r="X32" s="1572"/>
      <c r="Y32" s="3367"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7"/>
      <c r="Q33" s="1610" t="str">
        <f t="shared" si="11"/>
        <v>项目建筑规模</v>
      </c>
      <c r="R33" s="1582" t="s">
        <v>8</v>
      </c>
      <c r="S33" s="1583" t="e">
        <f t="shared" si="12"/>
        <v>#N/A</v>
      </c>
      <c r="T33" s="1582" t="s">
        <v>8</v>
      </c>
      <c r="U33" s="1583" t="e">
        <f t="shared" si="13"/>
        <v>#N/A</v>
      </c>
      <c r="V33" s="1582" t="s">
        <v>8</v>
      </c>
      <c r="W33" s="1583" t="e">
        <f t="shared" si="14"/>
        <v>#N/A</v>
      </c>
      <c r="X33" s="1584"/>
      <c r="Y33" s="3367"/>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7"/>
      <c r="Q34" s="1577" t="str">
        <f t="shared" si="11"/>
        <v>建筑结构</v>
      </c>
      <c r="R34" s="1578" t="s">
        <v>8</v>
      </c>
      <c r="S34" s="1579">
        <f t="shared" si="12"/>
        <v>100</v>
      </c>
      <c r="T34" s="1578" t="s">
        <v>8</v>
      </c>
      <c r="U34" s="1579">
        <f t="shared" si="13"/>
        <v>100</v>
      </c>
      <c r="V34" s="1578" t="s">
        <v>8</v>
      </c>
      <c r="W34" s="1579">
        <f t="shared" si="14"/>
        <v>100</v>
      </c>
      <c r="X34" s="1572"/>
      <c r="Y34" s="3367"/>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7"/>
      <c r="Q35" s="1577" t="str">
        <f t="shared" si="11"/>
        <v>公共部分装修</v>
      </c>
      <c r="R35" s="1578" t="s">
        <v>8</v>
      </c>
      <c r="S35" s="1579">
        <f t="shared" si="12"/>
        <v>100</v>
      </c>
      <c r="T35" s="1578" t="s">
        <v>8</v>
      </c>
      <c r="U35" s="1579">
        <f t="shared" si="13"/>
        <v>100</v>
      </c>
      <c r="V35" s="1578" t="s">
        <v>8</v>
      </c>
      <c r="W35" s="1579">
        <f t="shared" si="14"/>
        <v>100</v>
      </c>
      <c r="X35" s="1572"/>
      <c r="Y35" s="3367"/>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7"/>
      <c r="Q36" s="1577" t="str">
        <f t="shared" si="11"/>
        <v>成新度</v>
      </c>
      <c r="R36" s="1578" t="s">
        <v>8</v>
      </c>
      <c r="S36" s="1579" t="e">
        <f t="shared" si="12"/>
        <v>#N/A</v>
      </c>
      <c r="T36" s="1578" t="s">
        <v>8</v>
      </c>
      <c r="U36" s="1579" t="e">
        <f t="shared" si="13"/>
        <v>#N/A</v>
      </c>
      <c r="V36" s="1578" t="s">
        <v>8</v>
      </c>
      <c r="W36" s="1579" t="e">
        <f t="shared" si="14"/>
        <v>#N/A</v>
      </c>
      <c r="X36" s="1572"/>
      <c r="Y36" s="3367"/>
      <c r="Z36" s="1580" t="str">
        <f t="shared" si="15"/>
        <v>成新度</v>
      </c>
      <c r="AA36" s="1581" t="e">
        <f t="shared" si="3"/>
        <v>#N/A</v>
      </c>
      <c r="AB36" s="1581" t="e">
        <f t="shared" si="4"/>
        <v>#N/A</v>
      </c>
      <c r="AC36" s="1581" t="e">
        <f t="shared" si="5"/>
        <v>#N/A</v>
      </c>
    </row>
    <row r="37" spans="1:29" s="1223" customFormat="1" ht="15">
      <c r="A37" s="603"/>
      <c r="B37" s="1901" t="s">
        <v>2579</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7"/>
      <c r="Q37" s="1154" t="str">
        <f t="shared" si="11"/>
        <v>市政基础设施</v>
      </c>
      <c r="R37" s="1573" t="s">
        <v>8</v>
      </c>
      <c r="S37" s="1574">
        <f t="shared" si="12"/>
        <v>100</v>
      </c>
      <c r="T37" s="1573" t="s">
        <v>8</v>
      </c>
      <c r="U37" s="1574">
        <f t="shared" si="13"/>
        <v>100</v>
      </c>
      <c r="V37" s="1573" t="s">
        <v>8</v>
      </c>
      <c r="W37" s="1574">
        <f t="shared" si="14"/>
        <v>100</v>
      </c>
      <c r="X37" s="1575"/>
      <c r="Y37" s="3367"/>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7" t="s">
        <v>769</v>
      </c>
      <c r="Q38" s="1577" t="str">
        <f t="shared" si="11"/>
        <v>业态</v>
      </c>
      <c r="R38" s="1578" t="s">
        <v>8</v>
      </c>
      <c r="S38" s="1579">
        <f t="shared" si="12"/>
        <v>100</v>
      </c>
      <c r="T38" s="1578" t="s">
        <v>8</v>
      </c>
      <c r="U38" s="1579">
        <f t="shared" si="13"/>
        <v>100</v>
      </c>
      <c r="V38" s="1578" t="s">
        <v>8</v>
      </c>
      <c r="W38" s="1579">
        <f t="shared" si="14"/>
        <v>100</v>
      </c>
      <c r="X38" s="1572"/>
      <c r="Y38" s="3367"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7"/>
      <c r="Q39" s="1577" t="str">
        <f t="shared" si="11"/>
        <v>层高</v>
      </c>
      <c r="R39" s="1578" t="s">
        <v>8</v>
      </c>
      <c r="S39" s="1579">
        <f t="shared" si="12"/>
        <v>100</v>
      </c>
      <c r="T39" s="1578" t="s">
        <v>8</v>
      </c>
      <c r="U39" s="1579">
        <f t="shared" si="13"/>
        <v>100</v>
      </c>
      <c r="V39" s="1578" t="s">
        <v>8</v>
      </c>
      <c r="W39" s="1579">
        <f t="shared" si="14"/>
        <v>100</v>
      </c>
      <c r="X39" s="1572"/>
      <c r="Y39" s="3367"/>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7"/>
      <c r="Q40" s="1577" t="str">
        <f t="shared" si="11"/>
        <v>单套建筑面积</v>
      </c>
      <c r="R40" s="1578" t="s">
        <v>8</v>
      </c>
      <c r="S40" s="1579">
        <f t="shared" si="12"/>
        <v>100</v>
      </c>
      <c r="T40" s="1578" t="s">
        <v>8</v>
      </c>
      <c r="U40" s="1579">
        <f t="shared" si="13"/>
        <v>100</v>
      </c>
      <c r="V40" s="1578" t="s">
        <v>8</v>
      </c>
      <c r="W40" s="1579">
        <f t="shared" si="14"/>
        <v>100</v>
      </c>
      <c r="X40" s="1572"/>
      <c r="Y40" s="3367"/>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7"/>
      <c r="Q41" s="1610" t="str">
        <f t="shared" si="11"/>
        <v>进深比</v>
      </c>
      <c r="R41" s="1582" t="s">
        <v>8</v>
      </c>
      <c r="S41" s="1583">
        <f t="shared" si="12"/>
        <v>100</v>
      </c>
      <c r="T41" s="1582" t="s">
        <v>8</v>
      </c>
      <c r="U41" s="1583">
        <f t="shared" si="13"/>
        <v>100</v>
      </c>
      <c r="V41" s="1582" t="s">
        <v>8</v>
      </c>
      <c r="W41" s="1583">
        <f t="shared" si="14"/>
        <v>100</v>
      </c>
      <c r="X41" s="1584"/>
      <c r="Y41" s="3367"/>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7"/>
      <c r="Q42" s="1577" t="str">
        <f t="shared" si="11"/>
        <v>内部装修</v>
      </c>
      <c r="R42" s="1578" t="s">
        <v>8</v>
      </c>
      <c r="S42" s="1579">
        <f t="shared" si="12"/>
        <v>100</v>
      </c>
      <c r="T42" s="1578" t="s">
        <v>8</v>
      </c>
      <c r="U42" s="1579">
        <f t="shared" si="13"/>
        <v>100</v>
      </c>
      <c r="V42" s="1578" t="s">
        <v>8</v>
      </c>
      <c r="W42" s="1579">
        <f t="shared" si="14"/>
        <v>100</v>
      </c>
      <c r="X42" s="1572"/>
      <c r="Y42" s="3367"/>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7"/>
      <c r="Q43" s="1577" t="str">
        <f t="shared" si="11"/>
        <v>内部装修维护情况</v>
      </c>
      <c r="R43" s="1578" t="s">
        <v>8</v>
      </c>
      <c r="S43" s="1579">
        <f t="shared" si="12"/>
        <v>100</v>
      </c>
      <c r="T43" s="1578" t="s">
        <v>8</v>
      </c>
      <c r="U43" s="1579">
        <f t="shared" si="13"/>
        <v>100</v>
      </c>
      <c r="V43" s="1578" t="s">
        <v>8</v>
      </c>
      <c r="W43" s="1579">
        <f t="shared" si="14"/>
        <v>100</v>
      </c>
      <c r="X43" s="1572"/>
      <c r="Y43" s="336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7"/>
      <c r="Q44" s="1154">
        <f t="shared" si="11"/>
        <v>111</v>
      </c>
      <c r="R44" s="1573" t="s">
        <v>8</v>
      </c>
      <c r="S44" s="1574">
        <f t="shared" si="12"/>
        <v>100</v>
      </c>
      <c r="T44" s="1573" t="s">
        <v>8</v>
      </c>
      <c r="U44" s="1574">
        <f t="shared" si="13"/>
        <v>100</v>
      </c>
      <c r="V44" s="1573" t="s">
        <v>8</v>
      </c>
      <c r="W44" s="1574">
        <f t="shared" si="14"/>
        <v>100</v>
      </c>
      <c r="X44" s="1575"/>
      <c r="Y44" s="336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7"/>
      <c r="Q45" s="1577">
        <f t="shared" si="11"/>
        <v>111</v>
      </c>
      <c r="R45" s="1578" t="s">
        <v>8</v>
      </c>
      <c r="S45" s="1579">
        <f t="shared" si="12"/>
        <v>100</v>
      </c>
      <c r="T45" s="1578" t="s">
        <v>8</v>
      </c>
      <c r="U45" s="1579">
        <f t="shared" si="13"/>
        <v>100</v>
      </c>
      <c r="V45" s="1578" t="s">
        <v>8</v>
      </c>
      <c r="W45" s="1579">
        <f t="shared" si="14"/>
        <v>100</v>
      </c>
      <c r="X45" s="1572"/>
      <c r="Y45" s="3367"/>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37"/>
      <c r="Q46" s="1577">
        <f t="shared" si="11"/>
        <v>111</v>
      </c>
      <c r="R46" s="1578" t="s">
        <v>8</v>
      </c>
      <c r="S46" s="1579">
        <f t="shared" si="12"/>
        <v>100</v>
      </c>
      <c r="T46" s="1578" t="s">
        <v>8</v>
      </c>
      <c r="U46" s="1579">
        <f t="shared" si="13"/>
        <v>100</v>
      </c>
      <c r="V46" s="1578" t="s">
        <v>8</v>
      </c>
      <c r="W46" s="1579">
        <f t="shared" si="14"/>
        <v>100</v>
      </c>
      <c r="X46" s="1572"/>
      <c r="Y46" s="3437"/>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29" t="str">
        <f>A47</f>
        <v>成交单价（元/平方米）</v>
      </c>
      <c r="Q47" s="3329"/>
      <c r="R47" s="3436">
        <f>E47</f>
        <v>0</v>
      </c>
      <c r="S47" s="3436"/>
      <c r="T47" s="3436">
        <f>G47</f>
        <v>0</v>
      </c>
      <c r="U47" s="3436"/>
      <c r="V47" s="3436">
        <f>I47</f>
        <v>0</v>
      </c>
      <c r="W47" s="3436"/>
      <c r="X47" s="1564"/>
      <c r="Y47" s="1586"/>
      <c r="Z47" s="1564"/>
      <c r="AA47" s="1564"/>
      <c r="AB47" s="1564"/>
      <c r="AC47" s="1564"/>
    </row>
    <row r="48" spans="1:29" ht="15.75" thickBot="1">
      <c r="A48" s="618" t="s">
        <v>2777</v>
      </c>
      <c r="B48" s="891"/>
      <c r="C48" s="2668" t="e">
        <f>R49</f>
        <v>#DIV/0!</v>
      </c>
      <c r="D48" s="2669"/>
      <c r="E48" s="2670" t="e">
        <f>R48</f>
        <v>#DIV/0!</v>
      </c>
      <c r="F48" s="2670"/>
      <c r="G48" s="2668" t="e">
        <f>T48</f>
        <v>#DIV/0!</v>
      </c>
      <c r="H48" s="2669"/>
      <c r="I48" s="2670" t="e">
        <f>V48</f>
        <v>#DIV/0!</v>
      </c>
      <c r="J48" s="2669"/>
      <c r="K48" s="1617"/>
      <c r="L48" s="2154"/>
      <c r="M48" s="2155"/>
      <c r="N48" s="2144"/>
      <c r="O48" s="2155"/>
      <c r="P48" s="3329" t="str">
        <f>A48</f>
        <v>比较价格（元/平方米）</v>
      </c>
      <c r="Q48" s="3329"/>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564"/>
      <c r="Y48" s="1564"/>
      <c r="Z48" s="1564"/>
      <c r="AA48" s="1564"/>
      <c r="AB48" s="1564"/>
      <c r="AC48" s="1564"/>
    </row>
    <row r="49" spans="1:29" ht="15.75" thickBot="1">
      <c r="A49" s="624" t="s">
        <v>2950</v>
      </c>
      <c r="B49" s="625"/>
      <c r="C49" s="2671" t="e">
        <f>R49</f>
        <v>#DIV/0!</v>
      </c>
      <c r="D49" s="2671"/>
      <c r="E49" s="2671"/>
      <c r="F49" s="2671"/>
      <c r="G49" s="2671"/>
      <c r="H49" s="2671"/>
      <c r="I49" s="2671"/>
      <c r="J49" s="2671"/>
      <c r="K49" s="1618"/>
      <c r="L49" s="2154"/>
      <c r="M49" s="2155"/>
      <c r="N49" s="2144"/>
      <c r="O49" s="2155"/>
      <c r="P49" s="3326" t="str">
        <f>A49</f>
        <v>估价对象XX用房的比较价格（楼面单价，元/平方米）</v>
      </c>
      <c r="Q49" s="3327"/>
      <c r="R49" s="3435" t="e">
        <f>IF(F1="售价",ROUND(AVERAGE(R48:V48),0),ROUND(AVERAGE(R48:V48),1))</f>
        <v>#DIV/0!</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2570</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35" t="s">
        <v>523</v>
      </c>
      <c r="D4" s="3336"/>
      <c r="E4" s="3370" t="s">
        <v>524</v>
      </c>
      <c r="F4" s="3371"/>
      <c r="G4" s="3335" t="s">
        <v>525</v>
      </c>
      <c r="H4" s="3336"/>
      <c r="I4" s="3335" t="s">
        <v>526</v>
      </c>
      <c r="J4" s="3336"/>
      <c r="K4" s="517" t="s">
        <v>527</v>
      </c>
      <c r="L4" s="2143"/>
      <c r="M4" s="2144"/>
      <c r="N4" s="2144"/>
      <c r="O4" s="2144"/>
      <c r="P4" s="3442" t="s">
        <v>528</v>
      </c>
      <c r="Q4" s="3338"/>
      <c r="R4" s="3343" t="s">
        <v>524</v>
      </c>
      <c r="S4" s="3344"/>
      <c r="T4" s="3343" t="s">
        <v>525</v>
      </c>
      <c r="U4" s="3344"/>
      <c r="V4" s="3330" t="s">
        <v>526</v>
      </c>
      <c r="W4" s="3330"/>
      <c r="X4" s="1572"/>
      <c r="Y4" s="3343" t="s">
        <v>528</v>
      </c>
      <c r="Z4" s="3344"/>
      <c r="AA4" s="3332" t="s">
        <v>524</v>
      </c>
      <c r="AB4" s="3332" t="s">
        <v>525</v>
      </c>
      <c r="AC4" s="3332" t="s">
        <v>526</v>
      </c>
    </row>
    <row r="5" spans="1:29" ht="15">
      <c r="A5" s="518"/>
      <c r="B5" s="519"/>
      <c r="C5" s="3353" t="s">
        <v>2944</v>
      </c>
      <c r="D5" s="3352"/>
      <c r="E5" s="3372" t="s">
        <v>2945</v>
      </c>
      <c r="F5" s="3373"/>
      <c r="G5" s="3353" t="s">
        <v>2946</v>
      </c>
      <c r="H5" s="3352"/>
      <c r="I5" s="3353" t="s">
        <v>2947</v>
      </c>
      <c r="J5" s="3352"/>
      <c r="K5" s="517"/>
      <c r="L5" s="2143"/>
      <c r="M5" s="2144"/>
      <c r="N5" s="2144"/>
      <c r="O5" s="2144"/>
      <c r="P5" s="3443"/>
      <c r="Q5" s="3340"/>
      <c r="R5" s="3345"/>
      <c r="S5" s="3346"/>
      <c r="T5" s="3345"/>
      <c r="U5" s="3346"/>
      <c r="V5" s="3330"/>
      <c r="W5" s="3330"/>
      <c r="X5" s="1572"/>
      <c r="Y5" s="3345"/>
      <c r="Z5" s="3346"/>
      <c r="AA5" s="3333"/>
      <c r="AB5" s="3333"/>
      <c r="AC5" s="3333"/>
    </row>
    <row r="6" spans="1:29" ht="15.75" thickBot="1">
      <c r="A6" s="520"/>
      <c r="B6" s="521"/>
      <c r="C6" s="3349" t="s">
        <v>2948</v>
      </c>
      <c r="D6" s="3350"/>
      <c r="E6" s="3368" t="s">
        <v>2948</v>
      </c>
      <c r="F6" s="3369"/>
      <c r="G6" s="3349" t="s">
        <v>2948</v>
      </c>
      <c r="H6" s="3350"/>
      <c r="I6" s="3349" t="s">
        <v>2948</v>
      </c>
      <c r="J6" s="3350"/>
      <c r="K6" s="517" t="s">
        <v>529</v>
      </c>
      <c r="L6" s="2143"/>
      <c r="M6" s="2144"/>
      <c r="N6" s="2144"/>
      <c r="O6" s="2144"/>
      <c r="P6" s="3444"/>
      <c r="Q6" s="3342"/>
      <c r="R6" s="3345"/>
      <c r="S6" s="3346"/>
      <c r="T6" s="3347"/>
      <c r="U6" s="3348"/>
      <c r="V6" s="3330"/>
      <c r="W6" s="3330"/>
      <c r="X6" s="1572"/>
      <c r="Y6" s="3347"/>
      <c r="Z6" s="3348"/>
      <c r="AA6" s="3334"/>
      <c r="AB6" s="3334"/>
      <c r="AC6" s="3334"/>
    </row>
    <row r="7" spans="1:29" s="1223" customFormat="1" ht="15.75" thickBot="1">
      <c r="A7" s="2951"/>
      <c r="B7" s="2958" t="s">
        <v>530</v>
      </c>
      <c r="C7" s="522">
        <f>'数据-取费表'!B2</f>
        <v>42921</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3" t="s">
        <v>531</v>
      </c>
      <c r="Q7" s="3363"/>
      <c r="R7" s="1573" t="s">
        <v>8</v>
      </c>
      <c r="S7" s="1574">
        <f t="shared" ref="S7:S15" si="0">F7</f>
        <v>0</v>
      </c>
      <c r="T7" s="1573" t="s">
        <v>8</v>
      </c>
      <c r="U7" s="1574">
        <f t="shared" ref="U7:U15" si="1">H7</f>
        <v>0</v>
      </c>
      <c r="V7" s="1573" t="s">
        <v>8</v>
      </c>
      <c r="W7" s="1574">
        <f t="shared" ref="W7:W15" si="2">J7</f>
        <v>0</v>
      </c>
      <c r="X7" s="1575"/>
      <c r="Y7" s="3361" t="s">
        <v>531</v>
      </c>
      <c r="Z7" s="3362"/>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3" t="s">
        <v>534</v>
      </c>
      <c r="Q8" s="3362"/>
      <c r="R8" s="1573" t="s">
        <v>8</v>
      </c>
      <c r="S8" s="1574">
        <f t="shared" si="0"/>
        <v>0</v>
      </c>
      <c r="T8" s="1573" t="s">
        <v>8</v>
      </c>
      <c r="U8" s="1574">
        <f t="shared" si="1"/>
        <v>0</v>
      </c>
      <c r="V8" s="1573" t="s">
        <v>8</v>
      </c>
      <c r="W8" s="1574">
        <f t="shared" si="2"/>
        <v>0</v>
      </c>
      <c r="X8" s="1575"/>
      <c r="Y8" s="3361" t="s">
        <v>534</v>
      </c>
      <c r="Z8" s="3362"/>
      <c r="AA8" s="1576" t="e">
        <f t="shared" ref="AA8:AA47" si="3">D8/F8</f>
        <v>#DIV/0!</v>
      </c>
      <c r="AB8" s="1576" t="e">
        <f t="shared" ref="AB8:AB47" si="4">D8/H8</f>
        <v>#DIV/0!</v>
      </c>
      <c r="AC8" s="1576" t="e">
        <f t="shared" ref="AC8:AC47" si="5">D8/J8</f>
        <v>#DIV/0!</v>
      </c>
    </row>
    <row r="9" spans="1:29" s="1223" customFormat="1" ht="15">
      <c r="A9" s="2953"/>
      <c r="B9" s="2960" t="s">
        <v>2773</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29" t="s">
        <v>536</v>
      </c>
      <c r="Q9" s="1154" t="str">
        <f t="shared" ref="Q9:Q15" si="6">B9</f>
        <v>用途</v>
      </c>
      <c r="R9" s="1573" t="s">
        <v>8</v>
      </c>
      <c r="S9" s="1574">
        <f t="shared" si="0"/>
        <v>100</v>
      </c>
      <c r="T9" s="1573" t="s">
        <v>8</v>
      </c>
      <c r="U9" s="1574">
        <f t="shared" si="1"/>
        <v>100</v>
      </c>
      <c r="V9" s="1573" t="s">
        <v>8</v>
      </c>
      <c r="W9" s="1574">
        <f t="shared" si="2"/>
        <v>100</v>
      </c>
      <c r="X9" s="1575"/>
      <c r="Y9" s="3275"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29"/>
      <c r="Q11" s="1154" t="str">
        <f t="shared" si="6"/>
        <v>容积率</v>
      </c>
      <c r="R11" s="1573" t="s">
        <v>8</v>
      </c>
      <c r="S11" s="1574" t="e">
        <f t="shared" si="0"/>
        <v>#N/A</v>
      </c>
      <c r="T11" s="1573" t="s">
        <v>8</v>
      </c>
      <c r="U11" s="1574" t="e">
        <f t="shared" si="1"/>
        <v>#N/A</v>
      </c>
      <c r="V11" s="1573" t="s">
        <v>8</v>
      </c>
      <c r="W11" s="1574" t="e">
        <f t="shared" si="2"/>
        <v>#N/A</v>
      </c>
      <c r="X11" s="1575"/>
      <c r="Y11" s="327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29"/>
      <c r="Q12" s="1154">
        <f t="shared" si="6"/>
        <v>111</v>
      </c>
      <c r="R12" s="1573" t="s">
        <v>8</v>
      </c>
      <c r="S12" s="1574">
        <f t="shared" si="0"/>
        <v>100</v>
      </c>
      <c r="T12" s="1573" t="s">
        <v>8</v>
      </c>
      <c r="U12" s="1574">
        <f t="shared" si="1"/>
        <v>100</v>
      </c>
      <c r="V12" s="1573" t="s">
        <v>8</v>
      </c>
      <c r="W12" s="1574">
        <f t="shared" si="2"/>
        <v>100</v>
      </c>
      <c r="X12" s="1575"/>
      <c r="Y12" s="3275"/>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29"/>
      <c r="Q13" s="1154">
        <f t="shared" si="6"/>
        <v>111</v>
      </c>
      <c r="R13" s="1573" t="s">
        <v>8</v>
      </c>
      <c r="S13" s="1574">
        <f t="shared" si="0"/>
        <v>100</v>
      </c>
      <c r="T13" s="1573" t="s">
        <v>8</v>
      </c>
      <c r="U13" s="1574">
        <f t="shared" si="1"/>
        <v>100</v>
      </c>
      <c r="V13" s="1573" t="s">
        <v>8</v>
      </c>
      <c r="W13" s="1574">
        <f t="shared" si="2"/>
        <v>100</v>
      </c>
      <c r="X13" s="1575"/>
      <c r="Y13" s="3275"/>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29"/>
      <c r="Q14" s="1154">
        <f t="shared" si="6"/>
        <v>111</v>
      </c>
      <c r="R14" s="1573" t="s">
        <v>8</v>
      </c>
      <c r="S14" s="1574">
        <f t="shared" si="0"/>
        <v>100</v>
      </c>
      <c r="T14" s="1573" t="s">
        <v>8</v>
      </c>
      <c r="U14" s="1574">
        <f t="shared" si="1"/>
        <v>100</v>
      </c>
      <c r="V14" s="1573" t="s">
        <v>8</v>
      </c>
      <c r="W14" s="1574">
        <f t="shared" si="2"/>
        <v>100</v>
      </c>
      <c r="X14" s="1575"/>
      <c r="Y14" s="3275"/>
      <c r="Z14" s="1153">
        <f t="shared" si="7"/>
        <v>111</v>
      </c>
      <c r="AA14" s="1576">
        <f t="shared" si="3"/>
        <v>1</v>
      </c>
      <c r="AB14" s="1576">
        <f t="shared" si="4"/>
        <v>1</v>
      </c>
      <c r="AC14" s="1576">
        <f t="shared" si="5"/>
        <v>1</v>
      </c>
    </row>
    <row r="15" spans="1:29" ht="71.25">
      <c r="A15" s="2949" t="s">
        <v>2771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4" t="s">
        <v>541</v>
      </c>
      <c r="Q15" s="1577" t="str">
        <f t="shared" si="6"/>
        <v>办公集聚程度</v>
      </c>
      <c r="R15" s="1578" t="s">
        <v>8</v>
      </c>
      <c r="S15" s="1579">
        <f t="shared" si="0"/>
        <v>100</v>
      </c>
      <c r="T15" s="1578" t="s">
        <v>8</v>
      </c>
      <c r="U15" s="1579">
        <f t="shared" si="1"/>
        <v>100</v>
      </c>
      <c r="V15" s="1578" t="s">
        <v>8</v>
      </c>
      <c r="W15" s="1579">
        <f t="shared" si="2"/>
        <v>100</v>
      </c>
      <c r="X15" s="1572"/>
      <c r="Y15" s="3364"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5"/>
      <c r="Q16" s="1577"/>
      <c r="R16" s="1578"/>
      <c r="S16" s="1579"/>
      <c r="T16" s="1578"/>
      <c r="U16" s="1579"/>
      <c r="V16" s="1578"/>
      <c r="W16" s="1579"/>
      <c r="X16" s="1572"/>
      <c r="Y16" s="3365"/>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5"/>
      <c r="Q18" s="1577"/>
      <c r="R18" s="1578"/>
      <c r="S18" s="1579"/>
      <c r="T18" s="1578"/>
      <c r="U18" s="1579"/>
      <c r="V18" s="1578"/>
      <c r="W18" s="1579"/>
      <c r="X18" s="1572"/>
      <c r="Y18" s="3365"/>
      <c r="Z18" s="1580"/>
      <c r="AA18" s="1581">
        <v>1</v>
      </c>
      <c r="AB18" s="1581">
        <v>1</v>
      </c>
      <c r="AC18" s="1581">
        <v>1</v>
      </c>
    </row>
    <row r="19" spans="1:29" ht="42.75">
      <c r="A19" s="535"/>
      <c r="B19" s="2638" t="s">
        <v>2560</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5"/>
      <c r="Q20" s="1577"/>
      <c r="R20" s="1578"/>
      <c r="S20" s="1579"/>
      <c r="T20" s="1578"/>
      <c r="U20" s="1579"/>
      <c r="V20" s="1578"/>
      <c r="W20" s="1579"/>
      <c r="X20" s="1572"/>
      <c r="Y20" s="3365"/>
      <c r="Z20" s="1580"/>
      <c r="AA20" s="1581">
        <v>1</v>
      </c>
      <c r="AB20" s="1581">
        <v>1</v>
      </c>
      <c r="AC20" s="1581">
        <v>1</v>
      </c>
    </row>
    <row r="21" spans="1:29" ht="28.5">
      <c r="A21" s="535"/>
      <c r="B21" s="2626" t="s">
        <v>2572</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5"/>
      <c r="Q22" s="2614"/>
      <c r="R22" s="1578"/>
      <c r="S22" s="1579"/>
      <c r="T22" s="1578"/>
      <c r="U22" s="1579"/>
      <c r="V22" s="1578"/>
      <c r="W22" s="1579"/>
      <c r="X22" s="2616"/>
      <c r="Y22" s="3365"/>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5"/>
      <c r="Q23" s="1577" t="str">
        <f>B23</f>
        <v>环境质量</v>
      </c>
      <c r="R23" s="1578" t="s">
        <v>8</v>
      </c>
      <c r="S23" s="1579">
        <f>F23</f>
        <v>100</v>
      </c>
      <c r="T23" s="1578" t="s">
        <v>8</v>
      </c>
      <c r="U23" s="1579">
        <f>H23</f>
        <v>100</v>
      </c>
      <c r="V23" s="1578" t="s">
        <v>8</v>
      </c>
      <c r="W23" s="1579">
        <f>J23</f>
        <v>100</v>
      </c>
      <c r="X23" s="1572"/>
      <c r="Y23" s="3365"/>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5"/>
      <c r="Q24" s="1577"/>
      <c r="R24" s="1578"/>
      <c r="S24" s="1579"/>
      <c r="T24" s="1578"/>
      <c r="U24" s="1579"/>
      <c r="V24" s="1578"/>
      <c r="W24" s="1579"/>
      <c r="X24" s="1572"/>
      <c r="Y24" s="3365"/>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5"/>
      <c r="Q25" s="1577" t="str">
        <f>B25</f>
        <v>毗邻道路的类型与等级</v>
      </c>
      <c r="R25" s="1578" t="s">
        <v>8</v>
      </c>
      <c r="S25" s="1579">
        <f>F25</f>
        <v>100</v>
      </c>
      <c r="T25" s="1578" t="s">
        <v>8</v>
      </c>
      <c r="U25" s="1579">
        <f>H25</f>
        <v>100</v>
      </c>
      <c r="V25" s="1578" t="s">
        <v>8</v>
      </c>
      <c r="W25" s="1579">
        <f>J25</f>
        <v>100</v>
      </c>
      <c r="X25" s="1572"/>
      <c r="Y25" s="3365"/>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5"/>
      <c r="Q26" s="1577"/>
      <c r="R26" s="1578"/>
      <c r="S26" s="1579"/>
      <c r="T26" s="1578"/>
      <c r="U26" s="1579"/>
      <c r="V26" s="1578"/>
      <c r="W26" s="1579"/>
      <c r="X26" s="1572"/>
      <c r="Y26" s="3365"/>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5"/>
      <c r="Q27" s="1577" t="str">
        <f t="shared" ref="Q27:Q47" si="11">B27</f>
        <v>楼层</v>
      </c>
      <c r="R27" s="1578" t="s">
        <v>8</v>
      </c>
      <c r="S27" s="1579">
        <f>F27</f>
        <v>100</v>
      </c>
      <c r="T27" s="1578" t="s">
        <v>8</v>
      </c>
      <c r="U27" s="1579">
        <f>H27</f>
        <v>100</v>
      </c>
      <c r="V27" s="1578" t="s">
        <v>8</v>
      </c>
      <c r="W27" s="1579">
        <f>J27</f>
        <v>100</v>
      </c>
      <c r="X27" s="1572"/>
      <c r="Y27" s="3365"/>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5"/>
      <c r="Q28" s="1154" t="str">
        <f t="shared" si="11"/>
        <v>朝向</v>
      </c>
      <c r="R28" s="1573" t="s">
        <v>8</v>
      </c>
      <c r="S28" s="1574">
        <f>F28</f>
        <v>100</v>
      </c>
      <c r="T28" s="1573" t="s">
        <v>8</v>
      </c>
      <c r="U28" s="1574">
        <f>H28</f>
        <v>100</v>
      </c>
      <c r="V28" s="1573" t="s">
        <v>8</v>
      </c>
      <c r="W28" s="1574">
        <f>J28</f>
        <v>100</v>
      </c>
      <c r="X28" s="1575"/>
      <c r="Y28" s="3365"/>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5"/>
      <c r="Q29" s="1577">
        <f t="shared" si="11"/>
        <v>111</v>
      </c>
      <c r="R29" s="1578" t="s">
        <v>8</v>
      </c>
      <c r="S29" s="1579">
        <f t="shared" ref="S29:S47" si="12">F29</f>
        <v>100</v>
      </c>
      <c r="T29" s="1578" t="s">
        <v>8</v>
      </c>
      <c r="U29" s="1579">
        <f t="shared" ref="U29:U47" si="13">H29</f>
        <v>100</v>
      </c>
      <c r="V29" s="1578" t="s">
        <v>8</v>
      </c>
      <c r="W29" s="1579">
        <f t="shared" ref="W29:W47" si="14">J29</f>
        <v>100</v>
      </c>
      <c r="X29" s="1572"/>
      <c r="Y29" s="3365"/>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5"/>
      <c r="Q30" s="1577">
        <f t="shared" si="11"/>
        <v>111</v>
      </c>
      <c r="R30" s="1578" t="s">
        <v>8</v>
      </c>
      <c r="S30" s="1579">
        <f t="shared" si="12"/>
        <v>100</v>
      </c>
      <c r="T30" s="1578" t="s">
        <v>8</v>
      </c>
      <c r="U30" s="1579">
        <f t="shared" si="13"/>
        <v>100</v>
      </c>
      <c r="V30" s="1578" t="s">
        <v>8</v>
      </c>
      <c r="W30" s="1579">
        <f t="shared" si="14"/>
        <v>100</v>
      </c>
      <c r="X30" s="1572"/>
      <c r="Y30" s="3365"/>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5"/>
      <c r="Q31" s="1577">
        <f t="shared" si="11"/>
        <v>111</v>
      </c>
      <c r="R31" s="1578" t="s">
        <v>8</v>
      </c>
      <c r="S31" s="1579">
        <f t="shared" si="12"/>
        <v>100</v>
      </c>
      <c r="T31" s="1578" t="s">
        <v>8</v>
      </c>
      <c r="U31" s="1579">
        <f t="shared" si="13"/>
        <v>100</v>
      </c>
      <c r="V31" s="1578" t="s">
        <v>8</v>
      </c>
      <c r="W31" s="1579">
        <f t="shared" si="14"/>
        <v>100</v>
      </c>
      <c r="X31" s="1572"/>
      <c r="Y31" s="3365"/>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5"/>
      <c r="Q32" s="1577">
        <f t="shared" si="11"/>
        <v>111</v>
      </c>
      <c r="R32" s="1578" t="s">
        <v>8</v>
      </c>
      <c r="S32" s="1579">
        <f t="shared" si="12"/>
        <v>100</v>
      </c>
      <c r="T32" s="1578" t="s">
        <v>8</v>
      </c>
      <c r="U32" s="1579">
        <f t="shared" si="13"/>
        <v>100</v>
      </c>
      <c r="V32" s="1578" t="s">
        <v>8</v>
      </c>
      <c r="W32" s="1579">
        <f t="shared" si="14"/>
        <v>100</v>
      </c>
      <c r="X32" s="1572"/>
      <c r="Y32" s="3365"/>
      <c r="Z32" s="1580">
        <f t="shared" si="15"/>
        <v>111</v>
      </c>
      <c r="AA32" s="1581">
        <f t="shared" si="3"/>
        <v>1</v>
      </c>
      <c r="AB32" s="1581">
        <f t="shared" si="4"/>
        <v>1</v>
      </c>
      <c r="AC32" s="1581">
        <f t="shared" si="5"/>
        <v>1</v>
      </c>
    </row>
    <row r="33" spans="1:29" ht="15">
      <c r="A33" s="2946" t="s">
        <v>2772</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6" t="s">
        <v>551</v>
      </c>
      <c r="Q33" s="1577" t="str">
        <f t="shared" si="11"/>
        <v>建筑类型</v>
      </c>
      <c r="R33" s="1578" t="s">
        <v>8</v>
      </c>
      <c r="S33" s="1579">
        <f t="shared" si="12"/>
        <v>100</v>
      </c>
      <c r="T33" s="1578" t="s">
        <v>8</v>
      </c>
      <c r="U33" s="1579">
        <f t="shared" si="13"/>
        <v>100</v>
      </c>
      <c r="V33" s="1578" t="s">
        <v>8</v>
      </c>
      <c r="W33" s="1579">
        <f t="shared" si="14"/>
        <v>100</v>
      </c>
      <c r="X33" s="1572"/>
      <c r="Y33" s="3367"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7"/>
      <c r="Q34" s="1610" t="str">
        <f t="shared" si="11"/>
        <v>项目建筑规模</v>
      </c>
      <c r="R34" s="1582" t="s">
        <v>8</v>
      </c>
      <c r="S34" s="1583" t="e">
        <f t="shared" si="12"/>
        <v>#N/A</v>
      </c>
      <c r="T34" s="1582" t="s">
        <v>8</v>
      </c>
      <c r="U34" s="1583" t="e">
        <f t="shared" si="13"/>
        <v>#N/A</v>
      </c>
      <c r="V34" s="1582" t="s">
        <v>8</v>
      </c>
      <c r="W34" s="1583" t="e">
        <f t="shared" si="14"/>
        <v>#N/A</v>
      </c>
      <c r="X34" s="1584"/>
      <c r="Y34" s="3367"/>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7"/>
      <c r="Q35" s="1577" t="str">
        <f t="shared" si="11"/>
        <v>建筑结构</v>
      </c>
      <c r="R35" s="1578" t="s">
        <v>8</v>
      </c>
      <c r="S35" s="1579">
        <f t="shared" si="12"/>
        <v>100</v>
      </c>
      <c r="T35" s="1578" t="s">
        <v>8</v>
      </c>
      <c r="U35" s="1579">
        <f t="shared" si="13"/>
        <v>100</v>
      </c>
      <c r="V35" s="1578" t="s">
        <v>8</v>
      </c>
      <c r="W35" s="1579">
        <f t="shared" si="14"/>
        <v>100</v>
      </c>
      <c r="X35" s="1572"/>
      <c r="Y35" s="3367"/>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7"/>
      <c r="Q36" s="1577" t="str">
        <f t="shared" si="11"/>
        <v>公共部分装修</v>
      </c>
      <c r="R36" s="1578" t="s">
        <v>8</v>
      </c>
      <c r="S36" s="1579">
        <f t="shared" si="12"/>
        <v>100</v>
      </c>
      <c r="T36" s="1578" t="s">
        <v>8</v>
      </c>
      <c r="U36" s="1579">
        <f t="shared" si="13"/>
        <v>100</v>
      </c>
      <c r="V36" s="1578" t="s">
        <v>8</v>
      </c>
      <c r="W36" s="1579">
        <f t="shared" si="14"/>
        <v>100</v>
      </c>
      <c r="X36" s="1572"/>
      <c r="Y36" s="3367"/>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7"/>
      <c r="Q37" s="1577" t="str">
        <f t="shared" si="11"/>
        <v>成新度</v>
      </c>
      <c r="R37" s="1578" t="s">
        <v>8</v>
      </c>
      <c r="S37" s="1579" t="e">
        <f t="shared" si="12"/>
        <v>#N/A</v>
      </c>
      <c r="T37" s="1578" t="s">
        <v>8</v>
      </c>
      <c r="U37" s="1579" t="e">
        <f t="shared" si="13"/>
        <v>#N/A</v>
      </c>
      <c r="V37" s="1578" t="s">
        <v>8</v>
      </c>
      <c r="W37" s="1579" t="e">
        <f t="shared" si="14"/>
        <v>#N/A</v>
      </c>
      <c r="X37" s="1572"/>
      <c r="Y37" s="3367"/>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7"/>
      <c r="Q38" s="1154" t="str">
        <f t="shared" si="11"/>
        <v>写字楼等级</v>
      </c>
      <c r="R38" s="1573" t="s">
        <v>8</v>
      </c>
      <c r="S38" s="1574">
        <f t="shared" si="12"/>
        <v>100</v>
      </c>
      <c r="T38" s="1573" t="s">
        <v>8</v>
      </c>
      <c r="U38" s="1574">
        <f t="shared" si="13"/>
        <v>100</v>
      </c>
      <c r="V38" s="1573" t="s">
        <v>8</v>
      </c>
      <c r="W38" s="1574">
        <f t="shared" si="14"/>
        <v>100</v>
      </c>
      <c r="X38" s="1575"/>
      <c r="Y38" s="3367"/>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7" t="s">
        <v>551</v>
      </c>
      <c r="Q39" s="1577" t="str">
        <f t="shared" si="11"/>
        <v>物业管理</v>
      </c>
      <c r="R39" s="1578" t="s">
        <v>8</v>
      </c>
      <c r="S39" s="1579">
        <f t="shared" si="12"/>
        <v>100</v>
      </c>
      <c r="T39" s="1578" t="s">
        <v>8</v>
      </c>
      <c r="U39" s="1579">
        <f t="shared" si="13"/>
        <v>100</v>
      </c>
      <c r="V39" s="1578" t="s">
        <v>8</v>
      </c>
      <c r="W39" s="1579">
        <f t="shared" si="14"/>
        <v>100</v>
      </c>
      <c r="X39" s="1572"/>
      <c r="Y39" s="3367" t="s">
        <v>551</v>
      </c>
      <c r="Z39" s="1580" t="str">
        <f t="shared" si="15"/>
        <v>物业管理</v>
      </c>
      <c r="AA39" s="1581">
        <f t="shared" si="3"/>
        <v>1</v>
      </c>
      <c r="AB39" s="1581">
        <f t="shared" si="4"/>
        <v>1</v>
      </c>
      <c r="AC39" s="1581">
        <f t="shared" si="5"/>
        <v>1</v>
      </c>
    </row>
    <row r="40" spans="1:29" ht="15">
      <c r="A40" s="597"/>
      <c r="B40" s="1901" t="s">
        <v>2579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7"/>
      <c r="Q40" s="1577" t="str">
        <f t="shared" si="11"/>
        <v>市政基础设施</v>
      </c>
      <c r="R40" s="1578" t="s">
        <v>8</v>
      </c>
      <c r="S40" s="1579">
        <f t="shared" si="12"/>
        <v>100</v>
      </c>
      <c r="T40" s="1578" t="s">
        <v>8</v>
      </c>
      <c r="U40" s="1579">
        <f t="shared" si="13"/>
        <v>100</v>
      </c>
      <c r="V40" s="1578" t="s">
        <v>8</v>
      </c>
      <c r="W40" s="1579">
        <f t="shared" si="14"/>
        <v>100</v>
      </c>
      <c r="X40" s="1572"/>
      <c r="Y40" s="3367"/>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7"/>
      <c r="Q41" s="1577" t="str">
        <f t="shared" si="11"/>
        <v>层高</v>
      </c>
      <c r="R41" s="1578" t="s">
        <v>8</v>
      </c>
      <c r="S41" s="1579">
        <f t="shared" si="12"/>
        <v>100</v>
      </c>
      <c r="T41" s="1578" t="s">
        <v>8</v>
      </c>
      <c r="U41" s="1579">
        <f t="shared" si="13"/>
        <v>100</v>
      </c>
      <c r="V41" s="1578" t="s">
        <v>8</v>
      </c>
      <c r="W41" s="1579">
        <f t="shared" si="14"/>
        <v>100</v>
      </c>
      <c r="X41" s="1572"/>
      <c r="Y41" s="3367"/>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7"/>
      <c r="Q42" s="1610" t="str">
        <f t="shared" si="11"/>
        <v>单套建筑面积</v>
      </c>
      <c r="R42" s="1582" t="s">
        <v>8</v>
      </c>
      <c r="S42" s="1583">
        <f t="shared" si="12"/>
        <v>100</v>
      </c>
      <c r="T42" s="1582" t="s">
        <v>8</v>
      </c>
      <c r="U42" s="1583">
        <f t="shared" si="13"/>
        <v>100</v>
      </c>
      <c r="V42" s="1582" t="s">
        <v>8</v>
      </c>
      <c r="W42" s="1583">
        <f t="shared" si="14"/>
        <v>100</v>
      </c>
      <c r="X42" s="1584"/>
      <c r="Y42" s="3367"/>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7"/>
      <c r="Q43" s="1577" t="str">
        <f t="shared" si="11"/>
        <v>内部装修</v>
      </c>
      <c r="R43" s="1578" t="s">
        <v>8</v>
      </c>
      <c r="S43" s="1579">
        <f t="shared" si="12"/>
        <v>100</v>
      </c>
      <c r="T43" s="1578" t="s">
        <v>8</v>
      </c>
      <c r="U43" s="1579">
        <f t="shared" si="13"/>
        <v>100</v>
      </c>
      <c r="V43" s="1578" t="s">
        <v>8</v>
      </c>
      <c r="W43" s="1579">
        <f t="shared" si="14"/>
        <v>100</v>
      </c>
      <c r="X43" s="1572"/>
      <c r="Y43" s="3367"/>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7"/>
      <c r="Q44" s="1577" t="str">
        <f t="shared" si="11"/>
        <v>内部装修维护情况</v>
      </c>
      <c r="R44" s="1578" t="s">
        <v>8</v>
      </c>
      <c r="S44" s="1579">
        <f t="shared" si="12"/>
        <v>100</v>
      </c>
      <c r="T44" s="1578" t="s">
        <v>8</v>
      </c>
      <c r="U44" s="1579">
        <f t="shared" si="13"/>
        <v>100</v>
      </c>
      <c r="V44" s="1578" t="s">
        <v>8</v>
      </c>
      <c r="W44" s="1579">
        <f t="shared" si="14"/>
        <v>100</v>
      </c>
      <c r="X44" s="1572"/>
      <c r="Y44" s="3367"/>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7"/>
      <c r="Q45" s="1154">
        <f t="shared" si="11"/>
        <v>111</v>
      </c>
      <c r="R45" s="1573" t="s">
        <v>8</v>
      </c>
      <c r="S45" s="1574">
        <f t="shared" si="12"/>
        <v>100</v>
      </c>
      <c r="T45" s="1573" t="s">
        <v>8</v>
      </c>
      <c r="U45" s="1574">
        <f t="shared" si="13"/>
        <v>100</v>
      </c>
      <c r="V45" s="1573" t="s">
        <v>8</v>
      </c>
      <c r="W45" s="1574">
        <f t="shared" si="14"/>
        <v>100</v>
      </c>
      <c r="X45" s="1575"/>
      <c r="Y45" s="3367"/>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7"/>
      <c r="Q46" s="1577">
        <f t="shared" si="11"/>
        <v>111</v>
      </c>
      <c r="R46" s="1578" t="s">
        <v>8</v>
      </c>
      <c r="S46" s="1579">
        <f t="shared" si="12"/>
        <v>100</v>
      </c>
      <c r="T46" s="1578" t="s">
        <v>8</v>
      </c>
      <c r="U46" s="1579">
        <f t="shared" si="13"/>
        <v>100</v>
      </c>
      <c r="V46" s="1578" t="s">
        <v>8</v>
      </c>
      <c r="W46" s="1579">
        <f t="shared" si="14"/>
        <v>100</v>
      </c>
      <c r="X46" s="1572"/>
      <c r="Y46" s="3367"/>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37"/>
      <c r="Q47" s="1577">
        <f t="shared" si="11"/>
        <v>111</v>
      </c>
      <c r="R47" s="1578" t="s">
        <v>8</v>
      </c>
      <c r="S47" s="1579">
        <f t="shared" si="12"/>
        <v>100</v>
      </c>
      <c r="T47" s="1578" t="s">
        <v>8</v>
      </c>
      <c r="U47" s="1579">
        <f t="shared" si="13"/>
        <v>100</v>
      </c>
      <c r="V47" s="1578" t="s">
        <v>8</v>
      </c>
      <c r="W47" s="1579">
        <f t="shared" si="14"/>
        <v>100</v>
      </c>
      <c r="X47" s="1572"/>
      <c r="Y47" s="3437"/>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27" t="str">
        <f>A48</f>
        <v>成交单价（元/平方米）</v>
      </c>
      <c r="Q48" s="3329"/>
      <c r="R48" s="3436">
        <f>E48</f>
        <v>0</v>
      </c>
      <c r="S48" s="3436"/>
      <c r="T48" s="3436">
        <f>G48</f>
        <v>0</v>
      </c>
      <c r="U48" s="3436"/>
      <c r="V48" s="3436">
        <f>I48</f>
        <v>0</v>
      </c>
      <c r="W48" s="3436"/>
      <c r="X48" s="1564"/>
      <c r="Y48" s="1586"/>
      <c r="Z48" s="1564"/>
      <c r="AA48" s="1564"/>
      <c r="AB48" s="1564"/>
      <c r="AC48" s="1564"/>
    </row>
    <row r="49" spans="1:29" ht="15.75" thickBot="1">
      <c r="A49" s="618" t="s">
        <v>2777</v>
      </c>
      <c r="B49" s="891"/>
      <c r="C49" s="2668" t="e">
        <f>R50</f>
        <v>#DIV/0!</v>
      </c>
      <c r="D49" s="2669"/>
      <c r="E49" s="2670" t="e">
        <f>R49</f>
        <v>#DIV/0!</v>
      </c>
      <c r="F49" s="2670"/>
      <c r="G49" s="2668" t="e">
        <f>T49</f>
        <v>#DIV/0!</v>
      </c>
      <c r="H49" s="2669"/>
      <c r="I49" s="2670" t="e">
        <f>V49</f>
        <v>#DIV/0!</v>
      </c>
      <c r="J49" s="2669"/>
      <c r="K49" s="1617"/>
      <c r="L49" s="2154"/>
      <c r="M49" s="2144"/>
      <c r="N49" s="2144"/>
      <c r="O49" s="2144"/>
      <c r="P49" s="3327" t="str">
        <f>A49</f>
        <v>比较价格（元/平方米）</v>
      </c>
      <c r="Q49" s="3329"/>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64"/>
      <c r="Y49" s="1564"/>
      <c r="Z49" s="1564"/>
      <c r="AA49" s="1564"/>
      <c r="AB49" s="1564"/>
      <c r="AC49" s="1564"/>
    </row>
    <row r="50" spans="1:29" ht="15.75" thickBot="1">
      <c r="A50" s="624" t="s">
        <v>2950</v>
      </c>
      <c r="B50" s="625"/>
      <c r="C50" s="2671" t="e">
        <f>R50</f>
        <v>#DIV/0!</v>
      </c>
      <c r="D50" s="2671"/>
      <c r="E50" s="2671"/>
      <c r="F50" s="2671"/>
      <c r="G50" s="2671"/>
      <c r="H50" s="2671"/>
      <c r="I50" s="2671"/>
      <c r="J50" s="2671"/>
      <c r="K50" s="1618"/>
      <c r="L50" s="2154"/>
      <c r="M50" s="2144"/>
      <c r="N50" s="2144"/>
      <c r="O50" s="2144"/>
      <c r="P50" s="3441" t="str">
        <f>A50</f>
        <v>估价对象XX用房的比较价格（楼面单价，元/平方米）</v>
      </c>
      <c r="Q50" s="3327"/>
      <c r="R50" s="3435" t="e">
        <f>IF(F1="售价",ROUND(AVERAGE(R49:V49),0),ROUND(AVERAGE(R49:V49),1))</f>
        <v>#DIV/0!</v>
      </c>
      <c r="S50" s="3435"/>
      <c r="T50" s="3435"/>
      <c r="U50" s="3435"/>
      <c r="V50" s="3435"/>
      <c r="W50" s="3435"/>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2017-7</v>
      </c>
      <c r="D59" s="2843">
        <f>EDATE(C59,-1)</f>
        <v>42887</v>
      </c>
      <c r="E59" s="2843">
        <f t="shared" ref="E59:O59" si="16">EDATE(D59,-1)</f>
        <v>42856</v>
      </c>
      <c r="F59" s="2843">
        <f t="shared" si="16"/>
        <v>42826</v>
      </c>
      <c r="G59" s="2843">
        <f t="shared" si="16"/>
        <v>42795</v>
      </c>
      <c r="H59" s="2843">
        <f t="shared" si="16"/>
        <v>42767</v>
      </c>
      <c r="I59" s="2843">
        <f t="shared" si="16"/>
        <v>42736</v>
      </c>
      <c r="J59" s="2843">
        <f t="shared" si="16"/>
        <v>42705</v>
      </c>
      <c r="K59" s="2843">
        <f t="shared" si="16"/>
        <v>42675</v>
      </c>
      <c r="L59" s="2843">
        <f t="shared" si="16"/>
        <v>42644</v>
      </c>
      <c r="M59" s="2843">
        <f t="shared" si="16"/>
        <v>42614</v>
      </c>
      <c r="N59" s="2843">
        <f t="shared" si="16"/>
        <v>42583</v>
      </c>
      <c r="O59" s="2843">
        <f t="shared" si="16"/>
        <v>42552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2571</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2572</v>
      </c>
      <c r="C83" s="2633" t="s">
        <v>2573</v>
      </c>
      <c r="D83" s="2633" t="s">
        <v>2574</v>
      </c>
      <c r="E83" s="2633" t="s">
        <v>2575</v>
      </c>
      <c r="F83" s="2633" t="s">
        <v>2576</v>
      </c>
      <c r="G83" s="2633" t="s">
        <v>2577</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2570</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35" t="s">
        <v>523</v>
      </c>
      <c r="D4" s="3336"/>
      <c r="E4" s="3370" t="s">
        <v>524</v>
      </c>
      <c r="F4" s="3371"/>
      <c r="G4" s="3335" t="s">
        <v>525</v>
      </c>
      <c r="H4" s="3336"/>
      <c r="I4" s="3335" t="s">
        <v>526</v>
      </c>
      <c r="J4" s="3336"/>
      <c r="K4" s="517" t="s">
        <v>527</v>
      </c>
      <c r="L4" s="2143"/>
      <c r="M4" s="2144"/>
      <c r="N4" s="2144"/>
      <c r="O4" s="2144"/>
      <c r="P4" s="3337" t="s">
        <v>528</v>
      </c>
      <c r="Q4" s="3338"/>
      <c r="R4" s="3343" t="s">
        <v>524</v>
      </c>
      <c r="S4" s="3344"/>
      <c r="T4" s="3343" t="s">
        <v>525</v>
      </c>
      <c r="U4" s="3344"/>
      <c r="V4" s="3330" t="s">
        <v>526</v>
      </c>
      <c r="W4" s="3330"/>
      <c r="X4" s="1572"/>
      <c r="Y4" s="3343" t="s">
        <v>528</v>
      </c>
      <c r="Z4" s="3344"/>
      <c r="AA4" s="3332" t="s">
        <v>524</v>
      </c>
      <c r="AB4" s="3333" t="s">
        <v>525</v>
      </c>
      <c r="AC4" s="3332" t="s">
        <v>526</v>
      </c>
    </row>
    <row r="5" spans="1:29" ht="15">
      <c r="A5" s="518"/>
      <c r="B5" s="519"/>
      <c r="C5" s="3353" t="s">
        <v>2944</v>
      </c>
      <c r="D5" s="3352"/>
      <c r="E5" s="3372" t="s">
        <v>2945</v>
      </c>
      <c r="F5" s="3373"/>
      <c r="G5" s="3353" t="s">
        <v>2946</v>
      </c>
      <c r="H5" s="3352"/>
      <c r="I5" s="3353" t="s">
        <v>2947</v>
      </c>
      <c r="J5" s="3352"/>
      <c r="K5" s="517"/>
      <c r="L5" s="2143"/>
      <c r="M5" s="2144"/>
      <c r="N5" s="2144"/>
      <c r="O5" s="2144"/>
      <c r="P5" s="3339"/>
      <c r="Q5" s="3340"/>
      <c r="R5" s="3345"/>
      <c r="S5" s="3346"/>
      <c r="T5" s="3345"/>
      <c r="U5" s="3346"/>
      <c r="V5" s="3330"/>
      <c r="W5" s="3330"/>
      <c r="X5" s="1572"/>
      <c r="Y5" s="3345"/>
      <c r="Z5" s="3346"/>
      <c r="AA5" s="3333"/>
      <c r="AB5" s="3333"/>
      <c r="AC5" s="3333"/>
    </row>
    <row r="6" spans="1:29" ht="15.75" thickBot="1">
      <c r="A6" s="520"/>
      <c r="B6" s="521"/>
      <c r="C6" s="3349" t="s">
        <v>2948</v>
      </c>
      <c r="D6" s="3350"/>
      <c r="E6" s="3368" t="s">
        <v>2948</v>
      </c>
      <c r="F6" s="3369"/>
      <c r="G6" s="3349" t="s">
        <v>2948</v>
      </c>
      <c r="H6" s="3350"/>
      <c r="I6" s="3349" t="s">
        <v>2948</v>
      </c>
      <c r="J6" s="3350"/>
      <c r="K6" s="517" t="s">
        <v>529</v>
      </c>
      <c r="L6" s="2143"/>
      <c r="M6" s="2144"/>
      <c r="N6" s="2144"/>
      <c r="O6" s="2144"/>
      <c r="P6" s="3341"/>
      <c r="Q6" s="3342"/>
      <c r="R6" s="3345"/>
      <c r="S6" s="3346"/>
      <c r="T6" s="3347"/>
      <c r="U6" s="3348"/>
      <c r="V6" s="3330"/>
      <c r="W6" s="3330"/>
      <c r="X6" s="1572"/>
      <c r="Y6" s="3347"/>
      <c r="Z6" s="3348"/>
      <c r="AA6" s="3334"/>
      <c r="AB6" s="3334"/>
      <c r="AC6" s="3334"/>
    </row>
    <row r="7" spans="1:29" s="1223" customFormat="1" ht="15.75" thickBot="1">
      <c r="A7" s="2951"/>
      <c r="B7" s="2958" t="s">
        <v>530</v>
      </c>
      <c r="C7" s="522">
        <f>'数据-取费表'!B2</f>
        <v>42921</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61" t="s">
        <v>531</v>
      </c>
      <c r="Q7" s="3363"/>
      <c r="R7" s="1573" t="s">
        <v>8</v>
      </c>
      <c r="S7" s="1574">
        <f t="shared" ref="S7:S15" si="0">F7</f>
        <v>0</v>
      </c>
      <c r="T7" s="1573" t="s">
        <v>8</v>
      </c>
      <c r="U7" s="1574">
        <f t="shared" ref="U7:U15" si="1">H7</f>
        <v>0</v>
      </c>
      <c r="V7" s="1573" t="s">
        <v>8</v>
      </c>
      <c r="W7" s="1574">
        <f t="shared" ref="W7:W15" si="2">J7</f>
        <v>0</v>
      </c>
      <c r="X7" s="1575"/>
      <c r="Y7" s="3361" t="s">
        <v>531</v>
      </c>
      <c r="Z7" s="3362"/>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61" t="s">
        <v>534</v>
      </c>
      <c r="Q8" s="3362"/>
      <c r="R8" s="1573" t="s">
        <v>8</v>
      </c>
      <c r="S8" s="1574">
        <f t="shared" si="0"/>
        <v>0</v>
      </c>
      <c r="T8" s="1573" t="s">
        <v>8</v>
      </c>
      <c r="U8" s="1574">
        <f t="shared" si="1"/>
        <v>0</v>
      </c>
      <c r="V8" s="1573" t="s">
        <v>8</v>
      </c>
      <c r="W8" s="1574">
        <f t="shared" si="2"/>
        <v>0</v>
      </c>
      <c r="X8" s="1575"/>
      <c r="Y8" s="3361" t="s">
        <v>534</v>
      </c>
      <c r="Z8" s="3362"/>
      <c r="AA8" s="1576" t="e">
        <f t="shared" ref="AA8:AA40" si="3">D8/F8</f>
        <v>#DIV/0!</v>
      </c>
      <c r="AB8" s="1576" t="e">
        <f t="shared" ref="AB8:AB40" si="4">D8/H8</f>
        <v>#DIV/0!</v>
      </c>
      <c r="AC8" s="1576" t="e">
        <f t="shared" ref="AC8:AC40" si="5">D8/J8</f>
        <v>#DIV/0!</v>
      </c>
    </row>
    <row r="9" spans="1:29" s="1223" customFormat="1" ht="15">
      <c r="A9" s="2953"/>
      <c r="B9" s="2960" t="s">
        <v>2773</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29" t="s">
        <v>536</v>
      </c>
      <c r="Q9" s="1154" t="str">
        <f t="shared" ref="Q9:Q15" si="6">B9</f>
        <v>用途</v>
      </c>
      <c r="R9" s="1573" t="s">
        <v>8</v>
      </c>
      <c r="S9" s="1574">
        <f t="shared" si="0"/>
        <v>100</v>
      </c>
      <c r="T9" s="1573" t="s">
        <v>8</v>
      </c>
      <c r="U9" s="1574">
        <f t="shared" si="1"/>
        <v>100</v>
      </c>
      <c r="V9" s="1573" t="s">
        <v>8</v>
      </c>
      <c r="W9" s="1574">
        <f t="shared" si="2"/>
        <v>100</v>
      </c>
      <c r="X9" s="1575"/>
      <c r="Y9" s="3275"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29"/>
      <c r="Q11" s="1154" t="str">
        <f t="shared" si="6"/>
        <v>容积率</v>
      </c>
      <c r="R11" s="1573" t="s">
        <v>8</v>
      </c>
      <c r="S11" s="1574" t="e">
        <f t="shared" si="0"/>
        <v>#N/A</v>
      </c>
      <c r="T11" s="1573" t="s">
        <v>8</v>
      </c>
      <c r="U11" s="1574" t="e">
        <f t="shared" si="1"/>
        <v>#N/A</v>
      </c>
      <c r="V11" s="1573" t="s">
        <v>8</v>
      </c>
      <c r="W11" s="1574" t="e">
        <f t="shared" si="2"/>
        <v>#N/A</v>
      </c>
      <c r="X11" s="1575"/>
      <c r="Y11" s="327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29"/>
      <c r="Q12" s="1154">
        <f t="shared" si="6"/>
        <v>111</v>
      </c>
      <c r="R12" s="1573" t="s">
        <v>8</v>
      </c>
      <c r="S12" s="1574">
        <f t="shared" si="0"/>
        <v>100</v>
      </c>
      <c r="T12" s="1573" t="s">
        <v>8</v>
      </c>
      <c r="U12" s="1574">
        <f t="shared" si="1"/>
        <v>100</v>
      </c>
      <c r="V12" s="1573" t="s">
        <v>8</v>
      </c>
      <c r="W12" s="1574">
        <f t="shared" si="2"/>
        <v>100</v>
      </c>
      <c r="X12" s="1575"/>
      <c r="Y12" s="3275"/>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29"/>
      <c r="Q13" s="1154">
        <f t="shared" si="6"/>
        <v>111</v>
      </c>
      <c r="R13" s="1573" t="s">
        <v>8</v>
      </c>
      <c r="S13" s="1574">
        <f t="shared" si="0"/>
        <v>100</v>
      </c>
      <c r="T13" s="1573" t="s">
        <v>8</v>
      </c>
      <c r="U13" s="1574">
        <f t="shared" si="1"/>
        <v>100</v>
      </c>
      <c r="V13" s="1573" t="s">
        <v>8</v>
      </c>
      <c r="W13" s="1574">
        <f t="shared" si="2"/>
        <v>100</v>
      </c>
      <c r="X13" s="1575"/>
      <c r="Y13" s="3275"/>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29"/>
      <c r="Q14" s="1154">
        <f t="shared" si="6"/>
        <v>111</v>
      </c>
      <c r="R14" s="1573" t="s">
        <v>8</v>
      </c>
      <c r="S14" s="1574">
        <f t="shared" si="0"/>
        <v>100</v>
      </c>
      <c r="T14" s="1573" t="s">
        <v>8</v>
      </c>
      <c r="U14" s="1574">
        <f t="shared" si="1"/>
        <v>100</v>
      </c>
      <c r="V14" s="1573" t="s">
        <v>8</v>
      </c>
      <c r="W14" s="1574">
        <f t="shared" si="2"/>
        <v>100</v>
      </c>
      <c r="X14" s="1575"/>
      <c r="Y14" s="3275"/>
      <c r="Z14" s="1153">
        <f t="shared" si="7"/>
        <v>111</v>
      </c>
      <c r="AA14" s="1576">
        <f t="shared" si="3"/>
        <v>1</v>
      </c>
      <c r="AB14" s="1576">
        <f t="shared" si="4"/>
        <v>1</v>
      </c>
      <c r="AC14" s="1576">
        <f t="shared" si="5"/>
        <v>1</v>
      </c>
    </row>
    <row r="15" spans="1:29" ht="57">
      <c r="A15" s="2949" t="s">
        <v>2771</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4" t="s">
        <v>541</v>
      </c>
      <c r="Q15" s="1577" t="str">
        <f t="shared" si="6"/>
        <v>产业集聚程度</v>
      </c>
      <c r="R15" s="1578" t="s">
        <v>8</v>
      </c>
      <c r="S15" s="1579">
        <f t="shared" si="0"/>
        <v>100</v>
      </c>
      <c r="T15" s="1578" t="s">
        <v>8</v>
      </c>
      <c r="U15" s="1579">
        <f t="shared" si="1"/>
        <v>100</v>
      </c>
      <c r="V15" s="1578" t="s">
        <v>8</v>
      </c>
      <c r="W15" s="1579">
        <f t="shared" si="2"/>
        <v>100</v>
      </c>
      <c r="X15" s="1572"/>
      <c r="Y15" s="3364"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5"/>
      <c r="Q16" s="1577"/>
      <c r="R16" s="1578"/>
      <c r="S16" s="1579"/>
      <c r="T16" s="1578"/>
      <c r="U16" s="1579"/>
      <c r="V16" s="1578"/>
      <c r="W16" s="1579"/>
      <c r="X16" s="1572"/>
      <c r="Y16" s="3365"/>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5"/>
      <c r="Q18" s="1577"/>
      <c r="R18" s="1578"/>
      <c r="S18" s="1579"/>
      <c r="T18" s="1578"/>
      <c r="U18" s="1579"/>
      <c r="V18" s="1578"/>
      <c r="W18" s="1579"/>
      <c r="X18" s="1572"/>
      <c r="Y18" s="3365"/>
      <c r="Z18" s="1580"/>
      <c r="AA18" s="1581">
        <v>1</v>
      </c>
      <c r="AB18" s="1581">
        <v>1</v>
      </c>
      <c r="AC18" s="1581">
        <v>1</v>
      </c>
    </row>
    <row r="19" spans="1:29" ht="42.75">
      <c r="A19" s="535"/>
      <c r="B19" s="2638" t="s">
        <v>2560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5"/>
      <c r="Q20" s="1577"/>
      <c r="R20" s="1578"/>
      <c r="S20" s="1579"/>
      <c r="T20" s="1578"/>
      <c r="U20" s="1579"/>
      <c r="V20" s="1578"/>
      <c r="W20" s="1579"/>
      <c r="X20" s="1572"/>
      <c r="Y20" s="3365"/>
      <c r="Z20" s="1580"/>
      <c r="AA20" s="1581">
        <v>1</v>
      </c>
      <c r="AB20" s="1581">
        <v>1</v>
      </c>
      <c r="AC20" s="1581">
        <v>1</v>
      </c>
    </row>
    <row r="21" spans="1:29" ht="28.5">
      <c r="A21" s="535"/>
      <c r="B21" s="2626" t="s">
        <v>2572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5"/>
      <c r="Q22" s="2614"/>
      <c r="R22" s="1578"/>
      <c r="S22" s="1579"/>
      <c r="T22" s="1578"/>
      <c r="U22" s="1579"/>
      <c r="V22" s="1578"/>
      <c r="W22" s="1579"/>
      <c r="X22" s="2616"/>
      <c r="Y22" s="3365"/>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5"/>
      <c r="Q23" s="1577" t="str">
        <f>B23</f>
        <v>环境质量</v>
      </c>
      <c r="R23" s="1578" t="s">
        <v>8</v>
      </c>
      <c r="S23" s="1579">
        <f>F23</f>
        <v>100</v>
      </c>
      <c r="T23" s="1578" t="s">
        <v>8</v>
      </c>
      <c r="U23" s="1579">
        <f>H23</f>
        <v>100</v>
      </c>
      <c r="V23" s="1578" t="s">
        <v>8</v>
      </c>
      <c r="W23" s="1579">
        <f>J23</f>
        <v>100</v>
      </c>
      <c r="X23" s="1572"/>
      <c r="Y23" s="3365"/>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5"/>
      <c r="Q25" s="1577">
        <f>B25</f>
        <v>111</v>
      </c>
      <c r="R25" s="1578" t="s">
        <v>8</v>
      </c>
      <c r="S25" s="1579">
        <f>F25</f>
        <v>100</v>
      </c>
      <c r="T25" s="1578" t="s">
        <v>8</v>
      </c>
      <c r="U25" s="1579">
        <f>H25</f>
        <v>100</v>
      </c>
      <c r="V25" s="1578" t="s">
        <v>8</v>
      </c>
      <c r="W25" s="1579">
        <f>J25</f>
        <v>100</v>
      </c>
      <c r="X25" s="1572"/>
      <c r="Y25" s="3365"/>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5"/>
      <c r="Q26" s="1577">
        <f t="shared" ref="Q26:Q40" si="11">B26</f>
        <v>111</v>
      </c>
      <c r="R26" s="1578" t="s">
        <v>8</v>
      </c>
      <c r="S26" s="1579">
        <f>F26</f>
        <v>100</v>
      </c>
      <c r="T26" s="1578" t="s">
        <v>8</v>
      </c>
      <c r="U26" s="1579">
        <f>H26</f>
        <v>100</v>
      </c>
      <c r="V26" s="1578" t="s">
        <v>8</v>
      </c>
      <c r="W26" s="1579">
        <f>J26</f>
        <v>100</v>
      </c>
      <c r="X26" s="1572"/>
      <c r="Y26" s="3365"/>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5"/>
      <c r="Q27" s="1154">
        <f t="shared" si="11"/>
        <v>111</v>
      </c>
      <c r="R27" s="1573" t="s">
        <v>8</v>
      </c>
      <c r="S27" s="1574">
        <f>F27</f>
        <v>100</v>
      </c>
      <c r="T27" s="1573" t="s">
        <v>8</v>
      </c>
      <c r="U27" s="1574">
        <f>H27</f>
        <v>100</v>
      </c>
      <c r="V27" s="1573" t="s">
        <v>8</v>
      </c>
      <c r="W27" s="1574">
        <f>J27</f>
        <v>100</v>
      </c>
      <c r="X27" s="1575"/>
      <c r="Y27" s="3365"/>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5"/>
      <c r="Q28" s="1577">
        <f t="shared" si="11"/>
        <v>111</v>
      </c>
      <c r="R28" s="1578" t="s">
        <v>8</v>
      </c>
      <c r="S28" s="1579">
        <f t="shared" ref="S28:S40" si="12">F28</f>
        <v>100</v>
      </c>
      <c r="T28" s="1578" t="s">
        <v>8</v>
      </c>
      <c r="U28" s="1579">
        <f t="shared" ref="U28:U40" si="13">H28</f>
        <v>100</v>
      </c>
      <c r="V28" s="1578" t="s">
        <v>8</v>
      </c>
      <c r="W28" s="1579">
        <f t="shared" ref="W28:W40" si="14">J28</f>
        <v>100</v>
      </c>
      <c r="X28" s="1572"/>
      <c r="Y28" s="3365"/>
      <c r="Z28" s="1580">
        <f t="shared" ref="Z28:Z40" si="15">Q28</f>
        <v>111</v>
      </c>
      <c r="AA28" s="1581">
        <f t="shared" si="3"/>
        <v>1</v>
      </c>
      <c r="AB28" s="1581">
        <f t="shared" si="4"/>
        <v>1</v>
      </c>
      <c r="AC28" s="1581">
        <f t="shared" si="5"/>
        <v>1</v>
      </c>
    </row>
    <row r="29" spans="1:29" ht="15">
      <c r="A29" s="2946" t="s">
        <v>2772</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6" t="s">
        <v>551</v>
      </c>
      <c r="Q29" s="1577" t="str">
        <f t="shared" si="11"/>
        <v>建筑类型</v>
      </c>
      <c r="R29" s="1578" t="s">
        <v>8</v>
      </c>
      <c r="S29" s="1579">
        <f t="shared" si="12"/>
        <v>100</v>
      </c>
      <c r="T29" s="1578" t="s">
        <v>8</v>
      </c>
      <c r="U29" s="1579">
        <f t="shared" si="13"/>
        <v>100</v>
      </c>
      <c r="V29" s="1578" t="s">
        <v>8</v>
      </c>
      <c r="W29" s="1579">
        <f t="shared" si="14"/>
        <v>100</v>
      </c>
      <c r="X29" s="1572"/>
      <c r="Y29" s="3367"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7"/>
      <c r="Q30" s="1610" t="str">
        <f t="shared" si="11"/>
        <v>项目建筑规模</v>
      </c>
      <c r="R30" s="1582" t="s">
        <v>8</v>
      </c>
      <c r="S30" s="1583" t="e">
        <f t="shared" si="12"/>
        <v>#N/A</v>
      </c>
      <c r="T30" s="1582" t="s">
        <v>8</v>
      </c>
      <c r="U30" s="1583" t="e">
        <f t="shared" si="13"/>
        <v>#N/A</v>
      </c>
      <c r="V30" s="1582" t="s">
        <v>8</v>
      </c>
      <c r="W30" s="1583" t="e">
        <f t="shared" si="14"/>
        <v>#N/A</v>
      </c>
      <c r="X30" s="1584"/>
      <c r="Y30" s="3367"/>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7"/>
      <c r="Q31" s="1577" t="str">
        <f t="shared" si="11"/>
        <v>建筑结构</v>
      </c>
      <c r="R31" s="1578" t="s">
        <v>8</v>
      </c>
      <c r="S31" s="1579">
        <f t="shared" si="12"/>
        <v>100</v>
      </c>
      <c r="T31" s="1578" t="s">
        <v>8</v>
      </c>
      <c r="U31" s="1579">
        <f t="shared" si="13"/>
        <v>100</v>
      </c>
      <c r="V31" s="1578" t="s">
        <v>8</v>
      </c>
      <c r="W31" s="1579">
        <f t="shared" si="14"/>
        <v>100</v>
      </c>
      <c r="X31" s="1572"/>
      <c r="Y31" s="3367"/>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7"/>
      <c r="Q32" s="1577" t="str">
        <f t="shared" si="11"/>
        <v>公共部分装修</v>
      </c>
      <c r="R32" s="1578" t="s">
        <v>8</v>
      </c>
      <c r="S32" s="1579">
        <f t="shared" si="12"/>
        <v>100</v>
      </c>
      <c r="T32" s="1578" t="s">
        <v>8</v>
      </c>
      <c r="U32" s="1579">
        <f t="shared" si="13"/>
        <v>100</v>
      </c>
      <c r="V32" s="1578" t="s">
        <v>8</v>
      </c>
      <c r="W32" s="1579">
        <f t="shared" si="14"/>
        <v>100</v>
      </c>
      <c r="X32" s="1572"/>
      <c r="Y32" s="3367"/>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7"/>
      <c r="Q33" s="1577" t="str">
        <f t="shared" si="11"/>
        <v>成新度</v>
      </c>
      <c r="R33" s="1578" t="s">
        <v>8</v>
      </c>
      <c r="S33" s="1579" t="e">
        <f t="shared" si="12"/>
        <v>#N/A</v>
      </c>
      <c r="T33" s="1578" t="s">
        <v>8</v>
      </c>
      <c r="U33" s="1579" t="e">
        <f t="shared" si="13"/>
        <v>#N/A</v>
      </c>
      <c r="V33" s="1578" t="s">
        <v>8</v>
      </c>
      <c r="W33" s="1579" t="e">
        <f t="shared" si="14"/>
        <v>#N/A</v>
      </c>
      <c r="X33" s="1572"/>
      <c r="Y33" s="3367"/>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7"/>
      <c r="Q34" s="1154" t="str">
        <f t="shared" si="11"/>
        <v>物业管理</v>
      </c>
      <c r="R34" s="1573" t="s">
        <v>8</v>
      </c>
      <c r="S34" s="1574">
        <f t="shared" si="12"/>
        <v>100</v>
      </c>
      <c r="T34" s="1573" t="s">
        <v>8</v>
      </c>
      <c r="U34" s="1574">
        <f t="shared" si="13"/>
        <v>100</v>
      </c>
      <c r="V34" s="1573" t="s">
        <v>8</v>
      </c>
      <c r="W34" s="1574">
        <f t="shared" si="14"/>
        <v>100</v>
      </c>
      <c r="X34" s="1575"/>
      <c r="Y34" s="3367"/>
      <c r="Z34" s="1153" t="str">
        <f t="shared" si="15"/>
        <v>物业管理</v>
      </c>
      <c r="AA34" s="1576">
        <f t="shared" si="3"/>
        <v>1</v>
      </c>
      <c r="AB34" s="1576">
        <f t="shared" si="4"/>
        <v>1</v>
      </c>
      <c r="AC34" s="1576">
        <f t="shared" si="5"/>
        <v>1</v>
      </c>
    </row>
    <row r="35" spans="1:29" ht="15">
      <c r="A35" s="597"/>
      <c r="B35" s="1901" t="s">
        <v>2579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7" t="s">
        <v>551</v>
      </c>
      <c r="Q35" s="1577" t="str">
        <f t="shared" si="11"/>
        <v>市政基础设施</v>
      </c>
      <c r="R35" s="1578" t="s">
        <v>8</v>
      </c>
      <c r="S35" s="1579">
        <f t="shared" si="12"/>
        <v>100</v>
      </c>
      <c r="T35" s="1578" t="s">
        <v>8</v>
      </c>
      <c r="U35" s="1579">
        <f t="shared" si="13"/>
        <v>100</v>
      </c>
      <c r="V35" s="1578" t="s">
        <v>8</v>
      </c>
      <c r="W35" s="1579">
        <f t="shared" si="14"/>
        <v>100</v>
      </c>
      <c r="X35" s="1572"/>
      <c r="Y35" s="3367"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7"/>
      <c r="Q36" s="1577" t="str">
        <f t="shared" si="11"/>
        <v>内部装修</v>
      </c>
      <c r="R36" s="1578" t="s">
        <v>8</v>
      </c>
      <c r="S36" s="1579">
        <f t="shared" si="12"/>
        <v>100</v>
      </c>
      <c r="T36" s="1578" t="s">
        <v>8</v>
      </c>
      <c r="U36" s="1579">
        <f t="shared" si="13"/>
        <v>100</v>
      </c>
      <c r="V36" s="1578" t="s">
        <v>8</v>
      </c>
      <c r="W36" s="1579">
        <f t="shared" si="14"/>
        <v>100</v>
      </c>
      <c r="X36" s="1572"/>
      <c r="Y36" s="3367"/>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7"/>
      <c r="Q37" s="1577" t="str">
        <f t="shared" si="11"/>
        <v>内部装修状况</v>
      </c>
      <c r="R37" s="1578" t="s">
        <v>8</v>
      </c>
      <c r="S37" s="1579">
        <f t="shared" si="12"/>
        <v>100</v>
      </c>
      <c r="T37" s="1578" t="s">
        <v>8</v>
      </c>
      <c r="U37" s="1579">
        <f t="shared" si="13"/>
        <v>100</v>
      </c>
      <c r="V37" s="1578" t="s">
        <v>8</v>
      </c>
      <c r="W37" s="1579">
        <f t="shared" si="14"/>
        <v>100</v>
      </c>
      <c r="X37" s="1572"/>
      <c r="Y37" s="3367"/>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7"/>
      <c r="Q38" s="1610">
        <f t="shared" si="11"/>
        <v>111</v>
      </c>
      <c r="R38" s="1582" t="s">
        <v>8</v>
      </c>
      <c r="S38" s="1583">
        <f t="shared" si="12"/>
        <v>100</v>
      </c>
      <c r="T38" s="1582" t="s">
        <v>8</v>
      </c>
      <c r="U38" s="1583">
        <f t="shared" si="13"/>
        <v>100</v>
      </c>
      <c r="V38" s="1582" t="s">
        <v>8</v>
      </c>
      <c r="W38" s="1583">
        <f t="shared" si="14"/>
        <v>100</v>
      </c>
      <c r="X38" s="1584"/>
      <c r="Y38" s="3367"/>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7"/>
      <c r="Q39" s="1577">
        <f t="shared" si="11"/>
        <v>111</v>
      </c>
      <c r="R39" s="1578" t="s">
        <v>8</v>
      </c>
      <c r="S39" s="1579">
        <f t="shared" si="12"/>
        <v>100</v>
      </c>
      <c r="T39" s="1578" t="s">
        <v>8</v>
      </c>
      <c r="U39" s="1579">
        <f t="shared" si="13"/>
        <v>100</v>
      </c>
      <c r="V39" s="1578" t="s">
        <v>8</v>
      </c>
      <c r="W39" s="1579">
        <f t="shared" si="14"/>
        <v>100</v>
      </c>
      <c r="X39" s="1572"/>
      <c r="Y39" s="3367"/>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37"/>
      <c r="Q40" s="1577">
        <f t="shared" si="11"/>
        <v>111</v>
      </c>
      <c r="R40" s="1578" t="s">
        <v>8</v>
      </c>
      <c r="S40" s="1579">
        <f t="shared" si="12"/>
        <v>100</v>
      </c>
      <c r="T40" s="1578" t="s">
        <v>8</v>
      </c>
      <c r="U40" s="1579">
        <f t="shared" si="13"/>
        <v>100</v>
      </c>
      <c r="V40" s="1578" t="s">
        <v>8</v>
      </c>
      <c r="W40" s="1579">
        <f t="shared" si="14"/>
        <v>100</v>
      </c>
      <c r="X40" s="1572"/>
      <c r="Y40" s="3437"/>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29" t="str">
        <f>A41</f>
        <v>成交单价（元/平方米）</v>
      </c>
      <c r="Q41" s="3329"/>
      <c r="R41" s="3436">
        <f>E41</f>
        <v>0</v>
      </c>
      <c r="S41" s="3436"/>
      <c r="T41" s="3436">
        <f>G41</f>
        <v>0</v>
      </c>
      <c r="U41" s="3436"/>
      <c r="V41" s="3436">
        <f>I41</f>
        <v>0</v>
      </c>
      <c r="W41" s="3436"/>
      <c r="X41" s="1564"/>
      <c r="Y41" s="1586"/>
      <c r="Z41" s="1564"/>
      <c r="AA41" s="1564"/>
      <c r="AB41" s="1564"/>
      <c r="AC41" s="1564"/>
    </row>
    <row r="42" spans="1:29" ht="15.75" thickBot="1">
      <c r="A42" s="618" t="s">
        <v>2777</v>
      </c>
      <c r="B42" s="891"/>
      <c r="C42" s="2668" t="e">
        <f>R43</f>
        <v>#DIV/0!</v>
      </c>
      <c r="D42" s="2669"/>
      <c r="E42" s="2670" t="e">
        <f>R42</f>
        <v>#DIV/0!</v>
      </c>
      <c r="F42" s="2670"/>
      <c r="G42" s="2668" t="e">
        <f>T42</f>
        <v>#DIV/0!</v>
      </c>
      <c r="H42" s="2669"/>
      <c r="I42" s="2670" t="e">
        <f>V42</f>
        <v>#DIV/0!</v>
      </c>
      <c r="J42" s="2669"/>
      <c r="K42" s="1617"/>
      <c r="L42" s="2154"/>
      <c r="M42" s="2155"/>
      <c r="N42" s="2144"/>
      <c r="O42" s="2155"/>
      <c r="P42" s="3329" t="str">
        <f>A42</f>
        <v>比较价格（元/平方米）</v>
      </c>
      <c r="Q42" s="3329"/>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564"/>
      <c r="Y42" s="1564"/>
      <c r="Z42" s="1564"/>
      <c r="AA42" s="1564"/>
      <c r="AB42" s="1564"/>
      <c r="AC42" s="1564"/>
    </row>
    <row r="43" spans="1:29" ht="15.75" thickBot="1">
      <c r="A43" s="624" t="s">
        <v>2950</v>
      </c>
      <c r="B43" s="625"/>
      <c r="C43" s="2671" t="e">
        <f>R43</f>
        <v>#DIV/0!</v>
      </c>
      <c r="D43" s="2671"/>
      <c r="E43" s="2671"/>
      <c r="F43" s="2671"/>
      <c r="G43" s="2671"/>
      <c r="H43" s="2671"/>
      <c r="I43" s="2671"/>
      <c r="J43" s="2671"/>
      <c r="K43" s="1618"/>
      <c r="L43" s="2154"/>
      <c r="M43" s="2155"/>
      <c r="N43" s="2155"/>
      <c r="O43" s="2155"/>
      <c r="P43" s="3326" t="str">
        <f>A43</f>
        <v>估价对象XX用房的比较价格（楼面单价，元/平方米）</v>
      </c>
      <c r="Q43" s="3327"/>
      <c r="R43" s="3435" t="e">
        <f>IF(F1="售价",ROUND(AVERAGE(R42:V42),0),ROUND(AVERAGE(R42:V42),1))</f>
        <v>#DIV/0!</v>
      </c>
      <c r="S43" s="3435"/>
      <c r="T43" s="3435"/>
      <c r="U43" s="3435"/>
      <c r="V43" s="3435"/>
      <c r="W43" s="3435"/>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2017-7</v>
      </c>
      <c r="D52" s="2843">
        <f>EDATE(C52,-1)</f>
        <v>42887</v>
      </c>
      <c r="E52" s="2843">
        <f t="shared" ref="E52:O52" si="16">EDATE(D52,-1)</f>
        <v>42856</v>
      </c>
      <c r="F52" s="2843">
        <f t="shared" si="16"/>
        <v>42826</v>
      </c>
      <c r="G52" s="2843">
        <f t="shared" si="16"/>
        <v>42795</v>
      </c>
      <c r="H52" s="2843">
        <f t="shared" si="16"/>
        <v>42767</v>
      </c>
      <c r="I52" s="2843">
        <f t="shared" si="16"/>
        <v>42736</v>
      </c>
      <c r="J52" s="2843">
        <f t="shared" si="16"/>
        <v>42705</v>
      </c>
      <c r="K52" s="2843">
        <f t="shared" si="16"/>
        <v>42675</v>
      </c>
      <c r="L52" s="2843">
        <f t="shared" si="16"/>
        <v>42644</v>
      </c>
      <c r="M52" s="2843">
        <f t="shared" si="16"/>
        <v>42614</v>
      </c>
      <c r="N52" s="2843">
        <f t="shared" si="16"/>
        <v>42583</v>
      </c>
      <c r="O52" s="2843">
        <f t="shared" si="16"/>
        <v>42552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2571</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2572</v>
      </c>
      <c r="C76" s="2633" t="s">
        <v>2573</v>
      </c>
      <c r="D76" s="2633" t="s">
        <v>2574</v>
      </c>
      <c r="E76" s="2633" t="s">
        <v>2575</v>
      </c>
      <c r="F76" s="2633" t="s">
        <v>2576</v>
      </c>
      <c r="G76" s="2633" t="s">
        <v>2577</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2570</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5" t="s">
        <v>801</v>
      </c>
      <c r="D4" s="3336"/>
      <c r="E4" s="3335" t="s">
        <v>802</v>
      </c>
      <c r="F4" s="3336"/>
      <c r="G4" s="3335" t="s">
        <v>803</v>
      </c>
      <c r="H4" s="3336"/>
      <c r="I4" s="3335" t="s">
        <v>804</v>
      </c>
      <c r="J4" s="3336"/>
      <c r="K4" s="517" t="s">
        <v>805</v>
      </c>
      <c r="L4" s="2143"/>
      <c r="M4" s="2144"/>
      <c r="N4" s="2144"/>
      <c r="O4" s="2144"/>
      <c r="P4" s="3337" t="s">
        <v>806</v>
      </c>
      <c r="Q4" s="3338"/>
      <c r="R4" s="3343" t="s">
        <v>802</v>
      </c>
      <c r="S4" s="3344"/>
      <c r="T4" s="3343" t="s">
        <v>803</v>
      </c>
      <c r="U4" s="3344"/>
      <c r="V4" s="3330" t="s">
        <v>804</v>
      </c>
      <c r="W4" s="3330"/>
      <c r="X4" s="1572"/>
      <c r="Y4" s="3343" t="s">
        <v>806</v>
      </c>
      <c r="Z4" s="3344"/>
      <c r="AA4" s="3332" t="s">
        <v>802</v>
      </c>
      <c r="AB4" s="3333" t="s">
        <v>803</v>
      </c>
      <c r="AC4" s="3332" t="s">
        <v>804</v>
      </c>
    </row>
    <row r="5" spans="1:29" ht="15">
      <c r="A5" s="518"/>
      <c r="B5" s="519"/>
      <c r="C5" s="3353" t="s">
        <v>2944</v>
      </c>
      <c r="D5" s="3352"/>
      <c r="E5" s="3353" t="s">
        <v>2945</v>
      </c>
      <c r="F5" s="3352"/>
      <c r="G5" s="3353" t="s">
        <v>2946</v>
      </c>
      <c r="H5" s="3352"/>
      <c r="I5" s="3353" t="s">
        <v>2947</v>
      </c>
      <c r="J5" s="3352"/>
      <c r="K5" s="517"/>
      <c r="L5" s="2143"/>
      <c r="M5" s="2144"/>
      <c r="N5" s="2144"/>
      <c r="O5" s="2144"/>
      <c r="P5" s="3339"/>
      <c r="Q5" s="3340"/>
      <c r="R5" s="3345"/>
      <c r="S5" s="3346"/>
      <c r="T5" s="3345"/>
      <c r="U5" s="3346"/>
      <c r="V5" s="3330"/>
      <c r="W5" s="3330"/>
      <c r="X5" s="1572"/>
      <c r="Y5" s="3345"/>
      <c r="Z5" s="3346"/>
      <c r="AA5" s="3333"/>
      <c r="AB5" s="3333"/>
      <c r="AC5" s="3333"/>
    </row>
    <row r="6" spans="1:29" ht="15.75" thickBot="1">
      <c r="A6" s="520"/>
      <c r="B6" s="521"/>
      <c r="C6" s="3349" t="s">
        <v>2948</v>
      </c>
      <c r="D6" s="3350"/>
      <c r="E6" s="3354" t="s">
        <v>2948</v>
      </c>
      <c r="F6" s="3355"/>
      <c r="G6" s="3349" t="s">
        <v>2948</v>
      </c>
      <c r="H6" s="3350"/>
      <c r="I6" s="3349" t="s">
        <v>2948</v>
      </c>
      <c r="J6" s="3350"/>
      <c r="K6" s="517" t="s">
        <v>529</v>
      </c>
      <c r="L6" s="2143"/>
      <c r="M6" s="2144"/>
      <c r="N6" s="2144"/>
      <c r="O6" s="2144"/>
      <c r="P6" s="3341"/>
      <c r="Q6" s="3342"/>
      <c r="R6" s="3345"/>
      <c r="S6" s="3346"/>
      <c r="T6" s="3347"/>
      <c r="U6" s="3348"/>
      <c r="V6" s="3330"/>
      <c r="W6" s="3330"/>
      <c r="X6" s="1572"/>
      <c r="Y6" s="3347"/>
      <c r="Z6" s="3348"/>
      <c r="AA6" s="3334"/>
      <c r="AB6" s="3334"/>
      <c r="AC6" s="3334"/>
    </row>
    <row r="7" spans="1:29" s="1223" customFormat="1" ht="15.75" thickBot="1">
      <c r="A7" s="2951"/>
      <c r="B7" s="2958" t="s">
        <v>530</v>
      </c>
      <c r="C7" s="522">
        <f>'数据-取费表'!B2</f>
        <v>42921</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61" t="s">
        <v>531</v>
      </c>
      <c r="Q7" s="3363"/>
      <c r="R7" s="1573" t="s">
        <v>8</v>
      </c>
      <c r="S7" s="1574">
        <f t="shared" ref="S7:S14" si="0">F7</f>
        <v>0</v>
      </c>
      <c r="T7" s="1573" t="s">
        <v>8</v>
      </c>
      <c r="U7" s="1574">
        <f t="shared" ref="U7:U14" si="1">H7</f>
        <v>0</v>
      </c>
      <c r="V7" s="1573" t="s">
        <v>8</v>
      </c>
      <c r="W7" s="1574">
        <f t="shared" ref="W7:W14" si="2">J7</f>
        <v>0</v>
      </c>
      <c r="X7" s="1575"/>
      <c r="Y7" s="3361" t="s">
        <v>531</v>
      </c>
      <c r="Z7" s="3362"/>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61" t="s">
        <v>534</v>
      </c>
      <c r="Q8" s="3362"/>
      <c r="R8" s="1573" t="s">
        <v>8</v>
      </c>
      <c r="S8" s="1574">
        <f t="shared" si="0"/>
        <v>0</v>
      </c>
      <c r="T8" s="1573" t="s">
        <v>8</v>
      </c>
      <c r="U8" s="1574">
        <f t="shared" si="1"/>
        <v>0</v>
      </c>
      <c r="V8" s="1573" t="s">
        <v>8</v>
      </c>
      <c r="W8" s="1574">
        <f t="shared" si="2"/>
        <v>0</v>
      </c>
      <c r="X8" s="1575"/>
      <c r="Y8" s="3361" t="s">
        <v>534</v>
      </c>
      <c r="Z8" s="3362"/>
      <c r="AA8" s="1576" t="e">
        <f t="shared" ref="AA8:AA36" si="3">D8/F8</f>
        <v>#DIV/0!</v>
      </c>
      <c r="AB8" s="1576" t="e">
        <f t="shared" ref="AB8:AB36" si="4">D8/H8</f>
        <v>#DIV/0!</v>
      </c>
      <c r="AC8" s="1576" t="e">
        <f t="shared" ref="AC8:AC36" si="5">D8/J8</f>
        <v>#DIV/0!</v>
      </c>
    </row>
    <row r="9" spans="1:29" s="1223" customFormat="1" ht="15">
      <c r="A9" s="2953"/>
      <c r="B9" s="2960" t="s">
        <v>2773</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29" t="s">
        <v>536</v>
      </c>
      <c r="Q9" s="1154" t="str">
        <f t="shared" ref="Q9:Q14" si="6">B9</f>
        <v>用途</v>
      </c>
      <c r="R9" s="1573" t="s">
        <v>8</v>
      </c>
      <c r="S9" s="1574">
        <f t="shared" si="0"/>
        <v>100</v>
      </c>
      <c r="T9" s="1573" t="s">
        <v>8</v>
      </c>
      <c r="U9" s="1574">
        <f t="shared" si="1"/>
        <v>100</v>
      </c>
      <c r="V9" s="1573" t="s">
        <v>8</v>
      </c>
      <c r="W9" s="1574">
        <f t="shared" si="2"/>
        <v>100</v>
      </c>
      <c r="X9" s="1575"/>
      <c r="Y9" s="3275" t="s">
        <v>537</v>
      </c>
      <c r="Z9" s="1153" t="str">
        <f t="shared" ref="Z9:Z14" si="7">Q9</f>
        <v>用途</v>
      </c>
      <c r="AA9" s="1576">
        <f t="shared" si="3"/>
        <v>1</v>
      </c>
      <c r="AB9" s="1576">
        <f t="shared" si="4"/>
        <v>1</v>
      </c>
      <c r="AC9" s="1576">
        <f t="shared" si="5"/>
        <v>1</v>
      </c>
    </row>
    <row r="10" spans="1:29" s="1341" customFormat="1" ht="27">
      <c r="A10" s="2954"/>
      <c r="B10" s="2959" t="s">
        <v>2774</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29"/>
      <c r="Q11" s="1154">
        <f t="shared" si="6"/>
        <v>111</v>
      </c>
      <c r="R11" s="1573" t="s">
        <v>8</v>
      </c>
      <c r="S11" s="1574">
        <f t="shared" si="0"/>
        <v>100</v>
      </c>
      <c r="T11" s="1573" t="s">
        <v>8</v>
      </c>
      <c r="U11" s="1574">
        <f t="shared" si="1"/>
        <v>100</v>
      </c>
      <c r="V11" s="1573" t="s">
        <v>8</v>
      </c>
      <c r="W11" s="1574">
        <f t="shared" si="2"/>
        <v>100</v>
      </c>
      <c r="X11" s="1575"/>
      <c r="Y11" s="3275"/>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29"/>
      <c r="Q12" s="1154">
        <f t="shared" si="6"/>
        <v>111</v>
      </c>
      <c r="R12" s="1573" t="s">
        <v>8</v>
      </c>
      <c r="S12" s="1574">
        <f t="shared" si="0"/>
        <v>100</v>
      </c>
      <c r="T12" s="1573" t="s">
        <v>8</v>
      </c>
      <c r="U12" s="1574">
        <f t="shared" si="1"/>
        <v>100</v>
      </c>
      <c r="V12" s="1573" t="s">
        <v>8</v>
      </c>
      <c r="W12" s="1574">
        <f t="shared" si="2"/>
        <v>100</v>
      </c>
      <c r="X12" s="1575"/>
      <c r="Y12" s="3275"/>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29"/>
      <c r="Q13" s="1154">
        <f t="shared" si="6"/>
        <v>111</v>
      </c>
      <c r="R13" s="1573" t="s">
        <v>8</v>
      </c>
      <c r="S13" s="1574">
        <f t="shared" si="0"/>
        <v>100</v>
      </c>
      <c r="T13" s="1573" t="s">
        <v>8</v>
      </c>
      <c r="U13" s="1574">
        <f t="shared" si="1"/>
        <v>100</v>
      </c>
      <c r="V13" s="1573" t="s">
        <v>8</v>
      </c>
      <c r="W13" s="1574">
        <f t="shared" si="2"/>
        <v>100</v>
      </c>
      <c r="X13" s="1575"/>
      <c r="Y13" s="3275"/>
      <c r="Z13" s="1153">
        <f t="shared" si="7"/>
        <v>111</v>
      </c>
      <c r="AA13" s="1576">
        <f t="shared" si="3"/>
        <v>1</v>
      </c>
      <c r="AB13" s="1576">
        <f t="shared" si="4"/>
        <v>1</v>
      </c>
      <c r="AC13" s="1576">
        <f t="shared" si="5"/>
        <v>1</v>
      </c>
    </row>
    <row r="14" spans="1:29" ht="85.5">
      <c r="A14" s="2949" t="s">
        <v>2771</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4" t="s">
        <v>541</v>
      </c>
      <c r="Q14" s="1577" t="str">
        <f t="shared" si="6"/>
        <v>交通便捷度</v>
      </c>
      <c r="R14" s="1578" t="s">
        <v>8</v>
      </c>
      <c r="S14" s="1579">
        <f t="shared" si="0"/>
        <v>100</v>
      </c>
      <c r="T14" s="1578" t="s">
        <v>8</v>
      </c>
      <c r="U14" s="1579">
        <f t="shared" si="1"/>
        <v>100</v>
      </c>
      <c r="V14" s="1578" t="s">
        <v>8</v>
      </c>
      <c r="W14" s="1579">
        <f t="shared" si="2"/>
        <v>100</v>
      </c>
      <c r="X14" s="1572"/>
      <c r="Y14" s="3364"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5"/>
      <c r="Q15" s="1577"/>
      <c r="R15" s="1578"/>
      <c r="S15" s="1579"/>
      <c r="T15" s="1578"/>
      <c r="U15" s="1579"/>
      <c r="V15" s="1578"/>
      <c r="W15" s="1579"/>
      <c r="X15" s="1572"/>
      <c r="Y15" s="3365"/>
      <c r="Z15" s="1580"/>
      <c r="AA15" s="1581">
        <v>1</v>
      </c>
      <c r="AB15" s="1581">
        <v>1</v>
      </c>
      <c r="AC15" s="1581">
        <v>1</v>
      </c>
    </row>
    <row r="16" spans="1:29" ht="42.75">
      <c r="A16" s="518"/>
      <c r="B16" s="2638" t="s">
        <v>2560</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5"/>
      <c r="Q16" s="1577" t="str">
        <f>B16</f>
        <v>公共配套设施</v>
      </c>
      <c r="R16" s="1578" t="s">
        <v>8</v>
      </c>
      <c r="S16" s="1579">
        <f>F16</f>
        <v>100</v>
      </c>
      <c r="T16" s="1578" t="s">
        <v>8</v>
      </c>
      <c r="U16" s="1579">
        <f>H16</f>
        <v>100</v>
      </c>
      <c r="V16" s="1578" t="s">
        <v>8</v>
      </c>
      <c r="W16" s="1579">
        <f>J16</f>
        <v>100</v>
      </c>
      <c r="X16" s="1572"/>
      <c r="Y16" s="3365"/>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5"/>
      <c r="Q17" s="1577"/>
      <c r="R17" s="1578"/>
      <c r="S17" s="1579"/>
      <c r="T17" s="1578"/>
      <c r="U17" s="1579"/>
      <c r="V17" s="1578"/>
      <c r="W17" s="1579"/>
      <c r="X17" s="1572"/>
      <c r="Y17" s="3365"/>
      <c r="Z17" s="1580"/>
      <c r="AA17" s="1581">
        <v>1</v>
      </c>
      <c r="AB17" s="1581">
        <v>1</v>
      </c>
      <c r="AC17" s="1581">
        <v>1</v>
      </c>
    </row>
    <row r="18" spans="1:29" ht="28.5">
      <c r="A18" s="518"/>
      <c r="B18" s="2626" t="s">
        <v>2572</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5"/>
      <c r="Q18" s="2614" t="str">
        <f>B18</f>
        <v>基础设施水平</v>
      </c>
      <c r="R18" s="1578" t="s">
        <v>8</v>
      </c>
      <c r="S18" s="1579">
        <f>F18</f>
        <v>100</v>
      </c>
      <c r="T18" s="1578" t="s">
        <v>8</v>
      </c>
      <c r="U18" s="1579">
        <f>H18</f>
        <v>100</v>
      </c>
      <c r="V18" s="1578" t="s">
        <v>8</v>
      </c>
      <c r="W18" s="1579">
        <f>J18</f>
        <v>100</v>
      </c>
      <c r="X18" s="2616"/>
      <c r="Y18" s="3365"/>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5"/>
      <c r="Q19" s="2614"/>
      <c r="R19" s="1578"/>
      <c r="S19" s="1579"/>
      <c r="T19" s="1578"/>
      <c r="U19" s="1579"/>
      <c r="V19" s="1578"/>
      <c r="W19" s="1579"/>
      <c r="X19" s="2616"/>
      <c r="Y19" s="3365"/>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5"/>
      <c r="Q20" s="1577" t="str">
        <f>B20</f>
        <v>自然及人文环境</v>
      </c>
      <c r="R20" s="1578" t="s">
        <v>8</v>
      </c>
      <c r="S20" s="1579">
        <f>F20</f>
        <v>100</v>
      </c>
      <c r="T20" s="1578" t="s">
        <v>8</v>
      </c>
      <c r="U20" s="1579">
        <f>H20</f>
        <v>100</v>
      </c>
      <c r="V20" s="1578" t="s">
        <v>8</v>
      </c>
      <c r="W20" s="1579">
        <f>J20</f>
        <v>100</v>
      </c>
      <c r="X20" s="1572"/>
      <c r="Y20" s="3365"/>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5"/>
      <c r="Q21" s="1577"/>
      <c r="R21" s="1578"/>
      <c r="S21" s="1579"/>
      <c r="T21" s="1578"/>
      <c r="U21" s="1579"/>
      <c r="V21" s="1578"/>
      <c r="W21" s="1579"/>
      <c r="X21" s="1572"/>
      <c r="Y21" s="3365"/>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5"/>
      <c r="Q22" s="1577" t="str">
        <f>B22</f>
        <v>楼层</v>
      </c>
      <c r="R22" s="1578" t="s">
        <v>8</v>
      </c>
      <c r="S22" s="1579">
        <f>F22</f>
        <v>100</v>
      </c>
      <c r="T22" s="1578" t="s">
        <v>8</v>
      </c>
      <c r="U22" s="1579">
        <f>H22</f>
        <v>100</v>
      </c>
      <c r="V22" s="1578" t="s">
        <v>8</v>
      </c>
      <c r="W22" s="1579">
        <f>J22</f>
        <v>100</v>
      </c>
      <c r="X22" s="1572"/>
      <c r="Y22" s="3365"/>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5"/>
      <c r="Q23" s="1577">
        <f>B23</f>
        <v>111</v>
      </c>
      <c r="R23" s="1578" t="s">
        <v>8</v>
      </c>
      <c r="S23" s="1579">
        <f>F23</f>
        <v>100</v>
      </c>
      <c r="T23" s="1578" t="s">
        <v>8</v>
      </c>
      <c r="U23" s="1579">
        <f>H23</f>
        <v>100</v>
      </c>
      <c r="V23" s="1578" t="s">
        <v>8</v>
      </c>
      <c r="W23" s="1579">
        <f>J23</f>
        <v>100</v>
      </c>
      <c r="X23" s="1572"/>
      <c r="Y23" s="3365"/>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5"/>
      <c r="Q24" s="1577">
        <f t="shared" ref="Q24:Q36" si="11">B24</f>
        <v>111</v>
      </c>
      <c r="R24" s="1578" t="s">
        <v>8</v>
      </c>
      <c r="S24" s="1579">
        <f>F24</f>
        <v>100</v>
      </c>
      <c r="T24" s="1578" t="s">
        <v>8</v>
      </c>
      <c r="U24" s="1579">
        <f>H24</f>
        <v>100</v>
      </c>
      <c r="V24" s="1578" t="s">
        <v>8</v>
      </c>
      <c r="W24" s="1579">
        <f>J24</f>
        <v>100</v>
      </c>
      <c r="X24" s="1572"/>
      <c r="Y24" s="3365"/>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5"/>
      <c r="Q25" s="1154">
        <f t="shared" si="11"/>
        <v>111</v>
      </c>
      <c r="R25" s="1573" t="s">
        <v>8</v>
      </c>
      <c r="S25" s="1574">
        <f>F25</f>
        <v>100</v>
      </c>
      <c r="T25" s="1573" t="s">
        <v>8</v>
      </c>
      <c r="U25" s="1574">
        <f>H25</f>
        <v>100</v>
      </c>
      <c r="V25" s="1573" t="s">
        <v>8</v>
      </c>
      <c r="W25" s="1574">
        <f>J25</f>
        <v>100</v>
      </c>
      <c r="X25" s="1575"/>
      <c r="Y25" s="3365"/>
      <c r="Z25" s="1153">
        <f>Q25</f>
        <v>111</v>
      </c>
      <c r="AA25" s="1581">
        <f>D25/F25</f>
        <v>1</v>
      </c>
      <c r="AB25" s="1581">
        <f>D25/H25</f>
        <v>1</v>
      </c>
      <c r="AC25" s="1581">
        <f>D25/J25</f>
        <v>1</v>
      </c>
    </row>
    <row r="26" spans="1:29" ht="15">
      <c r="A26" s="2946" t="s">
        <v>2772</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6"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7"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7"/>
      <c r="Q27" s="1610" t="str">
        <f t="shared" si="11"/>
        <v>项目停车位配比</v>
      </c>
      <c r="R27" s="1582" t="s">
        <v>8</v>
      </c>
      <c r="S27" s="1583">
        <f t="shared" si="12"/>
        <v>100</v>
      </c>
      <c r="T27" s="1582" t="s">
        <v>8</v>
      </c>
      <c r="U27" s="1583">
        <f t="shared" si="13"/>
        <v>100</v>
      </c>
      <c r="V27" s="1582" t="s">
        <v>8</v>
      </c>
      <c r="W27" s="1583">
        <f t="shared" si="14"/>
        <v>100</v>
      </c>
      <c r="X27" s="1584"/>
      <c r="Y27" s="3367"/>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7"/>
      <c r="Q28" s="1577" t="str">
        <f t="shared" si="11"/>
        <v>公共部分装修</v>
      </c>
      <c r="R28" s="1578" t="s">
        <v>8</v>
      </c>
      <c r="S28" s="1579">
        <f t="shared" si="12"/>
        <v>100</v>
      </c>
      <c r="T28" s="1578" t="s">
        <v>8</v>
      </c>
      <c r="U28" s="1579">
        <f t="shared" si="13"/>
        <v>100</v>
      </c>
      <c r="V28" s="1578" t="s">
        <v>8</v>
      </c>
      <c r="W28" s="1579">
        <f t="shared" si="14"/>
        <v>100</v>
      </c>
      <c r="X28" s="1572"/>
      <c r="Y28" s="3367"/>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7"/>
      <c r="Q29" s="1577" t="str">
        <f t="shared" si="11"/>
        <v>成新率</v>
      </c>
      <c r="R29" s="1578" t="s">
        <v>8</v>
      </c>
      <c r="S29" s="1579" t="e">
        <f t="shared" si="12"/>
        <v>#N/A</v>
      </c>
      <c r="T29" s="1578" t="s">
        <v>8</v>
      </c>
      <c r="U29" s="1579" t="e">
        <f t="shared" si="13"/>
        <v>#N/A</v>
      </c>
      <c r="V29" s="1578" t="s">
        <v>8</v>
      </c>
      <c r="W29" s="1579" t="e">
        <f t="shared" si="14"/>
        <v>#N/A</v>
      </c>
      <c r="X29" s="1572"/>
      <c r="Y29" s="3367"/>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7"/>
      <c r="Q30" s="1577" t="str">
        <f t="shared" si="11"/>
        <v>物业等级</v>
      </c>
      <c r="R30" s="1578" t="s">
        <v>8</v>
      </c>
      <c r="S30" s="1579">
        <f t="shared" si="12"/>
        <v>100</v>
      </c>
      <c r="T30" s="1578" t="s">
        <v>8</v>
      </c>
      <c r="U30" s="1579">
        <f t="shared" si="13"/>
        <v>100</v>
      </c>
      <c r="V30" s="1578" t="s">
        <v>8</v>
      </c>
      <c r="W30" s="1579">
        <f t="shared" si="14"/>
        <v>100</v>
      </c>
      <c r="X30" s="1572"/>
      <c r="Y30" s="3367"/>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7"/>
      <c r="Q31" s="1154" t="str">
        <f t="shared" si="11"/>
        <v>停车位面积</v>
      </c>
      <c r="R31" s="1573" t="s">
        <v>8</v>
      </c>
      <c r="S31" s="1574" t="e">
        <f t="shared" si="12"/>
        <v>#N/A</v>
      </c>
      <c r="T31" s="1573" t="s">
        <v>8</v>
      </c>
      <c r="U31" s="1574" t="e">
        <f t="shared" si="13"/>
        <v>#N/A</v>
      </c>
      <c r="V31" s="1573" t="s">
        <v>8</v>
      </c>
      <c r="W31" s="1574" t="e">
        <f t="shared" si="14"/>
        <v>#N/A</v>
      </c>
      <c r="X31" s="1575"/>
      <c r="Y31" s="3367"/>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7" t="s">
        <v>551</v>
      </c>
      <c r="Q32" s="1577" t="str">
        <f t="shared" si="11"/>
        <v>车位类型</v>
      </c>
      <c r="R32" s="1578" t="s">
        <v>8</v>
      </c>
      <c r="S32" s="1579">
        <f t="shared" si="12"/>
        <v>100</v>
      </c>
      <c r="T32" s="1578" t="s">
        <v>8</v>
      </c>
      <c r="U32" s="1579">
        <f t="shared" si="13"/>
        <v>100</v>
      </c>
      <c r="V32" s="1578" t="s">
        <v>8</v>
      </c>
      <c r="W32" s="1579">
        <f t="shared" si="14"/>
        <v>100</v>
      </c>
      <c r="X32" s="1572"/>
      <c r="Y32" s="3367"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7"/>
      <c r="Q33" s="1577" t="str">
        <f t="shared" si="11"/>
        <v>是否直接入户</v>
      </c>
      <c r="R33" s="1578" t="s">
        <v>8</v>
      </c>
      <c r="S33" s="1579">
        <f t="shared" si="12"/>
        <v>100</v>
      </c>
      <c r="T33" s="1578" t="s">
        <v>8</v>
      </c>
      <c r="U33" s="1579">
        <f t="shared" si="13"/>
        <v>100</v>
      </c>
      <c r="V33" s="1578" t="s">
        <v>8</v>
      </c>
      <c r="W33" s="1579">
        <f t="shared" si="14"/>
        <v>100</v>
      </c>
      <c r="X33" s="1572"/>
      <c r="Y33" s="3367"/>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7"/>
      <c r="Q34" s="1577">
        <f t="shared" si="11"/>
        <v>111</v>
      </c>
      <c r="R34" s="1578" t="s">
        <v>8</v>
      </c>
      <c r="S34" s="1579">
        <f t="shared" si="12"/>
        <v>100</v>
      </c>
      <c r="T34" s="1578" t="s">
        <v>8</v>
      </c>
      <c r="U34" s="1579">
        <f t="shared" si="13"/>
        <v>100</v>
      </c>
      <c r="V34" s="1578" t="s">
        <v>8</v>
      </c>
      <c r="W34" s="1579">
        <f t="shared" si="14"/>
        <v>100</v>
      </c>
      <c r="X34" s="1572"/>
      <c r="Y34" s="3367"/>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7"/>
      <c r="Q35" s="1610">
        <f t="shared" si="11"/>
        <v>111</v>
      </c>
      <c r="R35" s="1582" t="s">
        <v>8</v>
      </c>
      <c r="S35" s="1583">
        <f t="shared" si="12"/>
        <v>100</v>
      </c>
      <c r="T35" s="1582" t="s">
        <v>8</v>
      </c>
      <c r="U35" s="1583">
        <f t="shared" si="13"/>
        <v>100</v>
      </c>
      <c r="V35" s="1582" t="s">
        <v>8</v>
      </c>
      <c r="W35" s="1583">
        <f t="shared" si="14"/>
        <v>100</v>
      </c>
      <c r="X35" s="1584"/>
      <c r="Y35" s="3367"/>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7"/>
      <c r="Q36" s="1577">
        <f t="shared" si="11"/>
        <v>111</v>
      </c>
      <c r="R36" s="1578" t="s">
        <v>8</v>
      </c>
      <c r="S36" s="1579">
        <f t="shared" si="12"/>
        <v>100</v>
      </c>
      <c r="T36" s="1578" t="s">
        <v>8</v>
      </c>
      <c r="U36" s="1579">
        <f t="shared" si="13"/>
        <v>100</v>
      </c>
      <c r="V36" s="1578" t="s">
        <v>8</v>
      </c>
      <c r="W36" s="1579">
        <f t="shared" si="14"/>
        <v>100</v>
      </c>
      <c r="X36" s="1572"/>
      <c r="Y36" s="3367"/>
      <c r="Z36" s="1580">
        <f t="shared" si="15"/>
        <v>111</v>
      </c>
      <c r="AA36" s="1581">
        <f t="shared" si="3"/>
        <v>1</v>
      </c>
      <c r="AB36" s="1581">
        <f t="shared" si="4"/>
        <v>1</v>
      </c>
      <c r="AC36" s="1581">
        <f t="shared" si="5"/>
        <v>1</v>
      </c>
    </row>
    <row r="37" spans="1:29" ht="15">
      <c r="A37" s="1852" t="s">
        <v>2087</v>
      </c>
      <c r="B37" s="1853" t="s">
        <v>2088</v>
      </c>
      <c r="C37" s="2662" t="s">
        <v>1</v>
      </c>
      <c r="D37" s="2663"/>
      <c r="E37" s="2664"/>
      <c r="F37" s="2665"/>
      <c r="G37" s="2666"/>
      <c r="H37" s="2667"/>
      <c r="I37" s="2664"/>
      <c r="J37" s="2667"/>
      <c r="K37" s="1616"/>
      <c r="L37" s="2154"/>
      <c r="M37" s="2155"/>
      <c r="N37" s="2144"/>
      <c r="O37" s="2155"/>
      <c r="P37" s="3329" t="str">
        <f>A37</f>
        <v>成交单价</v>
      </c>
      <c r="Q37" s="3329"/>
      <c r="R37" s="3436">
        <f>E37</f>
        <v>0</v>
      </c>
      <c r="S37" s="3436"/>
      <c r="T37" s="3436">
        <f>G37</f>
        <v>0</v>
      </c>
      <c r="U37" s="3436"/>
      <c r="V37" s="3436">
        <f>I37</f>
        <v>0</v>
      </c>
      <c r="W37" s="3436"/>
      <c r="X37" s="1564"/>
      <c r="Y37" s="1586"/>
      <c r="Z37" s="1564"/>
      <c r="AA37" s="1564"/>
      <c r="AB37" s="1564"/>
      <c r="AC37" s="1564"/>
    </row>
    <row r="38" spans="1:29" ht="15.75" thickBot="1">
      <c r="A38" s="618" t="s">
        <v>2777</v>
      </c>
      <c r="B38" s="891"/>
      <c r="C38" s="2668" t="e">
        <f>R39</f>
        <v>#DIV/0!</v>
      </c>
      <c r="D38" s="2669"/>
      <c r="E38" s="2670" t="e">
        <f>R38</f>
        <v>#DIV/0!</v>
      </c>
      <c r="F38" s="2670"/>
      <c r="G38" s="2668" t="e">
        <f>T38</f>
        <v>#DIV/0!</v>
      </c>
      <c r="H38" s="2669"/>
      <c r="I38" s="2670" t="e">
        <f>V38</f>
        <v>#DIV/0!</v>
      </c>
      <c r="J38" s="2669"/>
      <c r="K38" s="1617"/>
      <c r="L38" s="2154"/>
      <c r="M38" s="2155"/>
      <c r="N38" s="2155"/>
      <c r="O38" s="2155"/>
      <c r="P38" s="3329" t="str">
        <f>A38</f>
        <v>比较价格（元/平方米）</v>
      </c>
      <c r="Q38" s="3329"/>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564"/>
      <c r="Y38" s="1564"/>
      <c r="Z38" s="1564"/>
      <c r="AA38" s="1564"/>
      <c r="AB38" s="1564"/>
      <c r="AC38" s="1564"/>
    </row>
    <row r="39" spans="1:29" ht="15.75" thickBot="1">
      <c r="A39" s="624" t="s">
        <v>2950</v>
      </c>
      <c r="B39" s="625"/>
      <c r="C39" s="2671" t="e">
        <f>R39</f>
        <v>#DIV/0!</v>
      </c>
      <c r="D39" s="2671"/>
      <c r="E39" s="2671"/>
      <c r="F39" s="2671"/>
      <c r="G39" s="2671"/>
      <c r="H39" s="2671"/>
      <c r="I39" s="2671"/>
      <c r="J39" s="2671"/>
      <c r="K39" s="1618"/>
      <c r="L39" s="2154"/>
      <c r="M39" s="2155"/>
      <c r="N39" s="2155"/>
      <c r="O39" s="2155"/>
      <c r="P39" s="3326" t="str">
        <f>A39</f>
        <v>估价对象XX用房的比较价格（楼面单价，元/平方米）</v>
      </c>
      <c r="Q39" s="3327"/>
      <c r="R39" s="3435" t="e">
        <f>IF(F1="售价",ROUND(AVERAGE(R38:V38),0),ROUND(AVERAGE(R38:V38),1))</f>
        <v>#DIV/0!</v>
      </c>
      <c r="S39" s="3435"/>
      <c r="T39" s="3435"/>
      <c r="U39" s="3435"/>
      <c r="V39" s="3435"/>
      <c r="W39" s="3435"/>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2017-7</v>
      </c>
      <c r="D48" s="2843">
        <f>EDATE(C48,-1)</f>
        <v>42887</v>
      </c>
      <c r="E48" s="2843">
        <f t="shared" ref="E48:O48" si="16">EDATE(D48,-1)</f>
        <v>42856</v>
      </c>
      <c r="F48" s="2843">
        <f t="shared" si="16"/>
        <v>42826</v>
      </c>
      <c r="G48" s="2843">
        <f t="shared" si="16"/>
        <v>42795</v>
      </c>
      <c r="H48" s="2843">
        <f t="shared" si="16"/>
        <v>42767</v>
      </c>
      <c r="I48" s="2843">
        <f t="shared" si="16"/>
        <v>42736</v>
      </c>
      <c r="J48" s="2843">
        <f t="shared" si="16"/>
        <v>42705</v>
      </c>
      <c r="K48" s="2843">
        <f t="shared" si="16"/>
        <v>42675</v>
      </c>
      <c r="L48" s="2843">
        <f t="shared" si="16"/>
        <v>42644</v>
      </c>
      <c r="M48" s="2843">
        <f t="shared" si="16"/>
        <v>42614</v>
      </c>
      <c r="N48" s="2843">
        <f t="shared" si="16"/>
        <v>42583</v>
      </c>
      <c r="O48" s="2843">
        <f t="shared" si="16"/>
        <v>42552</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2571</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2572</v>
      </c>
      <c r="C67" s="2633" t="s">
        <v>2573</v>
      </c>
      <c r="D67" s="2633" t="s">
        <v>2574</v>
      </c>
      <c r="E67" s="2633" t="s">
        <v>2575</v>
      </c>
      <c r="F67" s="2633" t="s">
        <v>2576</v>
      </c>
      <c r="G67" s="2633" t="s">
        <v>2577</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5" t="s">
        <v>801</v>
      </c>
      <c r="D4" s="3336"/>
      <c r="E4" s="3370" t="s">
        <v>802</v>
      </c>
      <c r="F4" s="3371"/>
      <c r="G4" s="3335" t="s">
        <v>803</v>
      </c>
      <c r="H4" s="3336"/>
      <c r="I4" s="3335" t="s">
        <v>804</v>
      </c>
      <c r="J4" s="3336"/>
      <c r="K4" s="517" t="s">
        <v>805</v>
      </c>
      <c r="L4" s="2143"/>
      <c r="M4" s="2144"/>
      <c r="N4" s="2144"/>
      <c r="O4" s="2144"/>
      <c r="P4" s="3337" t="s">
        <v>806</v>
      </c>
      <c r="Q4" s="3338"/>
      <c r="R4" s="3343" t="s">
        <v>802</v>
      </c>
      <c r="S4" s="3344"/>
      <c r="T4" s="3343" t="s">
        <v>803</v>
      </c>
      <c r="U4" s="3344"/>
      <c r="V4" s="3330" t="s">
        <v>804</v>
      </c>
      <c r="W4" s="3330"/>
      <c r="X4" s="1572"/>
      <c r="Y4" s="3343" t="s">
        <v>806</v>
      </c>
      <c r="Z4" s="3344"/>
      <c r="AA4" s="3332" t="s">
        <v>802</v>
      </c>
      <c r="AB4" s="3333" t="s">
        <v>803</v>
      </c>
      <c r="AC4" s="3332" t="s">
        <v>804</v>
      </c>
    </row>
    <row r="5" spans="1:29" ht="15">
      <c r="A5" s="518"/>
      <c r="B5" s="519"/>
      <c r="C5" s="3353" t="s">
        <v>2944</v>
      </c>
      <c r="D5" s="3352"/>
      <c r="E5" s="3372" t="s">
        <v>2945</v>
      </c>
      <c r="F5" s="3373"/>
      <c r="G5" s="3353" t="s">
        <v>2946</v>
      </c>
      <c r="H5" s="3352"/>
      <c r="I5" s="3353" t="s">
        <v>2947</v>
      </c>
      <c r="J5" s="3352"/>
      <c r="K5" s="517"/>
      <c r="L5" s="2143"/>
      <c r="M5" s="2144"/>
      <c r="N5" s="2144"/>
      <c r="O5" s="2144"/>
      <c r="P5" s="3339"/>
      <c r="Q5" s="3340"/>
      <c r="R5" s="3345"/>
      <c r="S5" s="3346"/>
      <c r="T5" s="3345"/>
      <c r="U5" s="3346"/>
      <c r="V5" s="3330"/>
      <c r="W5" s="3330"/>
      <c r="X5" s="1572"/>
      <c r="Y5" s="3345"/>
      <c r="Z5" s="3346"/>
      <c r="AA5" s="3333"/>
      <c r="AB5" s="3333"/>
      <c r="AC5" s="3333"/>
    </row>
    <row r="6" spans="1:29" ht="15.75" thickBot="1">
      <c r="A6" s="520"/>
      <c r="B6" s="521"/>
      <c r="C6" s="3349" t="s">
        <v>2948</v>
      </c>
      <c r="D6" s="3350"/>
      <c r="E6" s="3368" t="s">
        <v>2948</v>
      </c>
      <c r="F6" s="3369"/>
      <c r="G6" s="3349" t="s">
        <v>2948</v>
      </c>
      <c r="H6" s="3350"/>
      <c r="I6" s="3349" t="s">
        <v>2948</v>
      </c>
      <c r="J6" s="3350"/>
      <c r="K6" s="517" t="s">
        <v>529</v>
      </c>
      <c r="L6" s="2143"/>
      <c r="M6" s="2144"/>
      <c r="N6" s="2144"/>
      <c r="O6" s="2144"/>
      <c r="P6" s="3341"/>
      <c r="Q6" s="3342"/>
      <c r="R6" s="3345"/>
      <c r="S6" s="3346"/>
      <c r="T6" s="3347"/>
      <c r="U6" s="3348"/>
      <c r="V6" s="3330"/>
      <c r="W6" s="3330"/>
      <c r="X6" s="1572"/>
      <c r="Y6" s="3347"/>
      <c r="Z6" s="3348"/>
      <c r="AA6" s="3334"/>
      <c r="AB6" s="3334"/>
      <c r="AC6" s="3334"/>
    </row>
    <row r="7" spans="1:29" s="1223" customFormat="1" ht="15.75" thickBot="1">
      <c r="A7" s="2951"/>
      <c r="B7" s="2958" t="s">
        <v>530</v>
      </c>
      <c r="C7" s="522">
        <f>'数据-取费表'!B2</f>
        <v>42921</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61" t="s">
        <v>531</v>
      </c>
      <c r="Q7" s="3363"/>
      <c r="R7" s="1573" t="s">
        <v>8</v>
      </c>
      <c r="S7" s="1574">
        <f t="shared" ref="S7:S14" si="0">F7</f>
        <v>0</v>
      </c>
      <c r="T7" s="1573" t="s">
        <v>8</v>
      </c>
      <c r="U7" s="1574">
        <f t="shared" ref="U7:U14" si="1">H7</f>
        <v>0</v>
      </c>
      <c r="V7" s="1573" t="s">
        <v>8</v>
      </c>
      <c r="W7" s="1574">
        <f t="shared" ref="W7:W14" si="2">J7</f>
        <v>0</v>
      </c>
      <c r="X7" s="1575"/>
      <c r="Y7" s="3361" t="s">
        <v>531</v>
      </c>
      <c r="Z7" s="3362"/>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61" t="s">
        <v>534</v>
      </c>
      <c r="Q8" s="3362"/>
      <c r="R8" s="1573" t="s">
        <v>8</v>
      </c>
      <c r="S8" s="1574">
        <f t="shared" si="0"/>
        <v>0</v>
      </c>
      <c r="T8" s="1573" t="s">
        <v>8</v>
      </c>
      <c r="U8" s="1574">
        <f t="shared" si="1"/>
        <v>0</v>
      </c>
      <c r="V8" s="1573" t="s">
        <v>8</v>
      </c>
      <c r="W8" s="1574">
        <f t="shared" si="2"/>
        <v>0</v>
      </c>
      <c r="X8" s="1575"/>
      <c r="Y8" s="3361" t="s">
        <v>534</v>
      </c>
      <c r="Z8" s="3362"/>
      <c r="AA8" s="1576" t="e">
        <f t="shared" ref="AA8:AA34" si="3">D8/F8</f>
        <v>#DIV/0!</v>
      </c>
      <c r="AB8" s="1576" t="e">
        <f t="shared" ref="AB8:AB34" si="4">D8/H8</f>
        <v>#DIV/0!</v>
      </c>
      <c r="AC8" s="1576" t="e">
        <f t="shared" ref="AC8:AC34" si="5">D8/J8</f>
        <v>#DIV/0!</v>
      </c>
    </row>
    <row r="9" spans="1:29" s="1223" customFormat="1" ht="15">
      <c r="A9" s="2953"/>
      <c r="B9" s="2960" t="s">
        <v>2773</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29" t="s">
        <v>536</v>
      </c>
      <c r="Q9" s="1154" t="str">
        <f t="shared" ref="Q9:Q14" si="6">B9</f>
        <v>用途</v>
      </c>
      <c r="R9" s="1573" t="s">
        <v>8</v>
      </c>
      <c r="S9" s="1574">
        <f t="shared" si="0"/>
        <v>100</v>
      </c>
      <c r="T9" s="1573" t="s">
        <v>8</v>
      </c>
      <c r="U9" s="1574">
        <f t="shared" si="1"/>
        <v>100</v>
      </c>
      <c r="V9" s="1573" t="s">
        <v>8</v>
      </c>
      <c r="W9" s="1574">
        <f t="shared" si="2"/>
        <v>100</v>
      </c>
      <c r="X9" s="1575"/>
      <c r="Y9" s="3275" t="s">
        <v>537</v>
      </c>
      <c r="Z9" s="1153" t="str">
        <f t="shared" ref="Z9:Z14" si="7">Q9</f>
        <v>用途</v>
      </c>
      <c r="AA9" s="1576">
        <f t="shared" si="3"/>
        <v>1</v>
      </c>
      <c r="AB9" s="1576">
        <f t="shared" si="4"/>
        <v>1</v>
      </c>
      <c r="AC9" s="1576">
        <f t="shared" si="5"/>
        <v>1</v>
      </c>
    </row>
    <row r="10" spans="1:29" s="1341" customFormat="1" ht="27">
      <c r="A10" s="2954"/>
      <c r="B10" s="2959" t="s">
        <v>2774</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29"/>
      <c r="Q10" s="1154" t="str">
        <f t="shared" si="6"/>
        <v>土地使用年限（年）</v>
      </c>
      <c r="R10" s="1573" t="s">
        <v>8</v>
      </c>
      <c r="S10" s="1574">
        <f t="shared" si="0"/>
        <v>100</v>
      </c>
      <c r="T10" s="1573" t="s">
        <v>8</v>
      </c>
      <c r="U10" s="1574">
        <f t="shared" si="1"/>
        <v>100</v>
      </c>
      <c r="V10" s="1573" t="s">
        <v>8</v>
      </c>
      <c r="W10" s="1574">
        <f t="shared" si="2"/>
        <v>100</v>
      </c>
      <c r="X10" s="1575"/>
      <c r="Y10" s="3275"/>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29"/>
      <c r="Q11" s="1154">
        <f t="shared" si="6"/>
        <v>111</v>
      </c>
      <c r="R11" s="1573" t="s">
        <v>8</v>
      </c>
      <c r="S11" s="1574">
        <f t="shared" si="0"/>
        <v>100</v>
      </c>
      <c r="T11" s="1573" t="s">
        <v>8</v>
      </c>
      <c r="U11" s="1574">
        <f t="shared" si="1"/>
        <v>100</v>
      </c>
      <c r="V11" s="1573" t="s">
        <v>8</v>
      </c>
      <c r="W11" s="1574">
        <f t="shared" si="2"/>
        <v>100</v>
      </c>
      <c r="X11" s="1575"/>
      <c r="Y11" s="3275"/>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29"/>
      <c r="Q12" s="1154">
        <f t="shared" si="6"/>
        <v>111</v>
      </c>
      <c r="R12" s="1573" t="s">
        <v>8</v>
      </c>
      <c r="S12" s="1574">
        <f t="shared" si="0"/>
        <v>100</v>
      </c>
      <c r="T12" s="1573" t="s">
        <v>8</v>
      </c>
      <c r="U12" s="1574">
        <f t="shared" si="1"/>
        <v>100</v>
      </c>
      <c r="V12" s="1573" t="s">
        <v>8</v>
      </c>
      <c r="W12" s="1574">
        <f t="shared" si="2"/>
        <v>100</v>
      </c>
      <c r="X12" s="1575"/>
      <c r="Y12" s="3275"/>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29"/>
      <c r="Q13" s="1154">
        <f t="shared" si="6"/>
        <v>111</v>
      </c>
      <c r="R13" s="1573" t="s">
        <v>8</v>
      </c>
      <c r="S13" s="1574">
        <f t="shared" si="0"/>
        <v>100</v>
      </c>
      <c r="T13" s="1573" t="s">
        <v>8</v>
      </c>
      <c r="U13" s="1574">
        <f t="shared" si="1"/>
        <v>100</v>
      </c>
      <c r="V13" s="1573" t="s">
        <v>8</v>
      </c>
      <c r="W13" s="1574">
        <f t="shared" si="2"/>
        <v>100</v>
      </c>
      <c r="X13" s="1575"/>
      <c r="Y13" s="3275"/>
      <c r="Z13" s="1153">
        <f t="shared" si="7"/>
        <v>111</v>
      </c>
      <c r="AA13" s="1576">
        <f t="shared" si="3"/>
        <v>1</v>
      </c>
      <c r="AB13" s="1576">
        <f t="shared" si="4"/>
        <v>1</v>
      </c>
      <c r="AC13" s="1576">
        <f t="shared" si="5"/>
        <v>1</v>
      </c>
    </row>
    <row r="14" spans="1:29" ht="85.5">
      <c r="A14" s="2949" t="s">
        <v>2771</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4" t="s">
        <v>541</v>
      </c>
      <c r="Q14" s="1577" t="str">
        <f t="shared" si="6"/>
        <v>交通便捷度</v>
      </c>
      <c r="R14" s="1578" t="s">
        <v>8</v>
      </c>
      <c r="S14" s="1579">
        <f t="shared" si="0"/>
        <v>100</v>
      </c>
      <c r="T14" s="1578" t="s">
        <v>8</v>
      </c>
      <c r="U14" s="1579">
        <f t="shared" si="1"/>
        <v>100</v>
      </c>
      <c r="V14" s="1578" t="s">
        <v>8</v>
      </c>
      <c r="W14" s="1579">
        <f t="shared" si="2"/>
        <v>100</v>
      </c>
      <c r="X14" s="1572"/>
      <c r="Y14" s="3364"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5"/>
      <c r="Q15" s="1577"/>
      <c r="R15" s="1578"/>
      <c r="S15" s="1579"/>
      <c r="T15" s="1578"/>
      <c r="U15" s="1579"/>
      <c r="V15" s="1578"/>
      <c r="W15" s="1579"/>
      <c r="X15" s="1572"/>
      <c r="Y15" s="3365"/>
      <c r="Z15" s="1580"/>
      <c r="AA15" s="1581">
        <v>1</v>
      </c>
      <c r="AB15" s="1581">
        <v>1</v>
      </c>
      <c r="AC15" s="1581">
        <v>1</v>
      </c>
    </row>
    <row r="16" spans="1:29" ht="42.75">
      <c r="A16" s="535"/>
      <c r="B16" s="2638" t="s">
        <v>2560</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5"/>
      <c r="Q16" s="1577" t="str">
        <f>B16</f>
        <v>公共配套设施</v>
      </c>
      <c r="R16" s="1578" t="s">
        <v>8</v>
      </c>
      <c r="S16" s="1579">
        <f>F16</f>
        <v>100</v>
      </c>
      <c r="T16" s="1578" t="s">
        <v>8</v>
      </c>
      <c r="U16" s="1579">
        <f>H16</f>
        <v>100</v>
      </c>
      <c r="V16" s="1578" t="s">
        <v>8</v>
      </c>
      <c r="W16" s="1579">
        <f>J16</f>
        <v>100</v>
      </c>
      <c r="X16" s="1572"/>
      <c r="Y16" s="3365"/>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5"/>
      <c r="Q17" s="1577"/>
      <c r="R17" s="1578"/>
      <c r="S17" s="1579"/>
      <c r="T17" s="1578"/>
      <c r="U17" s="1579"/>
      <c r="V17" s="1578"/>
      <c r="W17" s="1579"/>
      <c r="X17" s="1572"/>
      <c r="Y17" s="3365"/>
      <c r="Z17" s="1580"/>
      <c r="AA17" s="1581">
        <v>1</v>
      </c>
      <c r="AB17" s="1581">
        <v>1</v>
      </c>
      <c r="AC17" s="1581">
        <v>1</v>
      </c>
    </row>
    <row r="18" spans="1:29" ht="28.5">
      <c r="A18" s="535"/>
      <c r="B18" s="2626" t="s">
        <v>2572</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5"/>
      <c r="Q18" s="2614" t="str">
        <f>B18</f>
        <v>基础设施水平</v>
      </c>
      <c r="R18" s="1578" t="s">
        <v>8</v>
      </c>
      <c r="S18" s="1579">
        <f>F18</f>
        <v>100</v>
      </c>
      <c r="T18" s="1578" t="s">
        <v>8</v>
      </c>
      <c r="U18" s="1579">
        <f>H18</f>
        <v>100</v>
      </c>
      <c r="V18" s="1578" t="s">
        <v>8</v>
      </c>
      <c r="W18" s="1579">
        <f>J18</f>
        <v>100</v>
      </c>
      <c r="X18" s="2616"/>
      <c r="Y18" s="3365"/>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5"/>
      <c r="Q19" s="2614"/>
      <c r="R19" s="1578"/>
      <c r="S19" s="1579"/>
      <c r="T19" s="1578"/>
      <c r="U19" s="1579"/>
      <c r="V19" s="1578"/>
      <c r="W19" s="1579"/>
      <c r="X19" s="2616"/>
      <c r="Y19" s="3365"/>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5"/>
      <c r="Q20" s="1577" t="str">
        <f>B20</f>
        <v>自然及人文环境</v>
      </c>
      <c r="R20" s="1578" t="s">
        <v>8</v>
      </c>
      <c r="S20" s="1579">
        <f>F20</f>
        <v>100</v>
      </c>
      <c r="T20" s="1578" t="s">
        <v>8</v>
      </c>
      <c r="U20" s="1579">
        <f>H20</f>
        <v>100</v>
      </c>
      <c r="V20" s="1578" t="s">
        <v>8</v>
      </c>
      <c r="W20" s="1579">
        <f>J20</f>
        <v>100</v>
      </c>
      <c r="X20" s="1572"/>
      <c r="Y20" s="3365"/>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5"/>
      <c r="Q21" s="1577"/>
      <c r="R21" s="1578"/>
      <c r="S21" s="1579"/>
      <c r="T21" s="1578"/>
      <c r="U21" s="1579"/>
      <c r="V21" s="1578"/>
      <c r="W21" s="1579"/>
      <c r="X21" s="1572"/>
      <c r="Y21" s="3365"/>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5"/>
      <c r="Q22" s="1577" t="str">
        <f>B22</f>
        <v>楼层</v>
      </c>
      <c r="R22" s="1578" t="s">
        <v>8</v>
      </c>
      <c r="S22" s="1579">
        <f>F22</f>
        <v>100</v>
      </c>
      <c r="T22" s="1578" t="s">
        <v>8</v>
      </c>
      <c r="U22" s="1579">
        <f>H22</f>
        <v>100</v>
      </c>
      <c r="V22" s="1578" t="s">
        <v>8</v>
      </c>
      <c r="W22" s="1579">
        <f>J22</f>
        <v>100</v>
      </c>
      <c r="X22" s="1572"/>
      <c r="Y22" s="3365"/>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5"/>
      <c r="Q23" s="1577">
        <f>B23</f>
        <v>111</v>
      </c>
      <c r="R23" s="1578" t="s">
        <v>8</v>
      </c>
      <c r="S23" s="1579">
        <f>F23</f>
        <v>100</v>
      </c>
      <c r="T23" s="1578" t="s">
        <v>8</v>
      </c>
      <c r="U23" s="1579">
        <f>H23</f>
        <v>100</v>
      </c>
      <c r="V23" s="1578" t="s">
        <v>8</v>
      </c>
      <c r="W23" s="1579">
        <f>J23</f>
        <v>100</v>
      </c>
      <c r="X23" s="1572"/>
      <c r="Y23" s="3365"/>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5"/>
      <c r="Q24" s="1577">
        <f t="shared" ref="Q24:Q34" si="11">B24</f>
        <v>111</v>
      </c>
      <c r="R24" s="1578" t="s">
        <v>8</v>
      </c>
      <c r="S24" s="1579">
        <f>F24</f>
        <v>100</v>
      </c>
      <c r="T24" s="1578" t="s">
        <v>8</v>
      </c>
      <c r="U24" s="1579">
        <f>H24</f>
        <v>100</v>
      </c>
      <c r="V24" s="1578" t="s">
        <v>8</v>
      </c>
      <c r="W24" s="1579">
        <f>J24</f>
        <v>100</v>
      </c>
      <c r="X24" s="1572"/>
      <c r="Y24" s="3365"/>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5"/>
      <c r="Q25" s="1154">
        <f t="shared" si="11"/>
        <v>111</v>
      </c>
      <c r="R25" s="1573" t="s">
        <v>8</v>
      </c>
      <c r="S25" s="1574">
        <f>F25</f>
        <v>100</v>
      </c>
      <c r="T25" s="1573" t="s">
        <v>8</v>
      </c>
      <c r="U25" s="1574">
        <f>H25</f>
        <v>100</v>
      </c>
      <c r="V25" s="1573" t="s">
        <v>8</v>
      </c>
      <c r="W25" s="1574">
        <f>J25</f>
        <v>100</v>
      </c>
      <c r="X25" s="1575"/>
      <c r="Y25" s="3365"/>
      <c r="Z25" s="1153">
        <f>Q25</f>
        <v>111</v>
      </c>
      <c r="AA25" s="1581">
        <f>D25/F25</f>
        <v>1</v>
      </c>
      <c r="AB25" s="1581">
        <f>D25/H25</f>
        <v>1</v>
      </c>
      <c r="AC25" s="1581">
        <f>D25/J25</f>
        <v>1</v>
      </c>
    </row>
    <row r="26" spans="1:29" ht="15">
      <c r="A26" s="2946" t="s">
        <v>2772</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6"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7"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7"/>
      <c r="Q27" s="1610" t="str">
        <f t="shared" si="11"/>
        <v>成新率</v>
      </c>
      <c r="R27" s="1582" t="s">
        <v>8</v>
      </c>
      <c r="S27" s="1583" t="e">
        <f t="shared" si="12"/>
        <v>#N/A</v>
      </c>
      <c r="T27" s="1582" t="s">
        <v>8</v>
      </c>
      <c r="U27" s="1583" t="e">
        <f t="shared" si="13"/>
        <v>#N/A</v>
      </c>
      <c r="V27" s="1582" t="s">
        <v>8</v>
      </c>
      <c r="W27" s="1583" t="e">
        <f t="shared" si="14"/>
        <v>#N/A</v>
      </c>
      <c r="X27" s="1584"/>
      <c r="Y27" s="3367"/>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7"/>
      <c r="Q28" s="1577" t="str">
        <f t="shared" si="11"/>
        <v>物业等级</v>
      </c>
      <c r="R28" s="1578" t="s">
        <v>8</v>
      </c>
      <c r="S28" s="1579">
        <f t="shared" si="12"/>
        <v>100</v>
      </c>
      <c r="T28" s="1578" t="s">
        <v>8</v>
      </c>
      <c r="U28" s="1579">
        <f t="shared" si="13"/>
        <v>100</v>
      </c>
      <c r="V28" s="1578" t="s">
        <v>8</v>
      </c>
      <c r="W28" s="1579">
        <f t="shared" si="14"/>
        <v>100</v>
      </c>
      <c r="X28" s="1572"/>
      <c r="Y28" s="3367"/>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7"/>
      <c r="Q29" s="1577" t="str">
        <f t="shared" si="11"/>
        <v>有无电梯</v>
      </c>
      <c r="R29" s="1578" t="s">
        <v>8</v>
      </c>
      <c r="S29" s="1579">
        <f t="shared" si="12"/>
        <v>100</v>
      </c>
      <c r="T29" s="1578" t="s">
        <v>8</v>
      </c>
      <c r="U29" s="1579">
        <f t="shared" si="13"/>
        <v>100</v>
      </c>
      <c r="V29" s="1578" t="s">
        <v>8</v>
      </c>
      <c r="W29" s="1579">
        <f t="shared" si="14"/>
        <v>100</v>
      </c>
      <c r="X29" s="1572"/>
      <c r="Y29" s="3367"/>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7"/>
      <c r="Q30" s="1577" t="str">
        <f t="shared" si="11"/>
        <v>建筑面积</v>
      </c>
      <c r="R30" s="1578" t="s">
        <v>8</v>
      </c>
      <c r="S30" s="1579" t="e">
        <f t="shared" si="12"/>
        <v>#N/A</v>
      </c>
      <c r="T30" s="1578" t="s">
        <v>8</v>
      </c>
      <c r="U30" s="1579" t="e">
        <f t="shared" si="13"/>
        <v>#N/A</v>
      </c>
      <c r="V30" s="1578" t="s">
        <v>8</v>
      </c>
      <c r="W30" s="1579" t="e">
        <f t="shared" si="14"/>
        <v>#N/A</v>
      </c>
      <c r="X30" s="1572"/>
      <c r="Y30" s="3367"/>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7"/>
      <c r="Q31" s="1154" t="str">
        <f t="shared" si="11"/>
        <v>是否封闭</v>
      </c>
      <c r="R31" s="1573" t="s">
        <v>8</v>
      </c>
      <c r="S31" s="1574">
        <f t="shared" si="12"/>
        <v>100</v>
      </c>
      <c r="T31" s="1573" t="s">
        <v>8</v>
      </c>
      <c r="U31" s="1574">
        <f t="shared" si="13"/>
        <v>100</v>
      </c>
      <c r="V31" s="1573" t="s">
        <v>8</v>
      </c>
      <c r="W31" s="1574">
        <f t="shared" si="14"/>
        <v>100</v>
      </c>
      <c r="X31" s="1575"/>
      <c r="Y31" s="3367"/>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7" t="s">
        <v>551</v>
      </c>
      <c r="Q32" s="1577">
        <f t="shared" si="11"/>
        <v>111</v>
      </c>
      <c r="R32" s="1578" t="s">
        <v>8</v>
      </c>
      <c r="S32" s="1579">
        <f t="shared" si="12"/>
        <v>100</v>
      </c>
      <c r="T32" s="1578" t="s">
        <v>8</v>
      </c>
      <c r="U32" s="1579">
        <f t="shared" si="13"/>
        <v>100</v>
      </c>
      <c r="V32" s="1578" t="s">
        <v>8</v>
      </c>
      <c r="W32" s="1579">
        <f t="shared" si="14"/>
        <v>100</v>
      </c>
      <c r="X32" s="1572"/>
      <c r="Y32" s="3367"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7"/>
      <c r="Q33" s="1577">
        <f t="shared" si="11"/>
        <v>111</v>
      </c>
      <c r="R33" s="1578" t="s">
        <v>8</v>
      </c>
      <c r="S33" s="1579">
        <f t="shared" si="12"/>
        <v>100</v>
      </c>
      <c r="T33" s="1578" t="s">
        <v>8</v>
      </c>
      <c r="U33" s="1579">
        <f t="shared" si="13"/>
        <v>100</v>
      </c>
      <c r="V33" s="1578" t="s">
        <v>8</v>
      </c>
      <c r="W33" s="1579">
        <f t="shared" si="14"/>
        <v>100</v>
      </c>
      <c r="X33" s="1572"/>
      <c r="Y33" s="3367"/>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7"/>
      <c r="Q34" s="1577">
        <f t="shared" si="11"/>
        <v>111</v>
      </c>
      <c r="R34" s="1578" t="s">
        <v>8</v>
      </c>
      <c r="S34" s="1579">
        <f t="shared" si="12"/>
        <v>100</v>
      </c>
      <c r="T34" s="1578" t="s">
        <v>8</v>
      </c>
      <c r="U34" s="1579">
        <f t="shared" si="13"/>
        <v>100</v>
      </c>
      <c r="V34" s="1578" t="s">
        <v>8</v>
      </c>
      <c r="W34" s="1579">
        <f t="shared" si="14"/>
        <v>100</v>
      </c>
      <c r="X34" s="1572"/>
      <c r="Y34" s="3367"/>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29" t="str">
        <f>A35</f>
        <v>成交单价（元/平方米）</v>
      </c>
      <c r="Q35" s="3329"/>
      <c r="R35" s="3436">
        <f>E35</f>
        <v>0</v>
      </c>
      <c r="S35" s="3436"/>
      <c r="T35" s="3436">
        <f>G35</f>
        <v>0</v>
      </c>
      <c r="U35" s="3436"/>
      <c r="V35" s="3436">
        <f>I35</f>
        <v>0</v>
      </c>
      <c r="W35" s="3436"/>
      <c r="X35" s="1564"/>
      <c r="Y35" s="1586"/>
      <c r="Z35" s="1564"/>
      <c r="AA35" s="1564"/>
      <c r="AB35" s="1564"/>
      <c r="AC35" s="1564"/>
    </row>
    <row r="36" spans="1:29" ht="15.75" thickBot="1">
      <c r="A36" s="618" t="s">
        <v>2777</v>
      </c>
      <c r="B36" s="891"/>
      <c r="C36" s="2668" t="e">
        <f>R37</f>
        <v>#DIV/0!</v>
      </c>
      <c r="D36" s="2669"/>
      <c r="E36" s="2670" t="e">
        <f>R36</f>
        <v>#DIV/0!</v>
      </c>
      <c r="F36" s="2670"/>
      <c r="G36" s="2668" t="e">
        <f>T36</f>
        <v>#DIV/0!</v>
      </c>
      <c r="H36" s="2669"/>
      <c r="I36" s="2670" t="e">
        <f>V36</f>
        <v>#DIV/0!</v>
      </c>
      <c r="J36" s="2669"/>
      <c r="K36" s="1617"/>
      <c r="L36" s="2154"/>
      <c r="M36" s="2155"/>
      <c r="N36" s="2144"/>
      <c r="O36" s="2155"/>
      <c r="P36" s="3329" t="str">
        <f>A36</f>
        <v>比较价格（元/平方米）</v>
      </c>
      <c r="Q36" s="3329"/>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564"/>
      <c r="Y36" s="1564"/>
      <c r="Z36" s="1564"/>
      <c r="AA36" s="1564"/>
      <c r="AB36" s="1564"/>
      <c r="AC36" s="1564"/>
    </row>
    <row r="37" spans="1:29" ht="15.75" thickBot="1">
      <c r="A37" s="624" t="s">
        <v>2950</v>
      </c>
      <c r="B37" s="625"/>
      <c r="C37" s="2671" t="e">
        <f>R37</f>
        <v>#DIV/0!</v>
      </c>
      <c r="D37" s="2671"/>
      <c r="E37" s="2671"/>
      <c r="F37" s="2671"/>
      <c r="G37" s="2671"/>
      <c r="H37" s="2671"/>
      <c r="I37" s="2671"/>
      <c r="J37" s="2671"/>
      <c r="K37" s="1618"/>
      <c r="L37" s="2154"/>
      <c r="M37" s="2155"/>
      <c r="N37" s="2155"/>
      <c r="O37" s="2155"/>
      <c r="P37" s="3326" t="str">
        <f>A37</f>
        <v>估价对象XX用房的比较价格（楼面单价，元/平方米）</v>
      </c>
      <c r="Q37" s="3327"/>
      <c r="R37" s="3435" t="e">
        <f>IF(F1="售价",ROUND(AVERAGE(R36:V36),0),ROUND(AVERAGE(R36:V36),1))</f>
        <v>#DIV/0!</v>
      </c>
      <c r="S37" s="3435"/>
      <c r="T37" s="3435"/>
      <c r="U37" s="3435"/>
      <c r="V37" s="3435"/>
      <c r="W37" s="3435"/>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2017-7</v>
      </c>
      <c r="D46" s="2843">
        <f>EDATE(C46,-1)</f>
        <v>42887</v>
      </c>
      <c r="E46" s="2843">
        <f t="shared" ref="E46:O46" si="16">EDATE(D46,-1)</f>
        <v>42856</v>
      </c>
      <c r="F46" s="2843">
        <f t="shared" si="16"/>
        <v>42826</v>
      </c>
      <c r="G46" s="2843">
        <f t="shared" si="16"/>
        <v>42795</v>
      </c>
      <c r="H46" s="2843">
        <f t="shared" si="16"/>
        <v>42767</v>
      </c>
      <c r="I46" s="2843">
        <f t="shared" si="16"/>
        <v>42736</v>
      </c>
      <c r="J46" s="2843">
        <f t="shared" si="16"/>
        <v>42705</v>
      </c>
      <c r="K46" s="2843">
        <f t="shared" si="16"/>
        <v>42675</v>
      </c>
      <c r="L46" s="2843">
        <f t="shared" si="16"/>
        <v>42644</v>
      </c>
      <c r="M46" s="2843">
        <f t="shared" si="16"/>
        <v>42614</v>
      </c>
      <c r="N46" s="2843">
        <f t="shared" si="16"/>
        <v>42583</v>
      </c>
      <c r="O46" s="2843">
        <f t="shared" si="16"/>
        <v>42552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2571</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2572</v>
      </c>
      <c r="C65" s="2633" t="s">
        <v>2573</v>
      </c>
      <c r="D65" s="2633" t="s">
        <v>2574</v>
      </c>
      <c r="E65" s="2633" t="s">
        <v>2575</v>
      </c>
      <c r="F65" s="2633" t="s">
        <v>2576</v>
      </c>
      <c r="G65" s="2633" t="s">
        <v>2577</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2314</v>
      </c>
      <c r="C1" s="3448" t="s">
        <v>2315</v>
      </c>
      <c r="D1" s="3449"/>
      <c r="E1" s="3449"/>
      <c r="F1" s="3449"/>
      <c r="G1" s="3449"/>
      <c r="H1" s="3449"/>
      <c r="I1" s="3449"/>
      <c r="J1" s="3449"/>
      <c r="K1" s="3449"/>
      <c r="L1" s="3449"/>
      <c r="M1" s="3449"/>
      <c r="N1" s="3449"/>
      <c r="O1" s="3449"/>
      <c r="P1" s="3449"/>
      <c r="Q1" s="3449"/>
      <c r="R1" s="3449"/>
      <c r="S1" s="3450"/>
      <c r="T1" s="2244" t="s">
        <v>2316</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2943</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2942</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2941</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2956</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2940</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2939</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2318</v>
      </c>
      <c r="B17" s="2288" t="s">
        <v>2319</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45" t="s">
        <v>20</v>
      </c>
      <c r="D22" s="3446"/>
      <c r="E22" s="3446"/>
      <c r="F22" s="3446"/>
      <c r="G22" s="3446"/>
      <c r="H22" s="3446"/>
      <c r="I22" s="3446"/>
      <c r="J22" s="3446"/>
      <c r="K22" s="3446"/>
      <c r="L22" s="3446"/>
      <c r="M22" s="3446"/>
      <c r="N22" s="3446"/>
      <c r="O22" s="3446"/>
      <c r="P22" s="3446"/>
      <c r="Q22" s="3447"/>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常州绿城置业有限公司：</v>
      </c>
    </row>
    <row r="4" spans="1:4" ht="37.5">
      <c r="A4" s="1797" t="str">
        <f>"受贵公司委托，我公司对"&amp;项目基本情况!K2&amp;项目基本情况!B9&amp;"进行了预评估。"</f>
        <v>受贵公司委托，我公司对江苏省常州市湖塘镇武宜路西侧出让国有建设用地使用权市场价格进行了预评估。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常州绿城置业有限公司使用的、位于江苏省常州市湖塘镇武宜路西侧出让国有建设用地使用权。根据，估价对象（分摊）出让国有建设用地使用权面积为100574平方米。根据出让合同、规划指标，估价对象规划建筑面积为289959.03平方米。</v>
      </c>
    </row>
    <row r="7" spans="1:4" ht="93.75">
      <c r="A7" s="2912" t="s">
        <v>2765</v>
      </c>
    </row>
    <row r="8" spans="1:4" ht="18.75">
      <c r="A8" s="1800" t="s">
        <v>1911</v>
      </c>
    </row>
    <row r="9" spans="1:4" ht="56.25">
      <c r="A9" s="1802"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2017年7月5日（评估专业人员勘察现场之日）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根据，估价对象（分摊）出让国有建设用地使用权面积为100574平方米。根据出让合同、规划指标，估价对象规划建筑面积为289959.03平方米。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2766</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2805</v>
      </c>
      <c r="C1" s="3043">
        <f>项目基本情况!D3</f>
        <v>42921</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2836</v>
      </c>
      <c r="C2" s="3044">
        <f>'数据-取费表'!B22</f>
        <v>2.5</v>
      </c>
      <c r="D2" s="3039" t="s">
        <v>2806</v>
      </c>
      <c r="E2" s="3042">
        <f ca="1">INDIRECT("I"&amp;$I$1)/100</f>
        <v>4.7500000000000001E-2</v>
      </c>
      <c r="G2" s="2979"/>
      <c r="H2" s="2979"/>
      <c r="I2" s="2979" t="s">
        <v>2807</v>
      </c>
      <c r="K2" s="2979"/>
      <c r="L2" s="2979"/>
      <c r="M2" s="2979"/>
      <c r="N2" s="2979" t="s">
        <v>2808</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2838</v>
      </c>
      <c r="C3" s="3041">
        <f>'数据-取费表'!B19</f>
        <v>0</v>
      </c>
      <c r="D3" s="3039" t="s">
        <v>2806</v>
      </c>
      <c r="E3" s="3042">
        <f ca="1">INDIRECT("J"&amp;$J$1)/100</f>
        <v>0</v>
      </c>
      <c r="G3" s="2981" t="s">
        <v>2809</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2837</v>
      </c>
      <c r="C4" s="3042">
        <f ca="1">N4/100</f>
        <v>1.4999999999999999E-2</v>
      </c>
      <c r="G4" s="2987" t="s">
        <v>2810</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2811</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2812</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2813</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2814</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2815</v>
      </c>
      <c r="C10" s="3006"/>
      <c r="D10" s="3006"/>
      <c r="E10" s="3006"/>
      <c r="F10" s="3006"/>
      <c r="G10" s="3006"/>
      <c r="H10" s="3006"/>
      <c r="I10" s="2980"/>
      <c r="J10" s="2980"/>
      <c r="K10" s="3006"/>
      <c r="L10" s="3007" t="s">
        <v>2816</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2817</v>
      </c>
      <c r="C11" s="3011" t="s">
        <v>2818</v>
      </c>
      <c r="D11" s="3012" t="s">
        <v>2819</v>
      </c>
      <c r="E11" s="3013"/>
      <c r="F11" s="3012" t="s">
        <v>2820</v>
      </c>
      <c r="G11" s="3014"/>
      <c r="H11" s="3013"/>
      <c r="I11" s="3012" t="s">
        <v>2821</v>
      </c>
      <c r="J11" s="3013"/>
      <c r="K11" s="3009"/>
      <c r="L11" s="3010" t="s">
        <v>2817</v>
      </c>
      <c r="M11" s="3011" t="s">
        <v>2818</v>
      </c>
      <c r="N11" s="3010" t="s">
        <v>2822</v>
      </c>
      <c r="O11" s="3012" t="s">
        <v>2823</v>
      </c>
      <c r="P11" s="3014"/>
      <c r="Q11" s="3014"/>
      <c r="R11" s="3014"/>
      <c r="S11" s="3014"/>
      <c r="T11" s="3013"/>
      <c r="U11" s="3012" t="s">
        <v>2824</v>
      </c>
      <c r="V11" s="3014"/>
      <c r="W11" s="3013"/>
      <c r="X11" s="3010" t="s">
        <v>2825</v>
      </c>
      <c r="Y11" s="3010" t="s">
        <v>2826</v>
      </c>
      <c r="Z11" s="3010" t="s">
        <v>2827</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2828</v>
      </c>
      <c r="E12" s="3019" t="s">
        <v>2829</v>
      </c>
      <c r="F12" s="3019" t="s">
        <v>2830</v>
      </c>
      <c r="G12" s="3019" t="s">
        <v>2831</v>
      </c>
      <c r="H12" s="3019" t="s">
        <v>2813</v>
      </c>
      <c r="I12" s="3020" t="s">
        <v>2832</v>
      </c>
      <c r="J12" s="3020" t="s">
        <v>2832</v>
      </c>
      <c r="K12" s="3016"/>
      <c r="L12" s="3017"/>
      <c r="M12" s="3018"/>
      <c r="N12" s="3017"/>
      <c r="O12" s="3020" t="s">
        <v>2833</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2834</v>
      </c>
      <c r="C13" s="3024">
        <v>42301</v>
      </c>
      <c r="D13" s="3025">
        <v>4.3499999999999996</v>
      </c>
      <c r="E13" s="3025">
        <v>4.3499999999999996</v>
      </c>
      <c r="F13" s="3025">
        <v>4.75</v>
      </c>
      <c r="G13" s="3025">
        <v>4.75</v>
      </c>
      <c r="H13" s="3025">
        <v>4.9000000000000004</v>
      </c>
      <c r="I13" s="3025">
        <v>2.75</v>
      </c>
      <c r="J13" s="3025">
        <v>3.25</v>
      </c>
      <c r="K13" s="3022"/>
      <c r="L13" s="3023" t="s">
        <v>2834</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2835</v>
      </c>
      <c r="Y42" s="3029" t="s">
        <v>2835</v>
      </c>
      <c r="Z42" s="3029" t="s">
        <v>2835</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2835</v>
      </c>
      <c r="Y43" s="3029" t="s">
        <v>2835</v>
      </c>
      <c r="Z43" s="3029" t="s">
        <v>2835</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2835</v>
      </c>
      <c r="Y44" s="3029" t="s">
        <v>2835</v>
      </c>
      <c r="Z44" s="3029" t="s">
        <v>2835</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2835</v>
      </c>
      <c r="Y45" s="3029" t="s">
        <v>2835</v>
      </c>
      <c r="Z45" s="3029" t="s">
        <v>2835</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2835</v>
      </c>
      <c r="Y46" s="3029" t="s">
        <v>2835</v>
      </c>
      <c r="Z46" s="3029" t="s">
        <v>2835</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2835</v>
      </c>
      <c r="Y47" s="3029" t="s">
        <v>2835</v>
      </c>
      <c r="Z47" s="3029" t="s">
        <v>2835</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2835</v>
      </c>
      <c r="Y48" s="3029" t="s">
        <v>2835</v>
      </c>
      <c r="Z48" s="3029" t="s">
        <v>2835</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2835</v>
      </c>
      <c r="Y49" s="3029" t="s">
        <v>2835</v>
      </c>
      <c r="Z49" s="3029" t="s">
        <v>2835</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2835</v>
      </c>
      <c r="Y50" s="3029" t="s">
        <v>2835</v>
      </c>
      <c r="Z50" s="3029" t="s">
        <v>2835</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2835</v>
      </c>
      <c r="V51" s="3029" t="s">
        <v>2835</v>
      </c>
      <c r="W51" s="3029" t="s">
        <v>2835</v>
      </c>
      <c r="X51" s="3029" t="s">
        <v>2835</v>
      </c>
      <c r="Y51" s="3029" t="s">
        <v>2835</v>
      </c>
      <c r="Z51" s="3029" t="s">
        <v>2835</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2835</v>
      </c>
      <c r="J55" s="3029" t="s">
        <v>2835</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topLeftCell="D39" zoomScale="80" zoomScaleNormal="80" workbookViewId="0">
      <selection activeCell="K35" activeCellId="2" sqref="A1:I45 H37 K35:K37"/>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2969</v>
      </c>
      <c r="D1" s="2056"/>
      <c r="E1" s="2422" t="s">
        <v>2386</v>
      </c>
      <c r="F1" s="2423">
        <f ca="1">J53</f>
        <v>34.119999999999997</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20252</v>
      </c>
      <c r="C2" s="2064"/>
      <c r="D2" s="2062"/>
      <c r="E2" s="2063"/>
      <c r="F2" s="2063"/>
      <c r="G2" s="1595"/>
      <c r="H2" s="2064"/>
      <c r="I2" s="2064"/>
      <c r="J2" s="2064"/>
      <c r="K2" s="2065"/>
      <c r="L2" s="2064"/>
      <c r="M2" s="2064"/>
    </row>
    <row r="3" spans="1:33" ht="18" customHeight="1" thickBot="1">
      <c r="A3" s="836" t="s">
        <v>1731</v>
      </c>
      <c r="B3" s="837">
        <f ca="1">IF(ISERROR(B2*10000/F43),0,ROUND(B2*10000/F43,0))</f>
        <v>20352</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2471</v>
      </c>
      <c r="C5" s="55">
        <f ca="1">C6+C10+C12</f>
        <v>1146</v>
      </c>
      <c r="D5" s="2531" t="s">
        <v>2474</v>
      </c>
      <c r="E5" s="2525"/>
      <c r="F5" s="2526"/>
      <c r="G5" s="1597"/>
      <c r="H5" s="784">
        <v>1</v>
      </c>
      <c r="I5" s="785" t="s">
        <v>2471</v>
      </c>
      <c r="J5" s="55">
        <f ca="1">J6+J10+J12</f>
        <v>0</v>
      </c>
      <c r="K5" s="2531" t="s">
        <v>2474</v>
      </c>
      <c r="L5" s="2525"/>
      <c r="M5" s="2526"/>
    </row>
    <row r="6" spans="1:33" ht="18" customHeight="1">
      <c r="A6" s="1836" t="s">
        <v>1829</v>
      </c>
      <c r="B6" s="3410" t="s">
        <v>2476</v>
      </c>
      <c r="C6" s="786">
        <f ca="1">ROUND(F6*F8*F7*(1-F9)/10000,0)</f>
        <v>1144</v>
      </c>
      <c r="D6" s="2532" t="s">
        <v>2475</v>
      </c>
      <c r="E6" s="787" t="s">
        <v>1742</v>
      </c>
      <c r="F6" s="788">
        <f ca="1">INDIRECT("'数据-取费表'!u"&amp;$G$1)</f>
        <v>3.5</v>
      </c>
      <c r="G6" s="1597"/>
      <c r="H6" s="2539" t="s">
        <v>2482</v>
      </c>
      <c r="I6" s="3410" t="s">
        <v>2476</v>
      </c>
      <c r="J6" s="786">
        <f ca="1">ROUND(M6*M8*M7*(1-M9)/10000,0)</f>
        <v>0</v>
      </c>
      <c r="K6" s="344" t="s">
        <v>1741</v>
      </c>
      <c r="L6" s="787" t="s">
        <v>1742</v>
      </c>
      <c r="M6" s="788">
        <f ca="1">INDIRECT("'数据-取费表'!z"&amp;$G$1)</f>
        <v>0</v>
      </c>
    </row>
    <row r="7" spans="1:33" ht="18" customHeight="1">
      <c r="A7" s="2535"/>
      <c r="B7" s="3411"/>
      <c r="C7" s="791"/>
      <c r="D7" s="792"/>
      <c r="E7" s="787" t="s">
        <v>1743</v>
      </c>
      <c r="F7" s="788">
        <f ca="1">IF(INDIRECT("'数据-取费表'!ah"&amp;$G$1)="",INDIRECT("'数据-取费表'!k"&amp;$G$1),INDIRECT("'数据-取费表'!ah"&amp;$G$1))</f>
        <v>9951.09</v>
      </c>
      <c r="G7" s="1597"/>
      <c r="H7" s="2524"/>
      <c r="I7" s="3411"/>
      <c r="J7" s="791"/>
      <c r="K7" s="792"/>
      <c r="L7" s="787" t="s">
        <v>1743</v>
      </c>
      <c r="M7" s="788">
        <f ca="1">F7</f>
        <v>9951.09</v>
      </c>
    </row>
    <row r="8" spans="1:33" ht="18" customHeight="1">
      <c r="A8" s="2528"/>
      <c r="B8" s="3412"/>
      <c r="C8" s="791"/>
      <c r="D8" s="792"/>
      <c r="E8" s="787" t="s">
        <v>1744</v>
      </c>
      <c r="F8" s="788">
        <f ca="1">INDIRECT("'数据-取费表'!ai"&amp;$G$1)</f>
        <v>365</v>
      </c>
      <c r="G8" s="1597"/>
      <c r="H8" s="2524"/>
      <c r="I8" s="3412"/>
      <c r="J8" s="791"/>
      <c r="K8" s="792"/>
      <c r="L8" s="787" t="s">
        <v>1744</v>
      </c>
      <c r="M8" s="788">
        <f ca="1">INDIRECT("'数据-取费表'!ai"&amp;$G$1)</f>
        <v>365</v>
      </c>
    </row>
    <row r="9" spans="1:33" ht="18" customHeight="1">
      <c r="A9" s="789"/>
      <c r="B9" s="3413"/>
      <c r="C9" s="791"/>
      <c r="D9" s="792"/>
      <c r="E9" s="787" t="s">
        <v>1745</v>
      </c>
      <c r="F9" s="797">
        <f ca="1">INDIRECT("'数据-取费表'!w"&amp;$G$1)</f>
        <v>0.1</v>
      </c>
      <c r="G9" s="1597"/>
      <c r="H9" s="2540"/>
      <c r="I9" s="3412"/>
      <c r="J9" s="791"/>
      <c r="K9" s="792"/>
      <c r="L9" s="798" t="s">
        <v>1745</v>
      </c>
      <c r="M9" s="799">
        <f ca="1">INDIRECT("'数据-取费表'!ab"&amp;$G$1)</f>
        <v>0</v>
      </c>
    </row>
    <row r="10" spans="1:33" ht="18" customHeight="1">
      <c r="A10" s="1836" t="s">
        <v>2480</v>
      </c>
      <c r="B10" s="2529" t="s">
        <v>2472</v>
      </c>
      <c r="C10" s="802">
        <f ca="1">ROUND(IF(F10="押一",F6*F8*F7/12*F11,IF(F10="押二",F6*F8*F7/12*2*F11,IF(F10="押三",F6*F8*F7/12*3*F11,C11*F11)))/10000,0)</f>
        <v>2</v>
      </c>
      <c r="D10" s="2536" t="s">
        <v>2479</v>
      </c>
      <c r="E10" s="2533" t="s">
        <v>2477</v>
      </c>
      <c r="F10" s="3158" t="s">
        <v>3039</v>
      </c>
      <c r="G10" s="1597"/>
      <c r="H10" s="2596" t="s">
        <v>2483</v>
      </c>
      <c r="I10" s="2601" t="s">
        <v>2472</v>
      </c>
      <c r="J10" s="786">
        <f ca="1">ROUND(IF(M10="押一",M6*M8*M7/12*M11,IF(M10="押二",M6*M8*M7/12*2*M11,IF(M10="押三",M6*M8*M7/12*3*M11,J11*M11)))/10000,0)</f>
        <v>0</v>
      </c>
      <c r="K10" s="2536" t="s">
        <v>2479</v>
      </c>
      <c r="L10" s="2533" t="s">
        <v>2477</v>
      </c>
      <c r="M10" s="2656"/>
    </row>
    <row r="11" spans="1:33" ht="18" customHeight="1">
      <c r="A11" s="793"/>
      <c r="B11" s="2530" t="s">
        <v>2587</v>
      </c>
      <c r="C11" s="2534"/>
      <c r="D11" s="792"/>
      <c r="E11" s="2533" t="s">
        <v>2478</v>
      </c>
      <c r="F11" s="799">
        <f ca="1">'数据-取费表'!B39</f>
        <v>1.4999999999999999E-2</v>
      </c>
      <c r="G11" s="1597"/>
      <c r="H11" s="2597"/>
      <c r="I11" s="2530" t="s">
        <v>2587</v>
      </c>
      <c r="J11" s="2534"/>
      <c r="K11" s="2598"/>
      <c r="L11" s="2533" t="s">
        <v>2478</v>
      </c>
      <c r="M11" s="2527">
        <f ca="1">'数据-取费表'!B39</f>
        <v>1.4999999999999999E-2</v>
      </c>
    </row>
    <row r="12" spans="1:33" ht="18" customHeight="1" thickBot="1">
      <c r="A12" s="2572" t="s">
        <v>2481</v>
      </c>
      <c r="B12" s="2573" t="s">
        <v>2473</v>
      </c>
      <c r="C12" s="2574"/>
      <c r="D12" s="2575"/>
      <c r="E12" s="2576"/>
      <c r="F12" s="2577"/>
      <c r="G12" s="1597"/>
      <c r="H12" s="2586" t="s">
        <v>2484</v>
      </c>
      <c r="I12" s="2599" t="s">
        <v>2473</v>
      </c>
      <c r="J12" s="2600"/>
      <c r="K12" s="2575"/>
      <c r="L12" s="2576"/>
      <c r="M12" s="2589"/>
    </row>
    <row r="13" spans="1:33" ht="18" customHeight="1" thickTop="1">
      <c r="A13" s="1835">
        <v>2</v>
      </c>
      <c r="B13" s="1833" t="s">
        <v>1746</v>
      </c>
      <c r="C13" s="795">
        <f ca="1">ROUND(C29*F13,0)</f>
        <v>3731</v>
      </c>
      <c r="D13" s="1840" t="s">
        <v>2307</v>
      </c>
      <c r="E13" s="1840" t="s">
        <v>1748</v>
      </c>
      <c r="F13" s="2571">
        <f ca="1">INDIRECT("'数据-取费表'!y"&amp;$G$1)</f>
        <v>1</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2250</v>
      </c>
      <c r="D14" s="1985" t="s">
        <v>1749</v>
      </c>
      <c r="E14" s="1986"/>
      <c r="F14" s="808"/>
      <c r="G14" s="1597"/>
      <c r="H14" s="1654" t="s">
        <v>1835</v>
      </c>
      <c r="I14" s="2241" t="s">
        <v>2843</v>
      </c>
      <c r="J14" s="53">
        <f ca="1">C29</f>
        <v>3731</v>
      </c>
      <c r="K14" s="26"/>
      <c r="L14" s="804"/>
      <c r="M14" s="805"/>
    </row>
    <row r="15" spans="1:33" s="2071" customFormat="1" ht="18" customHeight="1" thickBot="1">
      <c r="A15" s="1653" t="s">
        <v>1890</v>
      </c>
      <c r="B15" s="787" t="s">
        <v>648</v>
      </c>
      <c r="C15" s="53">
        <f ca="1">ROUND(C14*F15,0)</f>
        <v>68</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90</v>
      </c>
      <c r="K16" s="1827" t="s">
        <v>1754</v>
      </c>
      <c r="L16" s="2521"/>
      <c r="M16" s="2526"/>
    </row>
    <row r="17" spans="1:33" s="2071" customFormat="1" ht="18" customHeight="1">
      <c r="A17" s="1653" t="s">
        <v>1892</v>
      </c>
      <c r="B17" s="787" t="s">
        <v>654</v>
      </c>
      <c r="C17" s="53">
        <f ca="1">ROUND(F17*(F43+INDIRECT("'数据-取费表'!S"&amp;$G$1))/10000,0)</f>
        <v>250</v>
      </c>
      <c r="D17" s="787" t="s">
        <v>1755</v>
      </c>
      <c r="E17" s="787" t="s">
        <v>1756</v>
      </c>
      <c r="F17" s="56">
        <f>'数据-取费表'!B35</f>
        <v>200</v>
      </c>
      <c r="G17" s="1598"/>
      <c r="H17" s="1654" t="s">
        <v>1835</v>
      </c>
      <c r="I17" s="787" t="s">
        <v>657</v>
      </c>
      <c r="J17" s="53">
        <f ca="1">ROUND(IF(项目基本情况!B11="自然人",J5*M17,J18+J19+J20),0)</f>
        <v>34</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34</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2602</v>
      </c>
      <c r="D19" s="261" t="s">
        <v>1761</v>
      </c>
      <c r="E19" s="1988"/>
      <c r="F19" s="56"/>
      <c r="G19" s="1597"/>
      <c r="H19" s="1653" t="s">
        <v>1890</v>
      </c>
      <c r="I19" s="787" t="s">
        <v>1762</v>
      </c>
      <c r="J19" s="53">
        <f ca="1">IF(K19="按租金收入计税",ROUND(J5*M19,1),ROUND(C29*F33*0.7,1))</f>
        <v>31.3</v>
      </c>
      <c r="K19" s="814" t="s">
        <v>666</v>
      </c>
      <c r="L19" s="787" t="s">
        <v>1751</v>
      </c>
      <c r="M19" s="812">
        <f>IF(K19="按租金收入计税",'数据-取费表'!B51,'数据-取费表'!B50)</f>
        <v>1.2E-2</v>
      </c>
    </row>
    <row r="20" spans="1:33" s="2071" customFormat="1" ht="18" customHeight="1">
      <c r="A20" s="1654" t="s">
        <v>1894</v>
      </c>
      <c r="B20" s="787" t="s">
        <v>667</v>
      </c>
      <c r="C20" s="53">
        <f ca="1">ROUND(C19*F20,0)</f>
        <v>39</v>
      </c>
      <c r="D20" s="815" t="s">
        <v>1763</v>
      </c>
      <c r="E20" s="787" t="s">
        <v>1751</v>
      </c>
      <c r="F20" s="812">
        <f>'数据-取费表'!B37</f>
        <v>1.4999999999999999E-2</v>
      </c>
      <c r="G20" s="1598"/>
      <c r="H20" s="1656" t="s">
        <v>1885</v>
      </c>
      <c r="I20" s="344" t="s">
        <v>1764</v>
      </c>
      <c r="J20" s="54">
        <f ca="1">ROUND(M20*M21/10000,0)</f>
        <v>3</v>
      </c>
      <c r="K20" s="817" t="s">
        <v>1765</v>
      </c>
      <c r="L20" s="787" t="s">
        <v>1766</v>
      </c>
      <c r="M20" s="643">
        <f>'数据-取费表'!B52</f>
        <v>8</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2308</v>
      </c>
      <c r="E21" s="787" t="s">
        <v>1769</v>
      </c>
      <c r="F21" s="812">
        <f>'数据-取费表'!B38</f>
        <v>1.4999999999999999E-2</v>
      </c>
      <c r="G21" s="1598"/>
      <c r="H21" s="2541"/>
      <c r="I21" s="796"/>
      <c r="J21" s="69"/>
      <c r="K21" s="819"/>
      <c r="L21" s="787" t="s">
        <v>1770</v>
      </c>
      <c r="M21" s="788">
        <f ca="1">INDIRECT("'数据-取费表'!r"&amp;$G$1)</f>
        <v>4335.46</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56</v>
      </c>
      <c r="K22" s="2519" t="s">
        <v>1773</v>
      </c>
      <c r="L22" s="787" t="s">
        <v>1751</v>
      </c>
      <c r="M22" s="820">
        <f ca="1">INDIRECT("'数据-取费表'!Ak"&amp;$G$1)</f>
        <v>1.4999999999999999E-2</v>
      </c>
    </row>
    <row r="23" spans="1:33" s="2071" customFormat="1" ht="18" customHeight="1">
      <c r="A23" s="1653" t="s">
        <v>1836</v>
      </c>
      <c r="B23" s="787" t="s">
        <v>2549</v>
      </c>
      <c r="C23" s="53">
        <f ca="1">ROUND(IF('数据-取费表'!B22&lt;=1,(C19+C20)*F24*F23/2,(C19+C20)*(POWER((1+F24),F23/2)-1)),0)</f>
        <v>158</v>
      </c>
      <c r="D23" s="2606"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2519" t="s">
        <v>1775</v>
      </c>
      <c r="L23" s="787" t="s">
        <v>1751</v>
      </c>
      <c r="M23" s="821">
        <f ca="1">INDIRECT("'数据-取费表'!Al"&amp;$G$1)</f>
        <v>1.5E-3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8.9999999999999998E-4</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0.02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2839</v>
      </c>
      <c r="J25" s="795">
        <f ca="1">J5-J16</f>
        <v>-90</v>
      </c>
      <c r="K25" s="2583" t="s">
        <v>1781</v>
      </c>
      <c r="L25" s="2584"/>
      <c r="M25" s="2585"/>
    </row>
    <row r="26" spans="1:33" ht="18" customHeight="1">
      <c r="A26" s="1653" t="s">
        <v>1836</v>
      </c>
      <c r="B26" s="787" t="s">
        <v>2450</v>
      </c>
      <c r="C26" s="53">
        <f ca="1">ROUND((C19+C20)*F26,0)</f>
        <v>660</v>
      </c>
      <c r="D26" s="815" t="s">
        <v>1782</v>
      </c>
      <c r="E26" s="798" t="s">
        <v>1783</v>
      </c>
      <c r="F26" s="797">
        <f ca="1">INDIRECT("'数据-取费表'!q"&amp;$G$1)</f>
        <v>0.25</v>
      </c>
      <c r="G26" s="1597"/>
      <c r="H26" s="2537" t="s">
        <v>1784</v>
      </c>
      <c r="I26" s="2242" t="s">
        <v>2844</v>
      </c>
      <c r="J26" s="786">
        <f ca="1">IF(J5&lt;&gt;0,ROUND(J25*(1-((1+M28)/(1+M26))^M27)/(M26-M28),0),0)</f>
        <v>0</v>
      </c>
      <c r="K26" s="817" t="s">
        <v>1785</v>
      </c>
      <c r="L26" s="787" t="s">
        <v>2431</v>
      </c>
      <c r="M26" s="797">
        <f ca="1">INDIRECT("'数据-取费表'!I"&amp;$G$1)</f>
        <v>5.5E-2</v>
      </c>
    </row>
    <row r="27" spans="1:33" ht="18" customHeight="1">
      <c r="A27" s="1653" t="s">
        <v>1837</v>
      </c>
      <c r="B27" s="787" t="s">
        <v>687</v>
      </c>
      <c r="C27" s="53">
        <f ca="1">ROUND(F21*F26,4)</f>
        <v>3.8E-3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2309</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2310</v>
      </c>
      <c r="C29" s="2579">
        <f ca="1">ROUND((C19+C20+C23+C26)/(1-F21-C24-C27-C28),0)</f>
        <v>3731</v>
      </c>
      <c r="D29" s="2580"/>
      <c r="E29" s="2581"/>
      <c r="F29" s="2582"/>
      <c r="G29" s="1598"/>
      <c r="H29" s="826" t="s">
        <v>1791</v>
      </c>
      <c r="I29" s="827" t="s">
        <v>1792</v>
      </c>
      <c r="J29" s="828">
        <f ca="1">ROUND(J26/(1+F40)^F41,0)</f>
        <v>0</v>
      </c>
      <c r="K29" s="829" t="s">
        <v>1793</v>
      </c>
      <c r="L29" s="830"/>
      <c r="M29" s="831">
        <f ca="1">INDIRECT("'数据-取费表'!k"&amp;$G$1)</f>
        <v>9951.09</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180</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95.9</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61.1</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31.3</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3.5</v>
      </c>
      <c r="D34" s="817" t="s">
        <v>1803</v>
      </c>
      <c r="E34" s="787" t="s">
        <v>1804</v>
      </c>
      <c r="F34" s="643">
        <f>'数据-取费表'!B52</f>
        <v>8</v>
      </c>
      <c r="G34" s="2069"/>
      <c r="H34" s="2072"/>
      <c r="I34" s="838" t="s">
        <v>1818</v>
      </c>
      <c r="J34" s="839"/>
      <c r="K34" s="2087"/>
      <c r="L34" s="2086"/>
      <c r="M34" s="2086"/>
    </row>
    <row r="35" spans="1:18" ht="18" customHeight="1">
      <c r="A35" s="818"/>
      <c r="B35" s="796"/>
      <c r="C35" s="69"/>
      <c r="D35" s="819"/>
      <c r="E35" s="787" t="s">
        <v>1805</v>
      </c>
      <c r="F35" s="788">
        <f ca="1">INDIRECT("'数据-取费表'!r"&amp;$G$1)</f>
        <v>4335.46</v>
      </c>
      <c r="G35" s="2069"/>
      <c r="H35" s="2072"/>
      <c r="I35" s="840" t="s">
        <v>1819</v>
      </c>
      <c r="J35" s="841">
        <f ca="1">ROUND(C13*J36,0)</f>
        <v>317</v>
      </c>
      <c r="K35" s="2085"/>
      <c r="L35" s="2084"/>
      <c r="M35" s="2084"/>
    </row>
    <row r="36" spans="1:18" ht="18" customHeight="1">
      <c r="A36" s="1654" t="s">
        <v>1894</v>
      </c>
      <c r="B36" s="787" t="s">
        <v>1806</v>
      </c>
      <c r="C36" s="53">
        <f ca="1">ROUND(C29*F36,1)</f>
        <v>56</v>
      </c>
      <c r="D36" s="1983" t="s">
        <v>1807</v>
      </c>
      <c r="E36" s="787" t="s">
        <v>1800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5.6</v>
      </c>
      <c r="D37" s="1983" t="s">
        <v>1808</v>
      </c>
      <c r="E37" s="787" t="s">
        <v>1800</v>
      </c>
      <c r="F37" s="821">
        <f ca="1">INDIRECT("'数据-取费表'!Al"&amp;$G$1)</f>
        <v>1.5E-3</v>
      </c>
      <c r="G37" s="2069"/>
      <c r="H37" s="2084"/>
      <c r="I37" s="844" t="s">
        <v>1821</v>
      </c>
      <c r="J37" s="845"/>
      <c r="K37" s="2089"/>
      <c r="L37" s="2084"/>
      <c r="M37" s="2084"/>
    </row>
    <row r="38" spans="1:18" ht="18" customHeight="1" thickBot="1">
      <c r="A38" s="2586" t="s">
        <v>1896</v>
      </c>
      <c r="B38" s="2581" t="s">
        <v>667</v>
      </c>
      <c r="C38" s="2579">
        <f ca="1">ROUND(C5*F38,1)</f>
        <v>22.9</v>
      </c>
      <c r="D38" s="2580" t="s">
        <v>1809</v>
      </c>
      <c r="E38" s="2581" t="s">
        <v>1800</v>
      </c>
      <c r="F38" s="2577">
        <f ca="1">INDIRECT("'数据-取费表'!Am"&amp;$G$1)</f>
        <v>0.02</v>
      </c>
      <c r="G38" s="2069"/>
      <c r="H38" s="2084"/>
      <c r="I38" s="846" t="s">
        <v>1822</v>
      </c>
      <c r="J38" s="847"/>
      <c r="K38" s="2090"/>
      <c r="L38" s="2084"/>
      <c r="M38" s="2084"/>
    </row>
    <row r="39" spans="1:18" ht="24.6" customHeight="1" thickTop="1">
      <c r="A39" s="1835" t="s">
        <v>1899</v>
      </c>
      <c r="B39" s="3049" t="s">
        <v>2839</v>
      </c>
      <c r="C39" s="795">
        <f ca="1">C5-C30</f>
        <v>966</v>
      </c>
      <c r="D39" s="2583" t="s">
        <v>1810</v>
      </c>
      <c r="E39" s="2584"/>
      <c r="F39" s="2585"/>
      <c r="G39" s="2069"/>
      <c r="H39" s="2084"/>
      <c r="I39" s="840" t="s">
        <v>1823</v>
      </c>
      <c r="J39" s="848">
        <f ca="1">ROUND(J35/C39,3)</f>
        <v>0.32800000000000001</v>
      </c>
      <c r="K39" s="2090"/>
      <c r="L39" s="2084"/>
      <c r="M39" s="2084"/>
    </row>
    <row r="40" spans="1:18" ht="18" customHeight="1">
      <c r="A40" s="784" t="s">
        <v>1900</v>
      </c>
      <c r="B40" s="2242" t="s">
        <v>2311</v>
      </c>
      <c r="C40" s="786">
        <f ca="1">ROUND(C39*(1-((1+F42)/(1+F40))^F41)/(F40-F42),0)</f>
        <v>20167</v>
      </c>
      <c r="D40" s="817" t="s">
        <v>1811</v>
      </c>
      <c r="E40" s="787" t="s">
        <v>2431</v>
      </c>
      <c r="F40" s="797">
        <f ca="1">INDIRECT("'数据-取费表'!I"&amp;$G$1)</f>
        <v>5.5E-2</v>
      </c>
      <c r="G40" s="2069"/>
      <c r="H40" s="2069"/>
      <c r="I40" s="840" t="s">
        <v>1824</v>
      </c>
      <c r="J40" s="848">
        <f ca="1">1-J39</f>
        <v>0.67199999999999993</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34.119999999999997</v>
      </c>
      <c r="G41" s="2069"/>
      <c r="H41" s="1994"/>
      <c r="I41" s="846" t="s">
        <v>1825</v>
      </c>
      <c r="J41" s="849"/>
      <c r="K41" s="2089"/>
      <c r="L41" s="1994"/>
      <c r="M41" s="1994"/>
    </row>
    <row r="42" spans="1:18" ht="18" customHeight="1">
      <c r="A42" s="793"/>
      <c r="B42" s="794"/>
      <c r="C42" s="795"/>
      <c r="D42" s="819"/>
      <c r="E42" s="787" t="s">
        <v>1814</v>
      </c>
      <c r="F42" s="797">
        <f ca="1">INDIRECT("'数据-取费表'!v"&amp;$G$1)</f>
        <v>2.5000000000000001E-2</v>
      </c>
      <c r="G42" s="2069"/>
      <c r="H42" s="1994"/>
      <c r="I42" s="850" t="s">
        <v>1826</v>
      </c>
      <c r="J42" s="848">
        <f ca="1">ROUND(C13/C40,3)</f>
        <v>0.185</v>
      </c>
      <c r="K42" s="2089"/>
      <c r="L42" s="1994"/>
      <c r="M42" s="1994"/>
    </row>
    <row r="43" spans="1:18" ht="18" customHeight="1" thickBot="1">
      <c r="A43" s="826" t="s">
        <v>1791</v>
      </c>
      <c r="B43" s="827" t="s">
        <v>1815</v>
      </c>
      <c r="C43" s="828">
        <f ca="1">ROUND(C40*10000/F43,0)</f>
        <v>20266</v>
      </c>
      <c r="D43" s="829" t="s">
        <v>1816</v>
      </c>
      <c r="E43" s="830" t="s">
        <v>1817</v>
      </c>
      <c r="F43" s="831">
        <f ca="1">INDIRECT("'数据-取费表'!k"&amp;$G$1)</f>
        <v>9951.09</v>
      </c>
      <c r="G43" s="2069"/>
      <c r="H43" s="1994"/>
      <c r="I43" s="850" t="s">
        <v>1827</v>
      </c>
      <c r="J43" s="851">
        <f ca="1">1-J42</f>
        <v>0.81499999999999995</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f ca="1">C67-C40</f>
        <v>-21632</v>
      </c>
      <c r="D46" s="2092"/>
      <c r="E46" s="2092"/>
      <c r="F46" s="2092"/>
      <c r="I46" s="2388" t="s">
        <v>2354</v>
      </c>
      <c r="J46" s="2389"/>
      <c r="K46" s="2390"/>
      <c r="L46" s="2391">
        <f ca="1">IF(M47="住宅",0,IF(L48&gt;J51,L60,J60))</f>
        <v>85</v>
      </c>
      <c r="O46" s="2429" t="s">
        <v>2422</v>
      </c>
      <c r="P46" s="1597"/>
      <c r="Q46" s="1609"/>
      <c r="R46" s="1597"/>
    </row>
    <row r="47" spans="1:18" s="2066" customFormat="1" ht="18" customHeight="1" thickBot="1">
      <c r="A47" s="2382">
        <v>1</v>
      </c>
      <c r="B47" s="2383" t="s">
        <v>636</v>
      </c>
      <c r="C47" s="2609">
        <f ca="1">C48+C52+C54</f>
        <v>0</v>
      </c>
      <c r="D47" s="2092"/>
      <c r="E47" s="2092"/>
      <c r="F47" s="2092"/>
      <c r="I47" s="2392" t="s">
        <v>2355</v>
      </c>
      <c r="J47" s="2397" t="s">
        <v>2986</v>
      </c>
      <c r="K47" s="2398" t="s">
        <v>2361</v>
      </c>
      <c r="L47" s="2399">
        <f ca="1">INDIRECT("'数据-取费表'!d"&amp;$G$1)</f>
        <v>40</v>
      </c>
      <c r="M47" s="1609" t="str">
        <f>IF(ISNUMBER(FIND("住宅",C1)),"住宅","非住宅")</f>
        <v>非住宅</v>
      </c>
      <c r="O47" s="2430" t="s">
        <v>2387</v>
      </c>
      <c r="P47" s="2431" t="s">
        <v>2388</v>
      </c>
      <c r="Q47" s="2432" t="s">
        <v>2389</v>
      </c>
      <c r="R47" s="2431" t="s">
        <v>2390</v>
      </c>
    </row>
    <row r="48" spans="1:18" s="2066" customFormat="1" ht="18" customHeight="1" thickBot="1">
      <c r="A48" s="2678" t="s">
        <v>2551</v>
      </c>
      <c r="B48" s="2679" t="s">
        <v>2552</v>
      </c>
      <c r="C48" s="2384">
        <f ca="1">ROUND(F48*F50*F49*(1-F51)/10000,0)</f>
        <v>0</v>
      </c>
      <c r="D48" s="2385" t="s">
        <v>637</v>
      </c>
      <c r="E48" s="2386" t="s">
        <v>2306</v>
      </c>
      <c r="F48" s="2387"/>
      <c r="G48" s="2097"/>
      <c r="I48" s="2393" t="s">
        <v>2356</v>
      </c>
      <c r="J48" s="2400" t="s">
        <v>2362</v>
      </c>
      <c r="K48" s="2401" t="s">
        <v>2363</v>
      </c>
      <c r="L48" s="2402">
        <f ca="1">INDIRECT("'数据-取费表'!f"&amp;$G$1)</f>
        <v>34.119999999999997</v>
      </c>
      <c r="O48" s="2433" t="s">
        <v>2391</v>
      </c>
      <c r="P48" s="2434" t="s">
        <v>2417</v>
      </c>
      <c r="Q48" s="2435">
        <f ca="1">C40+J29</f>
        <v>20167</v>
      </c>
      <c r="R48" s="2434" t="s">
        <v>2392</v>
      </c>
    </row>
    <row r="49" spans="1:18" s="2066" customFormat="1" ht="18" customHeight="1" thickBot="1">
      <c r="A49" s="789"/>
      <c r="B49" s="790"/>
      <c r="C49" s="791"/>
      <c r="D49" s="792"/>
      <c r="E49" s="787" t="s">
        <v>1743</v>
      </c>
      <c r="F49" s="788">
        <f ca="1">F7</f>
        <v>9951.09</v>
      </c>
      <c r="G49" s="2097"/>
      <c r="H49" s="2100"/>
      <c r="I49" s="2393" t="s">
        <v>2357</v>
      </c>
      <c r="J49" s="2403">
        <v>2017</v>
      </c>
      <c r="K49" s="2404" t="s">
        <v>2364</v>
      </c>
      <c r="L49" s="2405"/>
      <c r="O49" s="2433" t="s">
        <v>2393</v>
      </c>
      <c r="P49" s="2434" t="s">
        <v>2418</v>
      </c>
      <c r="Q49" s="2435">
        <f ca="1">J60</f>
        <v>85</v>
      </c>
      <c r="R49" s="2434" t="s">
        <v>2394</v>
      </c>
    </row>
    <row r="50" spans="1:18" s="2066" customFormat="1" ht="18" customHeight="1" thickBot="1">
      <c r="A50" s="789"/>
      <c r="B50" s="790"/>
      <c r="C50" s="791"/>
      <c r="D50" s="792"/>
      <c r="E50" s="787" t="s">
        <v>1744</v>
      </c>
      <c r="F50" s="788">
        <f ca="1">F8</f>
        <v>365</v>
      </c>
      <c r="G50" s="2105"/>
      <c r="H50" s="2100"/>
      <c r="I50" s="2393" t="s">
        <v>2358</v>
      </c>
      <c r="J50" s="2406">
        <f>SUMPRODUCT((I63:I65=J47)*(J62:L62=J48)*(J63:L65))</f>
        <v>60</v>
      </c>
      <c r="K50" s="2404" t="s">
        <v>2365</v>
      </c>
      <c r="L50" s="2405"/>
      <c r="O50" s="2436" t="s">
        <v>2395</v>
      </c>
      <c r="P50" s="2434" t="s">
        <v>2419</v>
      </c>
      <c r="Q50" s="2435">
        <f ca="1">C29</f>
        <v>3731</v>
      </c>
      <c r="R50" s="2434" t="s">
        <v>2392</v>
      </c>
    </row>
    <row r="51" spans="1:18" s="2066" customFormat="1" ht="18" customHeight="1" thickBot="1">
      <c r="A51" s="789"/>
      <c r="B51" s="790"/>
      <c r="C51" s="791"/>
      <c r="D51" s="792"/>
      <c r="E51" s="787" t="s">
        <v>641</v>
      </c>
      <c r="F51" s="2381"/>
      <c r="H51" s="2100"/>
      <c r="I51" s="2394" t="s">
        <v>2359</v>
      </c>
      <c r="J51" s="2407">
        <f>IF(J49="",J50,J49+J50-YEAR('数据-取费表'!B2))</f>
        <v>60</v>
      </c>
      <c r="K51" s="2393" t="s">
        <v>2366</v>
      </c>
      <c r="L51" s="2408">
        <f ca="1">ROUND(-PV(INDIRECT("'数据-取费表'!h"&amp;$G$1),L48,(C39-C13*J35),0),0)</f>
        <v>-19162407</v>
      </c>
      <c r="O51" s="2436" t="s">
        <v>2396</v>
      </c>
      <c r="P51" s="2434" t="s">
        <v>2397</v>
      </c>
      <c r="Q51" s="2437">
        <f ca="1">J58</f>
        <v>0.43099999999999999</v>
      </c>
      <c r="R51" s="2438"/>
    </row>
    <row r="52" spans="1:18" s="2066" customFormat="1" ht="18" customHeight="1" thickBot="1">
      <c r="A52" s="784" t="s">
        <v>2550</v>
      </c>
      <c r="B52" s="2529" t="s">
        <v>2472</v>
      </c>
      <c r="C52" s="802">
        <f ca="1">ROUND(IF(F52="押一",F48*F50*F49/12*F11,IF(F52="押二",F48*F50*F49/12*2*F11,IF(F52="押三",F48*F50*F49/12*3*F11,C53*F11)))/10000,0)</f>
        <v>0</v>
      </c>
      <c r="D52" s="2536" t="s">
        <v>2479</v>
      </c>
      <c r="E52" s="2533" t="s">
        <v>2477</v>
      </c>
      <c r="F52" s="2656"/>
      <c r="I52" s="2395" t="s">
        <v>2433</v>
      </c>
      <c r="J52" s="2409">
        <v>0.09</v>
      </c>
      <c r="K52" s="2395" t="s">
        <v>2432</v>
      </c>
      <c r="L52" s="2409"/>
      <c r="O52" s="2436" t="s">
        <v>2398</v>
      </c>
      <c r="P52" s="2434" t="s">
        <v>2399</v>
      </c>
      <c r="Q52" s="2437">
        <f>J52</f>
        <v>0.09</v>
      </c>
      <c r="R52" s="2438"/>
    </row>
    <row r="53" spans="1:18" s="2066" customFormat="1" ht="39.75" customHeight="1" thickBot="1">
      <c r="A53" s="789"/>
      <c r="B53" s="2530" t="s">
        <v>2587</v>
      </c>
      <c r="C53" s="2534"/>
      <c r="D53" s="2536"/>
      <c r="E53" s="2533"/>
      <c r="F53" s="803"/>
      <c r="I53" s="2396" t="s">
        <v>2360</v>
      </c>
      <c r="J53" s="2410">
        <f ca="1">IF(M47="住宅",J51,MIN(J51,L48))</f>
        <v>34.119999999999997</v>
      </c>
      <c r="K53" s="34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2"/>
      <c r="O53" s="2436" t="s">
        <v>2400</v>
      </c>
      <c r="P53" s="2434" t="s">
        <v>2401</v>
      </c>
      <c r="Q53" s="2435">
        <f ca="1">J53</f>
        <v>34.119999999999997</v>
      </c>
      <c r="R53" s="2434" t="s">
        <v>2402</v>
      </c>
    </row>
    <row r="54" spans="1:18" s="2066" customFormat="1" ht="18" customHeight="1" thickBot="1">
      <c r="A54" s="2572" t="s">
        <v>2481</v>
      </c>
      <c r="B54" s="2573" t="s">
        <v>2473</v>
      </c>
      <c r="C54" s="2574"/>
      <c r="D54" s="2536"/>
      <c r="E54" s="2533"/>
      <c r="F54" s="803"/>
      <c r="K54" s="2093"/>
      <c r="O54" s="2433" t="s">
        <v>2403</v>
      </c>
      <c r="P54" s="2434" t="s">
        <v>2420</v>
      </c>
      <c r="Q54" s="2435">
        <f ca="1">Q48+Q49</f>
        <v>20252</v>
      </c>
      <c r="R54" s="2438" t="s">
        <v>2404</v>
      </c>
    </row>
    <row r="55" spans="1:18" s="2066" customFormat="1" ht="18" customHeight="1" thickTop="1" thickBot="1">
      <c r="A55" s="800">
        <v>2</v>
      </c>
      <c r="B55" s="801" t="s">
        <v>645</v>
      </c>
      <c r="C55" s="802">
        <f ca="1">C13</f>
        <v>3731</v>
      </c>
      <c r="D55" s="798"/>
      <c r="E55" s="798"/>
      <c r="F55" s="803"/>
      <c r="I55" s="3142" t="s">
        <v>2367</v>
      </c>
      <c r="J55" s="3141">
        <f ca="1">ROUND(IF(J47="钢混",J57/J50,1-(1-2%)*(J50-J57)/J50),3)</f>
        <v>0.43099999999999999</v>
      </c>
      <c r="K55" s="2411" t="s">
        <v>2368</v>
      </c>
      <c r="L55" s="2412"/>
      <c r="O55" s="2439" t="s">
        <v>2423</v>
      </c>
      <c r="P55" s="1597"/>
      <c r="Q55" s="1609"/>
      <c r="R55" s="1597"/>
    </row>
    <row r="56" spans="1:18" s="2066" customFormat="1" ht="42.75" customHeight="1" thickBot="1">
      <c r="A56" s="1655"/>
      <c r="B56" s="2241" t="s">
        <v>2312</v>
      </c>
      <c r="C56" s="53">
        <f ca="1">C29</f>
        <v>3731</v>
      </c>
      <c r="D56" s="2675"/>
      <c r="E56" s="787"/>
      <c r="F56" s="812"/>
      <c r="I56" s="2413" t="s">
        <v>2369</v>
      </c>
      <c r="J56" s="2421" t="s">
        <v>2978</v>
      </c>
      <c r="K56" s="2393" t="s">
        <v>2374</v>
      </c>
      <c r="L56" s="2402" t="str">
        <f ca="1">IF(L48&lt;J51,"——",L48-J51)</f>
        <v>——</v>
      </c>
      <c r="O56" s="2430" t="s">
        <v>2387</v>
      </c>
      <c r="P56" s="2431" t="s">
        <v>2388</v>
      </c>
      <c r="Q56" s="2432" t="s">
        <v>2389</v>
      </c>
      <c r="R56" s="2431" t="s">
        <v>2390</v>
      </c>
    </row>
    <row r="57" spans="1:18" s="2066" customFormat="1" ht="28.5" customHeight="1" thickBot="1">
      <c r="A57" s="800" t="s">
        <v>1752</v>
      </c>
      <c r="B57" s="801" t="s">
        <v>652</v>
      </c>
      <c r="C57" s="802">
        <f ca="1">ROUND(C58+C63+C64+C65,0)</f>
        <v>96</v>
      </c>
      <c r="D57" s="26" t="s">
        <v>1754</v>
      </c>
      <c r="E57" s="2676"/>
      <c r="F57" s="56"/>
      <c r="I57" s="2414" t="s">
        <v>2370</v>
      </c>
      <c r="J57" s="2416">
        <f ca="1">IF(OR(M47="住宅",J51&lt;L48,J56="是"),"——",J51-L48)</f>
        <v>25.880000000000003</v>
      </c>
      <c r="K57" s="2393" t="s">
        <v>2375</v>
      </c>
      <c r="L57" s="2402" t="str">
        <f ca="1">IF(L48&lt;J51,"——",IF(L55="比较法",L49,IF(L55="基准地价",L50,L51)))</f>
        <v>——</v>
      </c>
      <c r="O57" s="2433" t="s">
        <v>2391</v>
      </c>
      <c r="P57" s="2434" t="s">
        <v>2421</v>
      </c>
      <c r="Q57" s="2435">
        <f ca="1">C40+J29</f>
        <v>20167</v>
      </c>
      <c r="R57" s="2434" t="s">
        <v>2392</v>
      </c>
    </row>
    <row r="58" spans="1:18" s="2066" customFormat="1" ht="28.5" customHeight="1" thickBot="1">
      <c r="A58" s="1654" t="s">
        <v>1829</v>
      </c>
      <c r="B58" s="787" t="s">
        <v>657</v>
      </c>
      <c r="C58" s="53">
        <f ca="1">ROUND(IF(项目基本情况!B11="自然人",C47*F58,C59+C60+C61),1)</f>
        <v>34.799999999999997</v>
      </c>
      <c r="D58" s="2674" t="s">
        <v>658</v>
      </c>
      <c r="E58" s="2675" t="s">
        <v>691</v>
      </c>
      <c r="F58" s="813" t="str">
        <f ca="1">IF(项目基本情况!B11="企业","",IF(INDIRECT("'数据-取费表'!c"&amp;$G$1)="住宅",5%,IF(F48*F49*F50/12/(1+'数据-取费表'!C42)&gt;20000,12%,7%)))</f>
        <v/>
      </c>
      <c r="I58" s="2414" t="s">
        <v>2371</v>
      </c>
      <c r="J58" s="3143">
        <f ca="1">IF(J55&lt;0.4,0.4,J55)</f>
        <v>0.43099999999999999</v>
      </c>
      <c r="K58" s="2393" t="s">
        <v>2376</v>
      </c>
      <c r="L58" s="2402">
        <f ca="1">IF(ISERROR(POWER(1+L52,L47-L48)*(POWER(1+L52,L48)-1)/(POWER(1+L52,L47)-1)),0,POWER(1+L52,L47-L48)*(POWER(1+L52,L48)-1)/(POWER(1+L52,L47)-1))</f>
        <v>0</v>
      </c>
      <c r="O58" s="2433" t="s">
        <v>2393</v>
      </c>
      <c r="P58" s="2434" t="s">
        <v>2424</v>
      </c>
      <c r="Q58" s="2435">
        <f ca="1">L60</f>
        <v>0</v>
      </c>
      <c r="R58" s="2438" t="s">
        <v>2426</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2372</v>
      </c>
      <c r="J59" s="2416">
        <f ca="1">IF(OR(M47="住宅",J51&lt;L48,J56="是"),"——",ROUND(C29*J58,0))</f>
        <v>1608</v>
      </c>
      <c r="K59" s="2393" t="s">
        <v>2377</v>
      </c>
      <c r="L59" s="2402">
        <f ca="1">IF(ISERROR(POWER(1+L52,L47-J51)*(POWER(1+L52,J51)-1)/(POWER(1+L52,L47)-1)),0,POWER(1+L52,L47-J51)*(POWER(1+L52,J51)-1)/(POWER(1+L52,L47)-1))</f>
        <v>0</v>
      </c>
      <c r="O59" s="2436" t="s">
        <v>2395</v>
      </c>
      <c r="P59" s="2434" t="s">
        <v>2425</v>
      </c>
      <c r="Q59" s="2435">
        <f>IF(L55="比较法",L49,IF(L55="基准地价",L50,0))</f>
        <v>0</v>
      </c>
      <c r="R59" s="2434" t="s">
        <v>2392</v>
      </c>
    </row>
    <row r="60" spans="1:18" s="2066" customFormat="1" ht="18" customHeight="1" thickBot="1">
      <c r="A60" s="1653" t="s">
        <v>1837</v>
      </c>
      <c r="B60" s="787" t="s">
        <v>1762</v>
      </c>
      <c r="C60" s="53">
        <f ca="1">IF(D60="按租金收入计税",ROUND(C47*F60,1),IF(D60="按房产原值计税",ROUND(C56*F60*0.7,1),INDIRECT("'数据-取费表'!Aj"&amp;$G$1)))</f>
        <v>31.3</v>
      </c>
      <c r="D60" s="2675" t="str">
        <f>D33</f>
        <v>按房产原值计税</v>
      </c>
      <c r="E60" s="787" t="s">
        <v>1751</v>
      </c>
      <c r="F60" s="812">
        <f t="shared" si="0"/>
        <v>1.2E-2</v>
      </c>
      <c r="I60" s="2415" t="s">
        <v>2373</v>
      </c>
      <c r="J60" s="2417">
        <f ca="1">IF(OR(M47="住宅",J51&lt;L48,J56="是"),"0",ROUND(J59/(1+J52)^J53,0))</f>
        <v>85</v>
      </c>
      <c r="K60" s="2418" t="s">
        <v>2378</v>
      </c>
      <c r="L60" s="2417">
        <f ca="1">IF(OR(M47="住宅",L48&lt;J51),0,ROUND(L57*(L58/L59-1),0))</f>
        <v>0</v>
      </c>
      <c r="O60" s="2436" t="s">
        <v>2396</v>
      </c>
      <c r="P60" s="2434" t="s">
        <v>2405</v>
      </c>
      <c r="Q60" s="2437">
        <f>L52</f>
        <v>0</v>
      </c>
      <c r="R60" s="2438"/>
    </row>
    <row r="61" spans="1:18" s="2066" customFormat="1" ht="18" customHeight="1" thickBot="1">
      <c r="A61" s="1656" t="s">
        <v>1838</v>
      </c>
      <c r="B61" s="344" t="s">
        <v>669</v>
      </c>
      <c r="C61" s="54">
        <f ca="1">ROUND(F61*F62/10000,1)</f>
        <v>3.5</v>
      </c>
      <c r="D61" s="817" t="s">
        <v>670</v>
      </c>
      <c r="E61" s="787" t="s">
        <v>671</v>
      </c>
      <c r="F61" s="643">
        <f t="shared" si="0"/>
        <v>8</v>
      </c>
      <c r="K61" s="2093"/>
      <c r="O61" s="2436" t="s">
        <v>2398</v>
      </c>
      <c r="P61" s="2434" t="s">
        <v>2406</v>
      </c>
      <c r="Q61" s="2435">
        <f ca="1">L58</f>
        <v>0</v>
      </c>
      <c r="R61" s="2438" t="s">
        <v>2407</v>
      </c>
    </row>
    <row r="62" spans="1:18" s="2066" customFormat="1" ht="20.25" thickBot="1">
      <c r="A62" s="818"/>
      <c r="B62" s="796"/>
      <c r="C62" s="69"/>
      <c r="D62" s="819"/>
      <c r="E62" s="787" t="s">
        <v>675</v>
      </c>
      <c r="F62" s="788">
        <f t="shared" ca="1" si="0"/>
        <v>4335.46</v>
      </c>
      <c r="I62" s="2419" t="s">
        <v>2379</v>
      </c>
      <c r="J62" s="2420" t="s">
        <v>2380</v>
      </c>
      <c r="K62" s="2420" t="s">
        <v>2381</v>
      </c>
      <c r="L62" s="2420" t="s">
        <v>2362</v>
      </c>
      <c r="M62" s="3144" t="s">
        <v>2959</v>
      </c>
      <c r="O62" s="2436" t="s">
        <v>2400</v>
      </c>
      <c r="P62" s="2434" t="s">
        <v>2408</v>
      </c>
      <c r="Q62" s="2435">
        <f ca="1">L59</f>
        <v>0</v>
      </c>
      <c r="R62" s="2438" t="s">
        <v>2409</v>
      </c>
    </row>
    <row r="63" spans="1:18" s="2066" customFormat="1" ht="15.75" thickBot="1">
      <c r="A63" s="1654" t="s">
        <v>1894</v>
      </c>
      <c r="B63" s="787" t="s">
        <v>677</v>
      </c>
      <c r="C63" s="53">
        <f ca="1">ROUND(C56*F63,1)</f>
        <v>56</v>
      </c>
      <c r="D63" s="2675" t="s">
        <v>1807</v>
      </c>
      <c r="E63" s="787" t="s">
        <v>1751</v>
      </c>
      <c r="F63" s="820">
        <f t="shared" ca="1" si="0"/>
        <v>1.4999999999999999E-2</v>
      </c>
      <c r="I63" s="2419" t="s">
        <v>2382</v>
      </c>
      <c r="J63" s="2420">
        <v>70</v>
      </c>
      <c r="K63" s="2420">
        <v>50</v>
      </c>
      <c r="L63" s="2420">
        <v>80</v>
      </c>
      <c r="M63" s="3145">
        <v>0.02</v>
      </c>
      <c r="O63" s="2433" t="s">
        <v>2403</v>
      </c>
      <c r="P63" s="2434" t="s">
        <v>2420</v>
      </c>
      <c r="Q63" s="2435">
        <f ca="1">Q57+Q58</f>
        <v>20167</v>
      </c>
      <c r="R63" s="2438" t="s">
        <v>2404</v>
      </c>
    </row>
    <row r="64" spans="1:18" s="2066" customFormat="1" ht="16.5" thickBot="1">
      <c r="A64" s="1654" t="s">
        <v>1895</v>
      </c>
      <c r="B64" s="787" t="s">
        <v>680</v>
      </c>
      <c r="C64" s="53">
        <f ca="1">ROUND(C55*F64,1)</f>
        <v>5.6</v>
      </c>
      <c r="D64" s="2675" t="s">
        <v>681</v>
      </c>
      <c r="E64" s="787" t="s">
        <v>1751</v>
      </c>
      <c r="F64" s="821">
        <f t="shared" ca="1" si="0"/>
        <v>1.5E-3</v>
      </c>
      <c r="I64" s="2419" t="s">
        <v>2383</v>
      </c>
      <c r="J64" s="2420">
        <v>50</v>
      </c>
      <c r="K64" s="2420">
        <v>35</v>
      </c>
      <c r="L64" s="2420">
        <v>60</v>
      </c>
      <c r="M64" s="3146">
        <v>0</v>
      </c>
      <c r="O64" s="2439" t="s">
        <v>2427</v>
      </c>
      <c r="P64" s="1597"/>
      <c r="Q64" s="1609"/>
      <c r="R64" s="1597"/>
    </row>
    <row r="65" spans="1:18" s="2066" customFormat="1" ht="15.75" thickBot="1">
      <c r="A65" s="1654" t="s">
        <v>1896</v>
      </c>
      <c r="B65" s="787" t="s">
        <v>667</v>
      </c>
      <c r="C65" s="53">
        <f ca="1">ROUND(C47*F65,1)</f>
        <v>0</v>
      </c>
      <c r="D65" s="2675" t="s">
        <v>684</v>
      </c>
      <c r="E65" s="787" t="s">
        <v>1751</v>
      </c>
      <c r="F65" s="797">
        <f t="shared" ca="1" si="0"/>
        <v>0.02</v>
      </c>
      <c r="I65" s="2419" t="s">
        <v>2384</v>
      </c>
      <c r="J65" s="2420">
        <v>40</v>
      </c>
      <c r="K65" s="2420">
        <v>30</v>
      </c>
      <c r="L65" s="2420">
        <v>50</v>
      </c>
      <c r="M65" s="3145">
        <v>0.02</v>
      </c>
      <c r="O65" s="2430" t="s">
        <v>2387</v>
      </c>
      <c r="P65" s="2431" t="s">
        <v>2388</v>
      </c>
      <c r="Q65" s="2432" t="s">
        <v>2389</v>
      </c>
      <c r="R65" s="2431" t="s">
        <v>2390</v>
      </c>
    </row>
    <row r="66" spans="1:18" s="2066" customFormat="1" ht="24.75" thickBot="1">
      <c r="A66" s="800" t="s">
        <v>1780</v>
      </c>
      <c r="B66" s="3050" t="s">
        <v>2839</v>
      </c>
      <c r="C66" s="802">
        <f ca="1">C47-C57</f>
        <v>-96</v>
      </c>
      <c r="D66" s="2674" t="s">
        <v>702</v>
      </c>
      <c r="E66" s="2673"/>
      <c r="F66" s="823"/>
      <c r="K66" s="2093"/>
      <c r="O66" s="2433" t="s">
        <v>2391</v>
      </c>
      <c r="P66" s="2434" t="s">
        <v>2421</v>
      </c>
      <c r="Q66" s="2435">
        <f ca="1">C40+J29</f>
        <v>20167</v>
      </c>
      <c r="R66" s="2434" t="s">
        <v>2392</v>
      </c>
    </row>
    <row r="67" spans="1:18" s="2066" customFormat="1" ht="20.25" thickBot="1">
      <c r="A67" s="784" t="s">
        <v>1784</v>
      </c>
      <c r="B67" s="2242" t="s">
        <v>2311</v>
      </c>
      <c r="C67" s="786">
        <f ca="1">ROUND(C66*(1-((1+F69)/(1+F67))^F68)/(F67-F69),0)</f>
        <v>-1465</v>
      </c>
      <c r="D67" s="817" t="s">
        <v>706</v>
      </c>
      <c r="E67" s="787" t="s">
        <v>707</v>
      </c>
      <c r="F67" s="797">
        <f ca="1">F40</f>
        <v>5.5E-2</v>
      </c>
      <c r="K67" s="2093"/>
      <c r="O67" s="2433" t="s">
        <v>2393</v>
      </c>
      <c r="P67" s="2434" t="s">
        <v>2424</v>
      </c>
      <c r="Q67" s="2435">
        <f ca="1">L60</f>
        <v>0</v>
      </c>
      <c r="R67" s="2438" t="s">
        <v>2426</v>
      </c>
    </row>
    <row r="68" spans="1:18" ht="21.75" thickBot="1">
      <c r="A68" s="789"/>
      <c r="B68" s="790"/>
      <c r="C68" s="791"/>
      <c r="D68" s="824" t="s">
        <v>1812</v>
      </c>
      <c r="E68" s="787" t="s">
        <v>1788</v>
      </c>
      <c r="F68" s="825">
        <f ca="1">F41</f>
        <v>34.119999999999997</v>
      </c>
      <c r="O68" s="2436" t="s">
        <v>2395</v>
      </c>
      <c r="P68" s="2434" t="s">
        <v>2425</v>
      </c>
      <c r="Q68" s="2440">
        <f ca="1">L51</f>
        <v>-19162407</v>
      </c>
      <c r="R68" s="2441" t="s">
        <v>2428</v>
      </c>
    </row>
    <row r="69" spans="1:18" ht="20.25" thickBot="1">
      <c r="A69" s="793"/>
      <c r="B69" s="794"/>
      <c r="C69" s="795"/>
      <c r="D69" s="819"/>
      <c r="E69" s="787" t="s">
        <v>712</v>
      </c>
      <c r="F69" s="2381"/>
      <c r="O69" s="2436" t="s">
        <v>2396</v>
      </c>
      <c r="P69" s="2442" t="s">
        <v>2410</v>
      </c>
      <c r="Q69" s="2435">
        <f ca="1">ROUND(Q70-Q71*Q72,0)</f>
        <v>649</v>
      </c>
      <c r="R69" s="2438"/>
    </row>
    <row r="70" spans="1:18" ht="15.75" thickBot="1">
      <c r="A70" s="826" t="s">
        <v>1791</v>
      </c>
      <c r="B70" s="827" t="s">
        <v>1815</v>
      </c>
      <c r="C70" s="828">
        <f ca="1">ROUND(C67*10000/F70,0)</f>
        <v>-1472</v>
      </c>
      <c r="D70" s="829" t="s">
        <v>1816</v>
      </c>
      <c r="E70" s="830" t="s">
        <v>1817</v>
      </c>
      <c r="F70" s="831">
        <f ca="1">F43</f>
        <v>9951.09</v>
      </c>
      <c r="O70" s="2436" t="s">
        <v>2411</v>
      </c>
      <c r="P70" s="2442" t="s">
        <v>2412</v>
      </c>
      <c r="Q70" s="2435">
        <f ca="1">C39</f>
        <v>966</v>
      </c>
      <c r="R70" s="2434" t="s">
        <v>2392</v>
      </c>
    </row>
    <row r="71" spans="1:18" ht="15.75" thickBot="1">
      <c r="O71" s="2436" t="s">
        <v>2413</v>
      </c>
      <c r="P71" s="2442" t="s">
        <v>2414</v>
      </c>
      <c r="Q71" s="2435">
        <f ca="1">C13</f>
        <v>3731</v>
      </c>
      <c r="R71" s="2434" t="s">
        <v>2392</v>
      </c>
    </row>
    <row r="72" spans="1:18" ht="15.75" thickBot="1">
      <c r="O72" s="2436" t="s">
        <v>2415</v>
      </c>
      <c r="P72" s="2442" t="s">
        <v>2416</v>
      </c>
      <c r="Q72" s="2437">
        <f ca="1">J36</f>
        <v>8.5000000000000006E-2</v>
      </c>
      <c r="R72" s="2438"/>
    </row>
    <row r="73" spans="1:18" ht="15.75" thickBot="1">
      <c r="O73" s="2436" t="s">
        <v>2398</v>
      </c>
      <c r="P73" s="2434" t="s">
        <v>2405</v>
      </c>
      <c r="Q73" s="2437">
        <f>L52</f>
        <v>0</v>
      </c>
      <c r="R73" s="2438"/>
    </row>
    <row r="74" spans="1:18" ht="20.25" thickBot="1">
      <c r="O74" s="2436" t="s">
        <v>2400</v>
      </c>
      <c r="P74" s="2434" t="s">
        <v>2406</v>
      </c>
      <c r="Q74" s="2435">
        <f ca="1">L58</f>
        <v>0</v>
      </c>
      <c r="R74" s="2438" t="s">
        <v>2407</v>
      </c>
    </row>
    <row r="75" spans="1:18" ht="20.25" thickBot="1">
      <c r="O75" s="2436" t="s">
        <v>2429</v>
      </c>
      <c r="P75" s="2434" t="s">
        <v>2408</v>
      </c>
      <c r="Q75" s="2435">
        <f ca="1">L59</f>
        <v>0</v>
      </c>
      <c r="R75" s="2438" t="s">
        <v>2409</v>
      </c>
    </row>
    <row r="76" spans="1:18" ht="15.75" thickBot="1">
      <c r="O76" s="2433" t="s">
        <v>2403</v>
      </c>
      <c r="P76" s="2434" t="s">
        <v>2420</v>
      </c>
      <c r="Q76" s="2435">
        <f ca="1">Q66+Q67</f>
        <v>20167</v>
      </c>
      <c r="R76" s="2438"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91" workbookViewId="0">
      <selection activeCell="J127" sqref="J127"/>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Q119" sqref="Q11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6" t="s">
        <v>2048</v>
      </c>
      <c r="B1" s="3166"/>
      <c r="C1" s="3166"/>
      <c r="D1" s="3166"/>
      <c r="E1" s="3166"/>
      <c r="F1" s="3166"/>
      <c r="G1" s="3166"/>
      <c r="H1" s="3166"/>
      <c r="I1" s="3166"/>
      <c r="J1" s="3166"/>
      <c r="K1" s="3166"/>
      <c r="L1" s="3166"/>
      <c r="M1" s="3166"/>
      <c r="N1" s="3166"/>
      <c r="O1" s="3166"/>
      <c r="P1" s="3166"/>
      <c r="Q1" s="3166"/>
      <c r="R1" s="3166"/>
    </row>
    <row r="2" spans="1:18">
      <c r="A2" s="1813" t="s">
        <v>2050</v>
      </c>
      <c r="B2" s="1813"/>
      <c r="C2" s="1813"/>
      <c r="D2" s="1813"/>
      <c r="E2" s="1813"/>
      <c r="F2" s="1813"/>
      <c r="G2" s="1813"/>
      <c r="H2" s="1813"/>
      <c r="I2" s="1814"/>
      <c r="J2" s="1814"/>
      <c r="K2" s="1815" t="str">
        <f>"估价期日："&amp;TEXT(项目基本情况!D3,"yyyy年m月d日;;")</f>
        <v>估价期日：2017年7月5日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7" t="s">
        <v>2039</v>
      </c>
      <c r="B3" s="3167" t="s">
        <v>2748</v>
      </c>
      <c r="C3" s="3168" t="s">
        <v>2040</v>
      </c>
      <c r="D3" s="3167" t="s">
        <v>2752</v>
      </c>
      <c r="E3" s="3162" t="s">
        <v>2041</v>
      </c>
      <c r="F3" s="3162"/>
      <c r="G3" s="3162"/>
      <c r="H3" s="3162" t="s">
        <v>2042</v>
      </c>
      <c r="I3" s="3162"/>
      <c r="J3" s="3162"/>
      <c r="K3" s="3168" t="s">
        <v>2043</v>
      </c>
      <c r="L3" s="3168" t="s">
        <v>2044</v>
      </c>
      <c r="M3" s="3167" t="s">
        <v>2749</v>
      </c>
      <c r="N3" s="3169" t="str">
        <f>"（分摊）"&amp;项目基本情况!B16&amp;"国有建设用地使用权面积/㎡"</f>
        <v>（分摊）出让国有建设用地使用权面积/㎡</v>
      </c>
      <c r="O3" s="3167" t="s">
        <v>2073</v>
      </c>
      <c r="P3" s="3168" t="s">
        <v>2053</v>
      </c>
      <c r="Q3" s="3168" t="s">
        <v>2074</v>
      </c>
      <c r="R3" s="3168" t="s">
        <v>2045</v>
      </c>
    </row>
    <row r="4" spans="1:18" ht="36.75" customHeight="1">
      <c r="A4" s="3167"/>
      <c r="B4" s="3167"/>
      <c r="C4" s="3168"/>
      <c r="D4" s="3167"/>
      <c r="E4" s="2685" t="s">
        <v>2052</v>
      </c>
      <c r="F4" s="2685" t="s">
        <v>2761</v>
      </c>
      <c r="G4" s="2685" t="s">
        <v>2046</v>
      </c>
      <c r="H4" s="2685" t="s">
        <v>2047</v>
      </c>
      <c r="I4" s="2685" t="s">
        <v>2762</v>
      </c>
      <c r="J4" s="2685" t="s">
        <v>2046</v>
      </c>
      <c r="K4" s="3168"/>
      <c r="L4" s="3168"/>
      <c r="M4" s="3167"/>
      <c r="N4" s="3169"/>
      <c r="O4" s="3167"/>
      <c r="P4" s="3168"/>
      <c r="Q4" s="3168"/>
      <c r="R4" s="3168"/>
    </row>
    <row r="5" spans="1:18" ht="135" customHeight="1">
      <c r="A5" s="1949" t="s">
        <v>2672</v>
      </c>
      <c r="B5" s="2906" t="s">
        <v>2670</v>
      </c>
      <c r="C5" s="2684">
        <v>22</v>
      </c>
      <c r="D5" s="2683" t="s">
        <v>2671</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100574</v>
      </c>
      <c r="O5" s="1816">
        <f>项目基本情况!C21</f>
        <v>289959.02999999997</v>
      </c>
      <c r="P5" s="1816">
        <f ca="1">结果表!E42</f>
        <v>11946</v>
      </c>
      <c r="Q5" s="1816">
        <f ca="1">结果表!D42</f>
        <v>4144</v>
      </c>
      <c r="R5" s="1817">
        <f ca="1">结果表!C42</f>
        <v>120147</v>
      </c>
    </row>
    <row r="6" spans="1:18">
      <c r="A6" s="3163" t="s">
        <v>2006</v>
      </c>
      <c r="B6" s="3164"/>
      <c r="C6" s="3164"/>
      <c r="D6" s="3164"/>
      <c r="E6" s="3164"/>
      <c r="F6" s="3164"/>
      <c r="G6" s="3164"/>
      <c r="H6" s="3164"/>
      <c r="I6" s="3164"/>
      <c r="J6" s="3164"/>
      <c r="K6" s="3164"/>
      <c r="L6" s="3164"/>
      <c r="M6" s="3164"/>
      <c r="N6" s="3164"/>
      <c r="O6" s="3164"/>
      <c r="P6" s="3164"/>
      <c r="Q6" s="3165"/>
      <c r="R6" s="1818" t="str">
        <f>结果表!O39</f>
        <v>——</v>
      </c>
    </row>
    <row r="7" spans="1:18">
      <c r="A7" s="3163" t="str">
        <f>IF(项目基本情况!E8="已注销及未注销","抵押担保权已注销时的抵押价格","——")</f>
        <v>——</v>
      </c>
      <c r="B7" s="3164"/>
      <c r="C7" s="3164"/>
      <c r="D7" s="3164"/>
      <c r="E7" s="3164"/>
      <c r="F7" s="3164"/>
      <c r="G7" s="3164"/>
      <c r="H7" s="3164"/>
      <c r="I7" s="3164"/>
      <c r="J7" s="3164"/>
      <c r="K7" s="3164"/>
      <c r="L7" s="3164"/>
      <c r="M7" s="3164"/>
      <c r="N7" s="3164"/>
      <c r="O7" s="3164"/>
      <c r="P7" s="3164"/>
      <c r="Q7" s="3165"/>
      <c r="R7" s="1818" t="str">
        <f>结果表!O40</f>
        <v>——</v>
      </c>
    </row>
    <row r="8" spans="1:18">
      <c r="A8" s="3163">
        <f>项目基本情况!E9</f>
        <v>0</v>
      </c>
      <c r="B8" s="3164"/>
      <c r="C8" s="3164"/>
      <c r="D8" s="3164"/>
      <c r="E8" s="3164"/>
      <c r="F8" s="3164"/>
      <c r="G8" s="3164"/>
      <c r="H8" s="3164"/>
      <c r="I8" s="3164"/>
      <c r="J8" s="3164"/>
      <c r="K8" s="3164"/>
      <c r="L8" s="3164"/>
      <c r="M8" s="3164"/>
      <c r="N8" s="3164"/>
      <c r="O8" s="3164"/>
      <c r="P8" s="3164"/>
      <c r="Q8" s="3165"/>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1" t="s">
        <v>2075</v>
      </c>
      <c r="B1" s="3171"/>
      <c r="C1" s="3171"/>
      <c r="D1" s="3171"/>
    </row>
    <row r="2" spans="1:4" ht="47.25" customHeight="1">
      <c r="A2" s="3172" t="str">
        <f>"1.权利限制："&amp;项目基本情况!L24&amp;"未设定租赁等其他他项权利。"</f>
        <v>1.权利限制：根据估价对象《不动产权证书》原件、《国有土地使用权》复印件，截至估价期日，估价对象抵押权未见登记。未设定租赁等其他他项权利。</v>
      </c>
      <c r="B2" s="3172"/>
      <c r="C2" s="3172"/>
      <c r="D2" s="3172"/>
    </row>
    <row r="3" spans="1:4" ht="48" customHeight="1">
      <c r="A3" s="31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1"/>
      <c r="C3" s="3171"/>
      <c r="D3" s="3171"/>
    </row>
    <row r="4" spans="1:4" ht="36.75" customHeight="1">
      <c r="A4" s="3171" t="str">
        <f>"3.估价规划限制条件：详见"&amp;项目基本情况!E21&amp;"。"</f>
        <v>3.估价规划限制条件：详见出让合同、规划指标。</v>
      </c>
      <c r="B4" s="3171"/>
      <c r="C4" s="3171"/>
      <c r="D4" s="3171"/>
    </row>
    <row r="5" spans="1:4">
      <c r="A5" s="3170" t="s">
        <v>2076</v>
      </c>
      <c r="B5" s="3170"/>
      <c r="C5" s="3170"/>
      <c r="D5" s="3170"/>
    </row>
    <row r="6" spans="1:4">
      <c r="A6" s="3171" t="s">
        <v>2054</v>
      </c>
      <c r="B6" s="3171"/>
      <c r="C6" s="3171"/>
      <c r="D6" s="3171"/>
    </row>
    <row r="7" spans="1:4" ht="33" customHeight="1">
      <c r="A7" s="3171" t="s">
        <v>2589</v>
      </c>
      <c r="B7" s="3171"/>
      <c r="C7" s="3171"/>
      <c r="D7" s="3171"/>
    </row>
    <row r="8" spans="1:4" ht="32.25" customHeight="1">
      <c r="A8" s="3171" t="str">
        <f>IF(项目基本情况!B8="抵押","2.本《评估意见函》仅供金融机构进行内部审核使用，不做其他目的之用。","")</f>
        <v>2.本《评估意见函》仅供金融机构进行内部审核使用，不做其他目的之用。</v>
      </c>
      <c r="B8" s="3171"/>
      <c r="C8" s="3171"/>
      <c r="D8" s="3171"/>
    </row>
    <row r="9" spans="1:4" ht="33.75" customHeight="1">
      <c r="A9" s="31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1"/>
      <c r="C9" s="3171"/>
      <c r="D9" s="3171"/>
    </row>
    <row r="10" spans="1:4">
      <c r="A10" s="3171" t="str">
        <f>IF(项目基本情况!B8="抵押","4.估价师所知悉的法定优先受偿款情况为：","")</f>
        <v>4.估价师所知悉的法定优先受偿款情况为：</v>
      </c>
      <c r="B10" s="3171"/>
      <c r="C10" s="3171"/>
      <c r="D10" s="3171"/>
    </row>
    <row r="11" spans="1:4" ht="37.5" customHeight="1">
      <c r="A11" s="31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3"/>
      <c r="C11" s="3173"/>
      <c r="D11" s="3173"/>
    </row>
    <row r="12" spans="1:4" ht="168" customHeight="1">
      <c r="A12" s="3170" t="s">
        <v>2078</v>
      </c>
      <c r="B12" s="3170"/>
      <c r="C12" s="3170"/>
      <c r="D12" s="3170"/>
    </row>
    <row r="13" spans="1:4">
      <c r="A13" s="3174" t="s">
        <v>2763</v>
      </c>
      <c r="B13" s="3174"/>
      <c r="C13" s="3174"/>
      <c r="D13" s="3174"/>
    </row>
    <row r="14" spans="1:4">
      <c r="A14" s="3173" t="str">
        <f>IF(项目基本情况!B8="抵押","综上，"&amp;结果表!K47,"")</f>
        <v>综上，本次评估不存在估价师知悉的法定优先受偿款</v>
      </c>
      <c r="B14" s="3173"/>
      <c r="C14" s="3173"/>
      <c r="D14" s="3173"/>
    </row>
    <row r="15" spans="1:4" ht="58.5" customHeight="1">
      <c r="A15" s="317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2719</v>
      </c>
      <c r="B17" s="3171"/>
      <c r="C17" s="3171"/>
      <c r="D17" s="3171"/>
    </row>
    <row r="18" spans="1:4">
      <c r="A18" s="3171" t="s">
        <v>2711</v>
      </c>
      <c r="B18" s="3171"/>
      <c r="C18" s="3171"/>
      <c r="D18" s="3171"/>
    </row>
    <row r="19" spans="1:4">
      <c r="A19" s="2907" t="s">
        <v>2712</v>
      </c>
      <c r="B19" s="2907" t="s">
        <v>2713</v>
      </c>
      <c r="C19" s="2907" t="s">
        <v>2714</v>
      </c>
      <c r="D19" s="2907" t="s">
        <v>2715</v>
      </c>
    </row>
    <row r="20" spans="1:4">
      <c r="A20" s="2907" t="str">
        <f>项目基本情况!B4</f>
        <v>梁津</v>
      </c>
      <c r="B20" s="2907">
        <f ca="1">项目基本情况!C4</f>
        <v>96010014</v>
      </c>
      <c r="C20" s="2909"/>
      <c r="D20" s="1806" t="s">
        <v>2720</v>
      </c>
    </row>
    <row r="21" spans="1:4">
      <c r="A21" s="2907" t="str">
        <f>项目基本情况!D4</f>
        <v>王鹏</v>
      </c>
      <c r="B21" s="2907">
        <f ca="1">项目基本情况!E4</f>
        <v>2002110030</v>
      </c>
      <c r="C21" s="2909"/>
      <c r="D21" s="1806" t="s">
        <v>2721</v>
      </c>
    </row>
    <row r="23" spans="1:4">
      <c r="A23" s="3171" t="s">
        <v>2716</v>
      </c>
      <c r="B23" s="3171"/>
      <c r="C23" s="3171"/>
      <c r="D23" s="3171"/>
    </row>
    <row r="24" spans="1:4">
      <c r="A24" s="2907" t="s">
        <v>2712</v>
      </c>
      <c r="B24" s="2907" t="s">
        <v>2717</v>
      </c>
      <c r="C24" s="2907" t="s">
        <v>2714</v>
      </c>
      <c r="D24" s="2907" t="s">
        <v>2715</v>
      </c>
    </row>
    <row r="25" spans="1:4">
      <c r="A25" s="2910" t="s">
        <v>2718</v>
      </c>
      <c r="B25" s="2907" t="s">
        <v>955</v>
      </c>
      <c r="C25" s="2909"/>
      <c r="D25" s="1806" t="s">
        <v>2721</v>
      </c>
    </row>
    <row r="29" spans="1:4">
      <c r="D29" s="2908" t="s">
        <v>2049</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2" t="s">
        <v>53</v>
      </c>
      <c r="B15" s="3183" t="s">
        <v>849</v>
      </c>
      <c r="C15" s="3179"/>
    </row>
    <row r="16" spans="1:7" ht="14.25">
      <c r="A16" s="3182"/>
      <c r="B16" s="3180" t="s">
        <v>54</v>
      </c>
      <c r="C16" s="1175" t="s">
        <v>53</v>
      </c>
    </row>
    <row r="17" spans="1:3" ht="14.25">
      <c r="A17" s="3182"/>
      <c r="B17" s="3180"/>
      <c r="C17" s="1175" t="s">
        <v>55</v>
      </c>
    </row>
    <row r="18" spans="1:3" ht="14.25">
      <c r="A18" s="3182"/>
      <c r="B18" s="3180"/>
      <c r="C18" s="1175" t="s">
        <v>56</v>
      </c>
    </row>
    <row r="19" spans="1:3" ht="14.25">
      <c r="A19" s="3182"/>
      <c r="B19" s="3178" t="s">
        <v>57</v>
      </c>
      <c r="C19" s="3179"/>
    </row>
    <row r="20" spans="1:3" ht="14.25">
      <c r="A20" s="1176" t="s">
        <v>58</v>
      </c>
      <c r="B20" s="1177"/>
      <c r="C20" s="1178"/>
    </row>
    <row r="21" spans="1:3" ht="14.25">
      <c r="A21" s="3181" t="s">
        <v>59</v>
      </c>
      <c r="B21" s="3178" t="s">
        <v>60</v>
      </c>
      <c r="C21" s="3179"/>
    </row>
    <row r="22" spans="1:3" ht="14.25">
      <c r="A22" s="3181"/>
      <c r="B22" s="3178" t="s">
        <v>61</v>
      </c>
      <c r="C22" s="3179"/>
    </row>
    <row r="23" spans="1:3" ht="14.25">
      <c r="A23" s="3181"/>
      <c r="B23" s="3178" t="s">
        <v>62</v>
      </c>
      <c r="C23" s="3179"/>
    </row>
    <row r="24" spans="1:3" ht="14.25">
      <c r="A24" s="3181"/>
      <c r="B24" s="3184" t="s">
        <v>63</v>
      </c>
      <c r="C24" s="1179" t="s">
        <v>840</v>
      </c>
    </row>
    <row r="25" spans="1:3" ht="14.25">
      <c r="A25" s="3181"/>
      <c r="B25" s="3185"/>
      <c r="C25" s="1179" t="s">
        <v>841</v>
      </c>
    </row>
    <row r="26" spans="1:3" ht="14.25">
      <c r="A26" s="3181"/>
      <c r="B26" s="3185"/>
      <c r="C26" s="1179" t="s">
        <v>842</v>
      </c>
    </row>
    <row r="27" spans="1:3" ht="14.25">
      <c r="A27" s="3181"/>
      <c r="B27" s="3185"/>
      <c r="C27" s="1179" t="s">
        <v>843</v>
      </c>
    </row>
    <row r="28" spans="1:3" ht="14.25">
      <c r="A28" s="3181"/>
      <c r="B28" s="3185"/>
      <c r="C28" s="1179" t="s">
        <v>844</v>
      </c>
    </row>
    <row r="29" spans="1:3" ht="14.25">
      <c r="A29" s="3181"/>
      <c r="B29" s="3185"/>
      <c r="C29" s="1179" t="s">
        <v>845</v>
      </c>
    </row>
    <row r="30" spans="1:3" ht="14.25">
      <c r="A30" s="3181"/>
      <c r="B30" s="3185"/>
      <c r="C30" s="1179" t="s">
        <v>846</v>
      </c>
    </row>
    <row r="31" spans="1:3" ht="14.25">
      <c r="A31" s="3181"/>
      <c r="B31" s="3185"/>
      <c r="C31" s="1179" t="s">
        <v>847</v>
      </c>
    </row>
    <row r="32" spans="1:3" ht="14.25">
      <c r="A32" s="3181"/>
      <c r="B32" s="3185"/>
      <c r="C32" s="1179" t="s">
        <v>1650</v>
      </c>
    </row>
    <row r="33" spans="1:3" ht="14.25">
      <c r="A33" s="3181"/>
      <c r="B33" s="3175" t="s">
        <v>1656</v>
      </c>
      <c r="C33" s="1179" t="s">
        <v>1651</v>
      </c>
    </row>
    <row r="34" spans="1:3" ht="14.25">
      <c r="A34" s="3181"/>
      <c r="B34" s="3176"/>
      <c r="C34" s="1184" t="s">
        <v>1652</v>
      </c>
    </row>
    <row r="35" spans="1:3" ht="14.25">
      <c r="A35" s="3181"/>
      <c r="B35" s="3176"/>
      <c r="C35" s="1185" t="s">
        <v>1653</v>
      </c>
    </row>
    <row r="36" spans="1:3" ht="14.25">
      <c r="A36" s="3181"/>
      <c r="B36" s="3176"/>
      <c r="C36" s="1185" t="s">
        <v>1654</v>
      </c>
    </row>
    <row r="37" spans="1:3" ht="14.25">
      <c r="A37" s="3181"/>
      <c r="B37" s="3177"/>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42927</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2588</v>
      </c>
      <c r="B15" s="2353">
        <v>1120070085</v>
      </c>
      <c r="C15" s="3045">
        <v>43814</v>
      </c>
      <c r="D15" s="2353" t="s">
        <v>2588</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186" t="s">
        <v>1936</v>
      </c>
      <c r="B25" s="3186"/>
      <c r="C25" s="3186"/>
      <c r="D25" s="3186"/>
      <c r="E25" s="3186"/>
      <c r="F25" s="3186"/>
      <c r="G25" s="3186"/>
    </row>
    <row r="26" spans="1:7" ht="20.25" customHeight="1">
      <c r="A26" s="3187" t="s">
        <v>1937</v>
      </c>
      <c r="B26" s="3187"/>
      <c r="C26" s="3187"/>
      <c r="D26" s="3187" t="s">
        <v>1938</v>
      </c>
      <c r="E26" s="3187"/>
      <c r="F26" s="3187"/>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2313</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2559</v>
      </c>
      <c r="R1" s="2617" t="s">
        <v>2553</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2554</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2555</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2556</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2557</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2558</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1645</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常州市湖塘镇武宜路西侧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188"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c r="D53" s="1773"/>
      <c r="E53" s="1773"/>
    </row>
    <row r="54" spans="1:5">
      <c r="A54" s="3188"/>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88"/>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88"/>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88"/>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165</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不动产比较法-高层</vt:lpstr>
      <vt:lpstr>不动产比较法-洋房</vt:lpstr>
      <vt:lpstr>不动产比较法-别墅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Sheet2</vt:lpstr>
      <vt:lpstr>'比较法-住宅、综合'!Print_Area</vt:lpstr>
      <vt:lpstr>'不动产比较法-别墅'!Print_Area</vt:lpstr>
      <vt:lpstr>'不动产比较法-高层'!Print_Area</vt:lpstr>
      <vt:lpstr>'不动产比较法-洋房'!Print_Area</vt:lpstr>
      <vt:lpstr>不动产收益法!Print_Area</vt:lpstr>
      <vt:lpstr>地价!Print_Area</vt:lpstr>
      <vt:lpstr>估价师及机构信息!Print_Area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2017-07-10T03:29:51Z</cp:lastPrinted>
  <dcterms:created xsi:type="dcterms:W3CDTF">2015-07-13T07:17:23Z</dcterms:created>
  <dcterms:modified xsi:type="dcterms:W3CDTF">2017-07-11T02:46:37Z</dcterms:modified>
</cp:coreProperties>
</file>