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65" tabRatio="875" firstSheet="15"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6" i="1" l="1"/>
  <c r="C18" i="66" l="1"/>
  <c r="B18" i="66"/>
  <c r="F17" i="31" l="1"/>
  <c r="B27" i="31"/>
  <c r="B17" i="66"/>
  <c r="C112" i="72"/>
  <c r="D111" i="72"/>
  <c r="C109" i="72"/>
  <c r="E108" i="72"/>
  <c r="D107" i="72"/>
  <c r="C107" i="72"/>
  <c r="C105" i="72" s="1"/>
  <c r="D96" i="72"/>
  <c r="H95" i="72"/>
  <c r="D95" i="72"/>
  <c r="C95" i="72" s="1"/>
  <c r="C94" i="72"/>
  <c r="C92" i="72" s="1"/>
  <c r="D86" i="72"/>
  <c r="F77" i="72"/>
  <c r="E77" i="72"/>
  <c r="D77" i="72"/>
  <c r="O76" i="72"/>
  <c r="N76" i="72"/>
  <c r="L76" i="72"/>
  <c r="K76" i="72"/>
  <c r="P75" i="72"/>
  <c r="O75" i="72"/>
  <c r="N75" i="72"/>
  <c r="L75" i="72"/>
  <c r="K75" i="72"/>
  <c r="K77" i="72" s="1"/>
  <c r="K79" i="72" s="1"/>
  <c r="K81" i="72" s="1"/>
  <c r="O74" i="72"/>
  <c r="F74" i="72"/>
  <c r="P74" i="72" s="1"/>
  <c r="O73" i="72"/>
  <c r="I73" i="72"/>
  <c r="F73" i="72"/>
  <c r="P73" i="72" s="1"/>
  <c r="F72" i="72"/>
  <c r="F71" i="72"/>
  <c r="F70" i="72"/>
  <c r="N67" i="72"/>
  <c r="F66" i="72"/>
  <c r="P72" i="72" s="1"/>
  <c r="E66" i="72"/>
  <c r="O72" i="72" s="1"/>
  <c r="C46" i="72"/>
  <c r="A46" i="72"/>
  <c r="A45" i="72"/>
  <c r="C45" i="72" s="1"/>
  <c r="K44" i="72"/>
  <c r="A44" i="72"/>
  <c r="K43" i="72"/>
  <c r="C43" i="72"/>
  <c r="K47" i="72" s="1"/>
  <c r="K41" i="72"/>
  <c r="K40" i="72"/>
  <c r="K39" i="72"/>
  <c r="K31" i="72"/>
  <c r="K32" i="72" s="1"/>
  <c r="C25" i="72"/>
  <c r="C24" i="72"/>
  <c r="D17" i="72"/>
  <c r="C17" i="72"/>
  <c r="C18" i="72" s="1"/>
  <c r="M4" i="72"/>
  <c r="L4" i="72"/>
  <c r="A2" i="72"/>
  <c r="D21" i="72"/>
  <c r="C19" i="72"/>
  <c r="C20" i="72"/>
  <c r="D19" i="72"/>
  <c r="D20" i="72"/>
  <c r="C21" i="72"/>
  <c r="L43" i="72" l="1"/>
  <c r="D22" i="72"/>
  <c r="G21" i="72"/>
  <c r="L44" i="72"/>
  <c r="G20" i="72"/>
  <c r="C110" i="72"/>
  <c r="M43" i="72"/>
  <c r="D18" i="72"/>
  <c r="M44" i="72" s="1"/>
  <c r="O40" i="72"/>
  <c r="K33" i="72"/>
  <c r="O41" i="72"/>
  <c r="C112" i="71"/>
  <c r="D111" i="71"/>
  <c r="C109" i="71"/>
  <c r="E108" i="71"/>
  <c r="D107" i="71"/>
  <c r="C107" i="71"/>
  <c r="C105" i="71" s="1"/>
  <c r="D96" i="71"/>
  <c r="H95" i="71"/>
  <c r="D95" i="71"/>
  <c r="C95" i="71" s="1"/>
  <c r="C94" i="71"/>
  <c r="D86" i="71"/>
  <c r="F77" i="71"/>
  <c r="E77" i="71"/>
  <c r="O75" i="71" s="1"/>
  <c r="D77" i="71"/>
  <c r="N75" i="71" s="1"/>
  <c r="O76" i="71"/>
  <c r="N76" i="71"/>
  <c r="L76" i="71"/>
  <c r="K76" i="71"/>
  <c r="P75" i="71"/>
  <c r="L75" i="71"/>
  <c r="K75" i="71"/>
  <c r="K77" i="71" s="1"/>
  <c r="K79" i="71" s="1"/>
  <c r="K81" i="71" s="1"/>
  <c r="O74" i="71"/>
  <c r="F74" i="71"/>
  <c r="P74" i="71" s="1"/>
  <c r="O73" i="71"/>
  <c r="I73" i="71"/>
  <c r="F73" i="71"/>
  <c r="P73" i="71" s="1"/>
  <c r="F72" i="71"/>
  <c r="F71" i="71"/>
  <c r="F70" i="71"/>
  <c r="N67" i="71"/>
  <c r="F66" i="71"/>
  <c r="P72" i="71" s="1"/>
  <c r="E66" i="71"/>
  <c r="O72" i="71" s="1"/>
  <c r="C46" i="71"/>
  <c r="A46" i="71"/>
  <c r="A45" i="71"/>
  <c r="C45" i="71" s="1"/>
  <c r="K44" i="71"/>
  <c r="A44" i="71"/>
  <c r="K43" i="71"/>
  <c r="C43" i="71"/>
  <c r="K47" i="71" s="1"/>
  <c r="K41" i="71"/>
  <c r="K40" i="71"/>
  <c r="K39" i="71"/>
  <c r="K31" i="71"/>
  <c r="K32" i="71" s="1"/>
  <c r="C25" i="71"/>
  <c r="C24" i="71"/>
  <c r="D17" i="71"/>
  <c r="C17" i="71"/>
  <c r="C18" i="71" s="1"/>
  <c r="M4" i="71"/>
  <c r="L4" i="71"/>
  <c r="A2" i="71"/>
  <c r="E17" i="31"/>
  <c r="D17" i="31"/>
  <c r="B26" i="31"/>
  <c r="B16" i="66"/>
  <c r="I40" i="39"/>
  <c r="G40" i="39"/>
  <c r="E40" i="39"/>
  <c r="C40" i="39"/>
  <c r="I9" i="39"/>
  <c r="G9" i="39"/>
  <c r="E9" i="39"/>
  <c r="I7" i="39"/>
  <c r="G7" i="39"/>
  <c r="E7" i="39"/>
  <c r="Q64" i="68"/>
  <c r="Q63" i="68"/>
  <c r="Q62" i="68"/>
  <c r="Q47" i="68"/>
  <c r="Q46" i="68"/>
  <c r="Q45" i="68"/>
  <c r="Q36" i="68"/>
  <c r="Q35" i="68"/>
  <c r="Q34" i="68"/>
  <c r="C112" i="69"/>
  <c r="D111" i="69"/>
  <c r="C109" i="69"/>
  <c r="E108" i="69"/>
  <c r="D107" i="69"/>
  <c r="C107" i="69" s="1"/>
  <c r="C105" i="69" s="1"/>
  <c r="D96" i="69"/>
  <c r="H95" i="69"/>
  <c r="D95" i="69"/>
  <c r="C95" i="69"/>
  <c r="C94" i="69"/>
  <c r="C92" i="69"/>
  <c r="D86" i="69"/>
  <c r="F77" i="69"/>
  <c r="E77" i="69"/>
  <c r="D77" i="69"/>
  <c r="N75" i="69" s="1"/>
  <c r="O76" i="69"/>
  <c r="N76" i="69"/>
  <c r="L76" i="69"/>
  <c r="K76" i="69"/>
  <c r="P75" i="69"/>
  <c r="O75" i="69"/>
  <c r="L75" i="69"/>
  <c r="K75" i="69"/>
  <c r="O74" i="69"/>
  <c r="F74" i="69"/>
  <c r="P74" i="69" s="1"/>
  <c r="O73" i="69"/>
  <c r="I73" i="69"/>
  <c r="F73" i="69"/>
  <c r="P73" i="69" s="1"/>
  <c r="F72" i="69"/>
  <c r="F71" i="69"/>
  <c r="F70" i="69"/>
  <c r="N67" i="69"/>
  <c r="F66" i="69"/>
  <c r="P72" i="69" s="1"/>
  <c r="E66" i="69"/>
  <c r="O72" i="69" s="1"/>
  <c r="C46" i="69"/>
  <c r="A46" i="69"/>
  <c r="A45" i="69"/>
  <c r="C45" i="69" s="1"/>
  <c r="K44" i="69"/>
  <c r="A44" i="69"/>
  <c r="K43" i="69"/>
  <c r="C43" i="69"/>
  <c r="K47" i="69" s="1"/>
  <c r="K41" i="69"/>
  <c r="K40" i="69"/>
  <c r="K39" i="69"/>
  <c r="K31" i="69"/>
  <c r="K32" i="69" s="1"/>
  <c r="C25" i="69"/>
  <c r="C24" i="69"/>
  <c r="D17" i="69"/>
  <c r="C17" i="69"/>
  <c r="C18" i="69" s="1"/>
  <c r="M4" i="69"/>
  <c r="L4" i="69"/>
  <c r="A2" i="69"/>
  <c r="C19" i="71"/>
  <c r="C21" i="71"/>
  <c r="D21" i="71"/>
  <c r="D19" i="69"/>
  <c r="C20" i="71"/>
  <c r="C21" i="69"/>
  <c r="D21" i="69"/>
  <c r="D20" i="71"/>
  <c r="C20" i="69"/>
  <c r="C19" i="69"/>
  <c r="D20" i="69"/>
  <c r="D19" i="71"/>
  <c r="K34" i="72" l="1"/>
  <c r="G19" i="72"/>
  <c r="K77" i="69"/>
  <c r="K79" i="69" s="1"/>
  <c r="K81" i="69" s="1"/>
  <c r="D22" i="71"/>
  <c r="L43" i="71"/>
  <c r="G19" i="71"/>
  <c r="L44" i="71"/>
  <c r="M43" i="71"/>
  <c r="D18" i="71"/>
  <c r="M44" i="71" s="1"/>
  <c r="O40" i="71"/>
  <c r="C92" i="71"/>
  <c r="C110" i="71"/>
  <c r="K33" i="71"/>
  <c r="O41" i="71"/>
  <c r="L43" i="69"/>
  <c r="D22" i="69"/>
  <c r="G19" i="69"/>
  <c r="L44" i="69"/>
  <c r="M43" i="69"/>
  <c r="D18" i="69"/>
  <c r="M44" i="69" s="1"/>
  <c r="O40" i="69"/>
  <c r="C110" i="69"/>
  <c r="K33" i="69"/>
  <c r="O41" i="69"/>
  <c r="N43" i="72" l="1"/>
  <c r="C32" i="72"/>
  <c r="K34" i="71"/>
  <c r="G20" i="71"/>
  <c r="G21" i="71"/>
  <c r="N43" i="71"/>
  <c r="C32" i="71"/>
  <c r="K34" i="69"/>
  <c r="G20" i="69"/>
  <c r="G21" i="69"/>
  <c r="N43" i="69"/>
  <c r="C32" i="69"/>
  <c r="O43" i="72" l="1"/>
  <c r="O38" i="72"/>
  <c r="C42" i="72"/>
  <c r="C42" i="71"/>
  <c r="O43" i="71"/>
  <c r="O38" i="71"/>
  <c r="C42" i="69"/>
  <c r="O43" i="69"/>
  <c r="O38" i="69"/>
  <c r="N68" i="72" l="1"/>
  <c r="C44" i="72"/>
  <c r="K26" i="72"/>
  <c r="K25" i="72"/>
  <c r="K25" i="71"/>
  <c r="K26" i="71"/>
  <c r="N68" i="71"/>
  <c r="C44" i="71"/>
  <c r="K25" i="69"/>
  <c r="K26" i="69"/>
  <c r="N68" i="69"/>
  <c r="C44" i="69"/>
  <c r="N69" i="72" l="1"/>
  <c r="O39" i="72"/>
  <c r="K29" i="72" s="1"/>
  <c r="K30" i="72" s="1"/>
  <c r="N69" i="71"/>
  <c r="O39" i="71"/>
  <c r="K29" i="71" s="1"/>
  <c r="K30" i="71" s="1"/>
  <c r="N69" i="69"/>
  <c r="O39" i="69"/>
  <c r="K29" i="69" s="1"/>
  <c r="K30" i="69" s="1"/>
  <c r="M84" i="72" l="1"/>
  <c r="N84" i="72" s="1"/>
  <c r="M83" i="72"/>
  <c r="N83" i="72" s="1"/>
  <c r="N89" i="72" s="1"/>
  <c r="O89" i="72" s="1"/>
  <c r="M88" i="72"/>
  <c r="N88" i="72" s="1"/>
  <c r="M87" i="72"/>
  <c r="N87" i="72" s="1"/>
  <c r="M86" i="72"/>
  <c r="N86" i="72" s="1"/>
  <c r="M85" i="72"/>
  <c r="N85" i="72" s="1"/>
  <c r="M84" i="71"/>
  <c r="N84" i="71" s="1"/>
  <c r="M83" i="71"/>
  <c r="N83" i="71" s="1"/>
  <c r="N89" i="71" s="1"/>
  <c r="O89" i="71" s="1"/>
  <c r="M88" i="71"/>
  <c r="N88" i="71" s="1"/>
  <c r="M87" i="71"/>
  <c r="N87" i="71" s="1"/>
  <c r="M86" i="71"/>
  <c r="N86" i="71" s="1"/>
  <c r="M85" i="71"/>
  <c r="N85" i="71" s="1"/>
  <c r="M84" i="69"/>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s="1"/>
  <c r="AD16" i="59"/>
  <c r="AE17" i="59"/>
  <c r="AF17" i="59"/>
  <c r="AG17" i="59"/>
  <c r="AH17" i="59"/>
  <c r="AD17" i="59"/>
  <c r="Q17" i="59"/>
  <c r="P17" i="59"/>
  <c r="O17" i="59"/>
  <c r="N17" i="59"/>
  <c r="N18" i="59"/>
  <c r="Q18" i="59"/>
  <c r="P18" i="59"/>
  <c r="O18" i="59"/>
  <c r="K59" i="15"/>
  <c r="P62" i="15"/>
  <c r="P75" i="15"/>
  <c r="Q74" i="44"/>
  <c r="Q61" i="44"/>
  <c r="Q60" i="44"/>
  <c r="Q53" i="44"/>
  <c r="J51" i="44"/>
  <c r="J52" i="44" s="1"/>
  <c r="M48" i="44"/>
  <c r="A16" i="55"/>
  <c r="A15" i="55"/>
  <c r="B66" i="63" s="1"/>
  <c r="A10" i="55"/>
  <c r="B61" i="63" s="1"/>
  <c r="A9" i="55"/>
  <c r="B60" i="63" s="1"/>
  <c r="A8" i="55"/>
  <c r="A6" i="54"/>
  <c r="A8" i="54"/>
  <c r="A7" i="54"/>
  <c r="A27" i="51"/>
  <c r="B20" i="63"/>
  <c r="Q19" i="59"/>
  <c r="O19" i="59"/>
  <c r="N20" i="59"/>
  <c r="O20" i="59"/>
  <c r="P20" i="59"/>
  <c r="Q20" i="59"/>
  <c r="N19" i="59"/>
  <c r="P19" i="59"/>
  <c r="K75" i="9"/>
  <c r="K6" i="4"/>
  <c r="O76" i="9"/>
  <c r="L76" i="9"/>
  <c r="K76" i="9"/>
  <c r="E19" i="66"/>
  <c r="F19" i="66"/>
  <c r="E20" i="66"/>
  <c r="F20" i="66"/>
  <c r="E21" i="66"/>
  <c r="F21" i="66"/>
  <c r="E22" i="66"/>
  <c r="F22" i="66"/>
  <c r="E23" i="66"/>
  <c r="F23" i="66"/>
  <c r="B3" i="66"/>
  <c r="B17" i="59"/>
  <c r="B16" i="59"/>
  <c r="B15" i="59" s="1"/>
  <c r="E17" i="59"/>
  <c r="E16" i="59" s="1"/>
  <c r="E15" i="59"/>
  <c r="E14" i="59" s="1"/>
  <c r="E13" i="59" s="1"/>
  <c r="E12" i="59" s="1"/>
  <c r="E11" i="59" s="1"/>
  <c r="E10" i="59" s="1"/>
  <c r="F17" i="59"/>
  <c r="V17" i="59" s="1"/>
  <c r="U17" i="59"/>
  <c r="S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16" i="59"/>
  <c r="C3" i="65"/>
  <c r="C1" i="65"/>
  <c r="N1" i="65" s="1"/>
  <c r="T17" i="59"/>
  <c r="D17"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c r="B40" i="50"/>
  <c r="B3" i="63"/>
  <c r="B67" i="63"/>
  <c r="I19" i="46"/>
  <c r="Q21" i="59"/>
  <c r="F21" i="59" s="1"/>
  <c r="V21" i="59" s="1"/>
  <c r="P21" i="59"/>
  <c r="E21" i="59" s="1"/>
  <c r="O21" i="59"/>
  <c r="C21" i="59" s="1"/>
  <c r="N21" i="59"/>
  <c r="B21" i="59" s="1"/>
  <c r="B20" i="59" s="1"/>
  <c r="B19" i="59" s="1"/>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c r="F60" i="59"/>
  <c r="F59" i="59"/>
  <c r="Q59" i="59" s="1"/>
  <c r="B60" i="59"/>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c r="N50" i="59"/>
  <c r="B51" i="59"/>
  <c r="B52" i="59" s="1"/>
  <c r="B53" i="59" s="1"/>
  <c r="S53" i="59" s="1"/>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O42" i="59"/>
  <c r="C43" i="59"/>
  <c r="N42" i="59"/>
  <c r="B43" i="59"/>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P34" i="59"/>
  <c r="E35" i="59"/>
  <c r="E36" i="59" s="1"/>
  <c r="E37" i="59"/>
  <c r="U37" i="59" s="1"/>
  <c r="O34" i="59"/>
  <c r="C35" i="59" s="1"/>
  <c r="N34" i="59"/>
  <c r="B35" i="59" s="1"/>
  <c r="B36" i="59" s="1"/>
  <c r="B37" i="59" s="1"/>
  <c r="S37" i="59" s="1"/>
  <c r="D34" i="59"/>
  <c r="Q33" i="59"/>
  <c r="P33" i="59"/>
  <c r="O33" i="59"/>
  <c r="N33" i="59"/>
  <c r="Q32" i="59"/>
  <c r="AB32" i="59" s="1"/>
  <c r="P32" i="59"/>
  <c r="O32" i="59"/>
  <c r="Y32" i="59"/>
  <c r="Z32" i="59" s="1"/>
  <c r="N32" i="59"/>
  <c r="X32" i="59" s="1"/>
  <c r="Q31" i="59"/>
  <c r="AB31" i="59" s="1"/>
  <c r="P31" i="59"/>
  <c r="O31" i="59"/>
  <c r="Y31" i="59" s="1"/>
  <c r="N31" i="59"/>
  <c r="X31" i="59" s="1"/>
  <c r="Q30" i="59"/>
  <c r="AB30" i="59" s="1"/>
  <c r="P30" i="59"/>
  <c r="AA30" i="59" s="1"/>
  <c r="O30" i="59"/>
  <c r="Y30" i="59" s="1"/>
  <c r="Z30" i="59" s="1"/>
  <c r="C31" i="59"/>
  <c r="N30" i="59"/>
  <c r="X30" i="59" s="1"/>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F27" i="59"/>
  <c r="P26" i="59"/>
  <c r="AA26" i="59" s="1"/>
  <c r="O26" i="59"/>
  <c r="Y26" i="59" s="1"/>
  <c r="Z26" i="59" s="1"/>
  <c r="C27" i="59"/>
  <c r="N26" i="59"/>
  <c r="X26" i="59" s="1"/>
  <c r="B27" i="59"/>
  <c r="B28" i="59"/>
  <c r="B29" i="59" s="1"/>
  <c r="S29" i="59" s="1"/>
  <c r="D26" i="59"/>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C23" i="59"/>
  <c r="N22" i="59"/>
  <c r="X22" i="59" s="1"/>
  <c r="B23" i="59"/>
  <c r="D22" i="59"/>
  <c r="X3" i="59"/>
  <c r="X18" i="59"/>
  <c r="X19" i="59"/>
  <c r="X20" i="59"/>
  <c r="X21" i="59"/>
  <c r="AA3" i="59"/>
  <c r="AA18" i="59"/>
  <c r="AA19" i="59"/>
  <c r="AA20" i="59"/>
  <c r="AA21" i="59"/>
  <c r="Y18" i="59"/>
  <c r="Z18" i="59" s="1"/>
  <c r="Y19" i="59"/>
  <c r="Z19" i="59" s="1"/>
  <c r="Y20" i="59"/>
  <c r="Z20" i="59" s="1"/>
  <c r="Y21" i="59"/>
  <c r="Z21" i="59" s="1"/>
  <c r="AB21" i="59"/>
  <c r="AB3" i="59"/>
  <c r="AB18" i="59"/>
  <c r="AB19" i="59"/>
  <c r="AB20" i="59"/>
  <c r="B24" i="59"/>
  <c r="B25" i="59"/>
  <c r="S25" i="59" s="1"/>
  <c r="E23" i="59"/>
  <c r="E24" i="59" s="1"/>
  <c r="E25" i="59" s="1"/>
  <c r="U25" i="59" s="1"/>
  <c r="B44" i="59"/>
  <c r="B45" i="59" s="1"/>
  <c r="S45" i="59" s="1"/>
  <c r="E44" i="59"/>
  <c r="E45" i="59"/>
  <c r="U45" i="59" s="1"/>
  <c r="S61" i="59"/>
  <c r="Z31" i="59"/>
  <c r="AA32" i="59"/>
  <c r="F28" i="59"/>
  <c r="F29" i="59" s="1"/>
  <c r="V29" i="59" s="1"/>
  <c r="F36" i="59"/>
  <c r="F37" i="59" s="1"/>
  <c r="V37" i="59" s="1"/>
  <c r="F40" i="59"/>
  <c r="F41" i="59"/>
  <c r="V41" i="59" s="1"/>
  <c r="F48" i="59"/>
  <c r="F49" i="59" s="1"/>
  <c r="V49" i="59" s="1"/>
  <c r="F52" i="59"/>
  <c r="F53" i="59"/>
  <c r="V53" i="59" s="1"/>
  <c r="F56" i="59"/>
  <c r="F57" i="59" s="1"/>
  <c r="V57" i="59" s="1"/>
  <c r="C24" i="59"/>
  <c r="D23" i="59"/>
  <c r="C32" i="59"/>
  <c r="D31" i="59"/>
  <c r="C36" i="59"/>
  <c r="D35" i="59"/>
  <c r="C40" i="59"/>
  <c r="D40" i="59"/>
  <c r="D39" i="59"/>
  <c r="C44" i="59"/>
  <c r="D43" i="59"/>
  <c r="C48" i="59"/>
  <c r="D47" i="59"/>
  <c r="C52" i="59"/>
  <c r="D51" i="59"/>
  <c r="C56" i="59"/>
  <c r="D55" i="59"/>
  <c r="C28" i="59"/>
  <c r="C29" i="59" s="1"/>
  <c r="D27" i="59"/>
  <c r="E59" i="59"/>
  <c r="P58" i="59" s="1"/>
  <c r="N60" i="59"/>
  <c r="B59" i="59"/>
  <c r="N58" i="59" s="1"/>
  <c r="Q60" i="59"/>
  <c r="T61" i="59"/>
  <c r="O61" i="59"/>
  <c r="D61" i="59"/>
  <c r="C60" i="59"/>
  <c r="P61" i="59"/>
  <c r="U61" i="59"/>
  <c r="Q61" i="59"/>
  <c r="C64" i="59"/>
  <c r="E64" i="59"/>
  <c r="E63" i="59" s="1"/>
  <c r="D65" i="59"/>
  <c r="C68" i="59"/>
  <c r="E68" i="59"/>
  <c r="E67" i="59" s="1"/>
  <c r="D69" i="59"/>
  <c r="C72" i="59"/>
  <c r="E72" i="59"/>
  <c r="E71" i="59" s="1"/>
  <c r="D73" i="59"/>
  <c r="C76" i="59"/>
  <c r="C80" i="59"/>
  <c r="D80" i="59" s="1"/>
  <c r="U16" i="4"/>
  <c r="S16" i="4"/>
  <c r="Q16" i="4"/>
  <c r="O16" i="4"/>
  <c r="N16" i="4" s="1"/>
  <c r="M16" i="4"/>
  <c r="K16" i="4"/>
  <c r="P59" i="59"/>
  <c r="C79" i="59"/>
  <c r="D79" i="59" s="1"/>
  <c r="D72" i="59"/>
  <c r="C71" i="59"/>
  <c r="D71" i="59"/>
  <c r="D64" i="59"/>
  <c r="C63" i="59"/>
  <c r="D63" i="59" s="1"/>
  <c r="C59" i="59"/>
  <c r="O59" i="59" s="1"/>
  <c r="O60" i="59"/>
  <c r="D60" i="59"/>
  <c r="D76" i="59"/>
  <c r="C75" i="59"/>
  <c r="D75" i="59" s="1"/>
  <c r="D68" i="59"/>
  <c r="C67" i="59"/>
  <c r="D67" i="59"/>
  <c r="N59" i="59"/>
  <c r="D28" i="59"/>
  <c r="C57" i="59"/>
  <c r="D56" i="59"/>
  <c r="D52" i="59"/>
  <c r="C53" i="59"/>
  <c r="T53" i="59" s="1"/>
  <c r="C49" i="59"/>
  <c r="D48" i="59"/>
  <c r="C45" i="59"/>
  <c r="D44" i="59"/>
  <c r="C37" i="59"/>
  <c r="D36" i="59"/>
  <c r="C33" i="59"/>
  <c r="D32" i="59"/>
  <c r="C25" i="59"/>
  <c r="D24" i="59"/>
  <c r="L16" i="4"/>
  <c r="D53" i="59"/>
  <c r="T25" i="59"/>
  <c r="D25" i="59"/>
  <c r="T33" i="59"/>
  <c r="D33" i="59"/>
  <c r="T37" i="59"/>
  <c r="D37" i="59"/>
  <c r="T45" i="59"/>
  <c r="D45" i="59"/>
  <c r="T49" i="59"/>
  <c r="D49" i="59"/>
  <c r="T57" i="59"/>
  <c r="D57" i="59"/>
  <c r="D5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19" i="6"/>
  <c r="E32" i="6" s="1"/>
  <c r="L19" i="6" s="1"/>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c r="H43" i="21"/>
  <c r="AB43" i="21"/>
  <c r="F32" i="21"/>
  <c r="S32" i="21" s="1"/>
  <c r="F38" i="21"/>
  <c r="S38" i="21" s="1"/>
  <c r="F36" i="21"/>
  <c r="S36" i="21" s="1"/>
  <c r="F39" i="21"/>
  <c r="AA39" i="21" s="1"/>
  <c r="J40" i="21"/>
  <c r="W40" i="21" s="1"/>
  <c r="H35" i="21"/>
  <c r="AB35" i="21" s="1"/>
  <c r="J8" i="21"/>
  <c r="AC8" i="21" s="1"/>
  <c r="J9" i="21"/>
  <c r="AC9" i="21" s="1"/>
  <c r="H8" i="21"/>
  <c r="U8" i="21" s="1"/>
  <c r="H10" i="21"/>
  <c r="U10" i="21" s="1"/>
  <c r="H39" i="21"/>
  <c r="AB39" i="21"/>
  <c r="J34" i="21"/>
  <c r="W34" i="21" s="1"/>
  <c r="H36" i="21"/>
  <c r="U36" i="21"/>
  <c r="F35" i="21"/>
  <c r="AA35" i="21"/>
  <c r="J33" i="21"/>
  <c r="W33" i="21" s="1"/>
  <c r="H33" i="21"/>
  <c r="U33" i="21" s="1"/>
  <c r="F33" i="21"/>
  <c r="S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2" i="36"/>
  <c r="U26" i="36"/>
  <c r="AC31" i="36"/>
  <c r="J33" i="36"/>
  <c r="W33" i="36" s="1"/>
  <c r="AC27" i="35"/>
  <c r="U31" i="35"/>
  <c r="W36" i="35"/>
  <c r="W24" i="35"/>
  <c r="S31" i="35"/>
  <c r="W31" i="35"/>
  <c r="F36" i="34"/>
  <c r="S36" i="34" s="1"/>
  <c r="W9" i="34"/>
  <c r="S34" i="34"/>
  <c r="W39" i="34"/>
  <c r="H39" i="33"/>
  <c r="AB39" i="33"/>
  <c r="F26" i="33"/>
  <c r="AA26" i="33"/>
  <c r="U9" i="33"/>
  <c r="U33" i="33"/>
  <c r="W38" i="33"/>
  <c r="S40" i="33"/>
  <c r="S33" i="33"/>
  <c r="W33" i="33"/>
  <c r="U38" i="33"/>
  <c r="H39" i="37"/>
  <c r="AB39" i="37" s="1"/>
  <c r="AB27" i="35"/>
  <c r="S10" i="40"/>
  <c r="W10" i="40"/>
  <c r="S11" i="40"/>
  <c r="U11" i="40"/>
  <c r="S36" i="40"/>
  <c r="U36" i="40"/>
  <c r="S36" i="39"/>
  <c r="F11" i="21"/>
  <c r="S11" i="21" s="1"/>
  <c r="AA38" i="21"/>
  <c r="AB36" i="21"/>
  <c r="AC35" i="21"/>
  <c r="C29" i="39"/>
  <c r="C23" i="39"/>
  <c r="U36" i="39"/>
  <c r="S42" i="39"/>
  <c r="H32" i="33"/>
  <c r="AB32" i="33"/>
  <c r="H11" i="21"/>
  <c r="U11" i="21" s="1"/>
  <c r="J11" i="21"/>
  <c r="W11" i="21" s="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AC36" i="34"/>
  <c r="AB8" i="34"/>
  <c r="AC37" i="33"/>
  <c r="AA13" i="33"/>
  <c r="AC45" i="33"/>
  <c r="AC33" i="21"/>
  <c r="AA36"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S26" i="21"/>
  <c r="AB12" i="21"/>
  <c r="H32" i="21"/>
  <c r="U32" i="21" s="1"/>
  <c r="AB26" i="21"/>
  <c r="U26" i="21"/>
  <c r="AA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AZ571" i="3" s="1"/>
  <c r="BL570" i="3"/>
  <c r="AZ570" i="3" s="1"/>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AB8"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C47" i="39"/>
  <c r="S47" i="39"/>
  <c r="U37" i="34"/>
  <c r="AB37" i="34"/>
  <c r="AC41" i="40"/>
  <c r="W41" i="40"/>
  <c r="U41" i="40"/>
  <c r="J23" i="40"/>
  <c r="AC23" i="40" s="1"/>
  <c r="G92" i="40"/>
  <c r="F23" i="40"/>
  <c r="S23" i="40"/>
  <c r="AC15" i="40"/>
  <c r="W15" i="40"/>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U35" i="21"/>
  <c r="W43" i="21"/>
  <c r="AA37" i="21"/>
  <c r="AB37" i="21"/>
  <c r="AB32" i="21"/>
  <c r="W28" i="21"/>
  <c r="AC46" i="21"/>
  <c r="AC26" i="21"/>
  <c r="F85" i="21"/>
  <c r="G85" i="21"/>
  <c r="J23" i="21"/>
  <c r="W23" i="21" s="1"/>
  <c r="F23" i="21"/>
  <c r="AA23" i="21" s="1"/>
  <c r="H23" i="21"/>
  <c r="AB23" i="21" s="1"/>
  <c r="F15" i="21"/>
  <c r="S15" i="21" s="1"/>
  <c r="F77" i="21"/>
  <c r="G77" i="21"/>
  <c r="J15" i="21"/>
  <c r="AC15" i="21" s="1"/>
  <c r="H15" i="21"/>
  <c r="U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W13" i="39"/>
  <c r="S11" i="39"/>
  <c r="AB45" i="39"/>
  <c r="AA21" i="39"/>
  <c r="AC38" i="39"/>
  <c r="S29" i="39"/>
  <c r="AC21" i="39"/>
  <c r="S14" i="39"/>
  <c r="AB15" i="39"/>
  <c r="U11" i="39"/>
  <c r="AB38" i="39"/>
  <c r="U31" i="39"/>
  <c r="AB31" i="39"/>
  <c r="S38" i="39"/>
  <c r="M20" i="15"/>
  <c r="D96" i="9"/>
  <c r="F28" i="15"/>
  <c r="M18" i="15"/>
  <c r="A18" i="64"/>
  <c r="B74" i="63"/>
  <c r="C53" i="10"/>
  <c r="A25" i="64" s="1"/>
  <c r="A18" i="51"/>
  <c r="B14" i="63" s="1"/>
  <c r="BA16" i="3"/>
  <c r="BA17" i="3"/>
  <c r="AZ17" i="3"/>
  <c r="F3" i="35"/>
  <c r="K1" i="43"/>
  <c r="K1" i="12"/>
  <c r="G1" i="44"/>
  <c r="I4" i="6"/>
  <c r="G3" i="46"/>
  <c r="Y11" i="46" s="1"/>
  <c r="Y13" i="46" s="1"/>
  <c r="AZ15" i="3"/>
  <c r="BK5" i="3"/>
  <c r="BO5" i="3"/>
  <c r="BP5" i="3"/>
  <c r="BN5" i="3"/>
  <c r="BL18" i="3"/>
  <c r="AZ18" i="3"/>
  <c r="BC5" i="3"/>
  <c r="BD5" i="3"/>
  <c r="BR5" i="3"/>
  <c r="G28" i="6" s="1"/>
  <c r="BS5" i="3"/>
  <c r="BQ5" i="3"/>
  <c r="BL16" i="3"/>
  <c r="BL5" i="3" s="1"/>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T41" i="4"/>
  <c r="A17" i="64" s="1"/>
  <c r="B46" i="50"/>
  <c r="B4" i="63" s="1"/>
  <c r="C46" i="36"/>
  <c r="D46" i="36" s="1"/>
  <c r="E46" i="36" s="1"/>
  <c r="F46" i="36" s="1"/>
  <c r="G46" i="36" s="1"/>
  <c r="H46" i="36" s="1"/>
  <c r="O19" i="46"/>
  <c r="K17" i="4"/>
  <c r="A22" i="51" s="1"/>
  <c r="B16" i="63" s="1"/>
  <c r="H86" i="46"/>
  <c r="H82" i="46"/>
  <c r="H10" i="48"/>
  <c r="H87" i="46"/>
  <c r="H85" i="46"/>
  <c r="H83" i="46"/>
  <c r="K10" i="1"/>
  <c r="M10" i="1" s="1"/>
  <c r="O10" i="1" s="1"/>
  <c r="S11" i="1"/>
  <c r="R11" i="1"/>
  <c r="S13" i="1"/>
  <c r="R13" i="1"/>
  <c r="B6" i="1"/>
  <c r="E6" i="1"/>
  <c r="B10" i="1"/>
  <c r="E10" i="1"/>
  <c r="S10" i="1"/>
  <c r="B8" i="1"/>
  <c r="E8" i="1" s="1"/>
  <c r="B12" i="1"/>
  <c r="E12" i="1" s="1"/>
  <c r="S12" i="1"/>
  <c r="K6"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43" i="39"/>
  <c r="AB33" i="39"/>
  <c r="AC46" i="39"/>
  <c r="S34" i="39"/>
  <c r="W42" i="39"/>
  <c r="W36" i="39"/>
  <c r="AC37" i="39"/>
  <c r="U14" i="39"/>
  <c r="W16" i="39"/>
  <c r="S15" i="39"/>
  <c r="W2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s="1"/>
  <c r="AT6" i="3"/>
  <c r="AZ13" i="3"/>
  <c r="G29" i="6"/>
  <c r="E29" i="6" s="1"/>
  <c r="AZ16" i="3"/>
  <c r="A9" i="64"/>
  <c r="B9" i="63"/>
  <c r="E4" i="4"/>
  <c r="C4" i="4"/>
  <c r="J18" i="36"/>
  <c r="AC18" i="36" s="1"/>
  <c r="AE8" i="1"/>
  <c r="AE7" i="1"/>
  <c r="AE6" i="1"/>
  <c r="W18" i="36"/>
  <c r="AG6" i="1"/>
  <c r="L20" i="6"/>
  <c r="B21" i="55"/>
  <c r="B72" i="63" s="1"/>
  <c r="B20" i="55"/>
  <c r="B70" i="63" s="1"/>
  <c r="S7" i="1"/>
  <c r="S8" i="1"/>
  <c r="S9" i="1"/>
  <c r="R9" i="1"/>
  <c r="R7" i="1"/>
  <c r="R8" i="1"/>
  <c r="C45" i="9"/>
  <c r="H14" i="66" s="1"/>
  <c r="B7" i="66" s="1"/>
  <c r="N76" i="9"/>
  <c r="C46" i="9"/>
  <c r="K33" i="9"/>
  <c r="K34" i="9" s="1"/>
  <c r="O41" i="9"/>
  <c r="I14" i="66"/>
  <c r="B8" i="66" s="1"/>
  <c r="R8" i="54"/>
  <c r="B54" i="63" s="1"/>
  <c r="H58" i="46"/>
  <c r="J17" i="46"/>
  <c r="C17" i="46"/>
  <c r="F34" i="46"/>
  <c r="F38" i="46"/>
  <c r="F37" i="46"/>
  <c r="H113" i="46"/>
  <c r="H49" i="46"/>
  <c r="H53" i="46"/>
  <c r="D16" i="59"/>
  <c r="C15" i="59"/>
  <c r="D15" i="59"/>
  <c r="U13" i="59"/>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G30" i="6"/>
  <c r="G31" i="6" s="1"/>
  <c r="H1" i="65"/>
  <c r="H51" i="46"/>
  <c r="X7" i="46"/>
  <c r="E17" i="46"/>
  <c r="N17" i="46"/>
  <c r="O17" i="46"/>
  <c r="M17" i="46"/>
  <c r="L17" i="46"/>
  <c r="H22" i="46"/>
  <c r="H101" i="46"/>
  <c r="H102" i="46" s="1"/>
  <c r="J22" i="46"/>
  <c r="D101" i="46"/>
  <c r="D106" i="46" s="1"/>
  <c r="E28" i="6"/>
  <c r="P7" i="1"/>
  <c r="P9" i="1"/>
  <c r="G13" i="1"/>
  <c r="H70" i="46"/>
  <c r="H73" i="46"/>
  <c r="H50" i="46"/>
  <c r="H48" i="46"/>
  <c r="F35" i="46"/>
  <c r="I17" i="46"/>
  <c r="H63" i="46"/>
  <c r="I101" i="46"/>
  <c r="I109" i="46" s="1"/>
  <c r="N101" i="46"/>
  <c r="N105" i="46" s="1"/>
  <c r="AD11" i="46"/>
  <c r="AD13" i="46" s="1"/>
  <c r="H64" i="46"/>
  <c r="H66" i="46"/>
  <c r="D100" i="46"/>
  <c r="H62" i="46"/>
  <c r="AF12" i="46"/>
  <c r="K100" i="46"/>
  <c r="AB12" i="46"/>
  <c r="AJ12" i="46"/>
  <c r="C101" i="46"/>
  <c r="C109" i="46" s="1"/>
  <c r="J101" i="46"/>
  <c r="J106" i="46" s="1"/>
  <c r="N104" i="45"/>
  <c r="F22" i="46"/>
  <c r="Z7" i="46"/>
  <c r="E22" i="46"/>
  <c r="AA11" i="46"/>
  <c r="AA13" i="46" s="1"/>
  <c r="AF11" i="46"/>
  <c r="AF13" i="46" s="1"/>
  <c r="H60" i="46"/>
  <c r="H59" i="46"/>
  <c r="H74" i="46"/>
  <c r="H65" i="46"/>
  <c r="AB11" i="46"/>
  <c r="AB13" i="46" s="1"/>
  <c r="H75" i="46"/>
  <c r="E10" i="46"/>
  <c r="E9" i="46"/>
  <c r="E11" i="46"/>
  <c r="E8" i="46"/>
  <c r="H103" i="46"/>
  <c r="H72" i="46"/>
  <c r="H69" i="46"/>
  <c r="H77" i="46"/>
  <c r="H76" i="46"/>
  <c r="H55" i="46"/>
  <c r="H54" i="46"/>
  <c r="H52" i="46"/>
  <c r="H47" i="46"/>
  <c r="AD12" i="46"/>
  <c r="AH12" i="46"/>
  <c r="C14" i="59"/>
  <c r="C13" i="59"/>
  <c r="B14" i="59"/>
  <c r="B13" i="59" s="1"/>
  <c r="B12" i="59" s="1"/>
  <c r="B11" i="59" s="1"/>
  <c r="B10" i="59" s="1"/>
  <c r="S13" i="59"/>
  <c r="D14" i="59"/>
  <c r="H105" i="46"/>
  <c r="D109" i="46"/>
  <c r="K14" i="1"/>
  <c r="M14" i="1" s="1"/>
  <c r="C7" i="46"/>
  <c r="G20" i="46"/>
  <c r="E41" i="46" s="1"/>
  <c r="C41" i="46" s="1"/>
  <c r="S2" i="46"/>
  <c r="S7" i="46"/>
  <c r="S4" i="46"/>
  <c r="J7" i="65"/>
  <c r="B13" i="67"/>
  <c r="N5" i="65"/>
  <c r="N6" i="65"/>
  <c r="L47" i="15"/>
  <c r="I4" i="65"/>
  <c r="I5" i="65"/>
  <c r="M10" i="44"/>
  <c r="F37" i="15"/>
  <c r="F43" i="15"/>
  <c r="M9" i="15"/>
  <c r="M24" i="15"/>
  <c r="E11" i="67"/>
  <c r="M25" i="44"/>
  <c r="M26" i="44"/>
  <c r="E13" i="67"/>
  <c r="C19" i="44"/>
  <c r="F8" i="44"/>
  <c r="B14" i="67"/>
  <c r="E9" i="67"/>
  <c r="F7" i="15"/>
  <c r="E10" i="67"/>
  <c r="M23" i="44"/>
  <c r="F18" i="44"/>
  <c r="M23" i="15"/>
  <c r="F37" i="44"/>
  <c r="F8" i="15"/>
  <c r="B8" i="67"/>
  <c r="F38" i="15"/>
  <c r="J6" i="65"/>
  <c r="F14" i="67"/>
  <c r="J36" i="15"/>
  <c r="F28" i="44"/>
  <c r="M8" i="15"/>
  <c r="F11" i="44"/>
  <c r="J4" i="65"/>
  <c r="B11" i="67"/>
  <c r="B9" i="67"/>
  <c r="M31" i="44"/>
  <c r="N7" i="65"/>
  <c r="F41" i="15"/>
  <c r="F38" i="44"/>
  <c r="B10" i="67"/>
  <c r="J17" i="44"/>
  <c r="F10" i="44"/>
  <c r="L48" i="15"/>
  <c r="F45" i="44"/>
  <c r="E12" i="67"/>
  <c r="N3" i="65"/>
  <c r="F13" i="15"/>
  <c r="F46" i="44"/>
  <c r="F8" i="67"/>
  <c r="E14" i="67"/>
  <c r="F11" i="67"/>
  <c r="F42" i="15"/>
  <c r="B12" i="67"/>
  <c r="I3" i="65"/>
  <c r="N4" i="65"/>
  <c r="F9" i="44"/>
  <c r="M26" i="15"/>
  <c r="F40" i="44"/>
  <c r="M6" i="15"/>
  <c r="M27" i="15"/>
  <c r="F10" i="67"/>
  <c r="F36" i="15"/>
  <c r="J5" i="65"/>
  <c r="M11" i="44"/>
  <c r="I7" i="65"/>
  <c r="F9" i="15"/>
  <c r="F43" i="44"/>
  <c r="F40" i="15"/>
  <c r="F13" i="67"/>
  <c r="L49" i="44"/>
  <c r="J3" i="65"/>
  <c r="F15" i="44"/>
  <c r="E8" i="67"/>
  <c r="M29" i="44"/>
  <c r="M8" i="44"/>
  <c r="I6" i="65"/>
  <c r="M30" i="44"/>
  <c r="F9" i="67"/>
  <c r="F16" i="15"/>
  <c r="F35" i="15"/>
  <c r="M22" i="15"/>
  <c r="M28" i="15"/>
  <c r="M24" i="44"/>
  <c r="J15" i="15"/>
  <c r="F26" i="15"/>
  <c r="F39" i="44"/>
  <c r="M21" i="15"/>
  <c r="F12" i="67"/>
  <c r="F6" i="15"/>
  <c r="M28" i="44"/>
  <c r="M29" i="15"/>
  <c r="L48" i="44"/>
  <c r="E5" i="6" l="1"/>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27" i="6"/>
  <c r="E16" i="6"/>
  <c r="J103" i="46"/>
  <c r="J107" i="46"/>
  <c r="I107" i="46"/>
  <c r="N107" i="46"/>
  <c r="E67" i="39"/>
  <c r="E63" i="39"/>
  <c r="K15" i="1"/>
  <c r="E30" i="6"/>
  <c r="E31" i="6" s="1"/>
  <c r="J109" i="46"/>
  <c r="J105" i="46"/>
  <c r="J104" i="46"/>
  <c r="N102" i="46"/>
  <c r="I103" i="46"/>
  <c r="I104" i="46"/>
  <c r="E58" i="40"/>
  <c r="P10" i="1"/>
  <c r="I105" i="46"/>
  <c r="N103" i="46"/>
  <c r="N109" i="46"/>
  <c r="N104" i="46"/>
  <c r="AP7" i="1"/>
  <c r="G6" i="1"/>
  <c r="O40" i="9"/>
  <c r="A25" i="51"/>
  <c r="B18" i="63" s="1"/>
  <c r="F12" i="59"/>
  <c r="F11" i="59" s="1"/>
  <c r="F10" i="59" s="1"/>
  <c r="F9" i="59" s="1"/>
  <c r="V13" i="59"/>
  <c r="O14" i="1"/>
  <c r="P14" i="1" s="1"/>
  <c r="C12" i="59"/>
  <c r="T13" i="59"/>
  <c r="D13" i="59"/>
  <c r="M109" i="46"/>
  <c r="K31" i="9"/>
  <c r="K32" i="9" s="1"/>
  <c r="R7" i="54"/>
  <c r="B52" i="63"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5" i="3" s="1"/>
  <c r="AZ33" i="3"/>
  <c r="AZ38" i="3"/>
  <c r="AZ49" i="3"/>
  <c r="AZ54" i="3"/>
  <c r="AZ64" i="3"/>
  <c r="AZ69" i="3"/>
  <c r="AZ80" i="3"/>
  <c r="AZ89" i="3"/>
  <c r="AZ104" i="3"/>
  <c r="AZ108" i="3"/>
  <c r="AZ111" i="3"/>
  <c r="B13" i="1"/>
  <c r="E13" i="1" s="1"/>
  <c r="K13" i="1"/>
  <c r="M13" i="1" s="1"/>
  <c r="I21" i="57"/>
  <c r="D1" i="57" s="1"/>
  <c r="E10" i="57" s="1"/>
  <c r="T29" i="59"/>
  <c r="D29" i="59"/>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H7" i="2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E9" i="59"/>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C17" i="15"/>
  <c r="E3" i="65"/>
  <c r="C18" i="44"/>
  <c r="E2" i="65"/>
  <c r="M102" i="46" l="1"/>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T7" i="1" s="1"/>
  <c r="G16" i="1"/>
  <c r="J12" i="40" s="1"/>
  <c r="E3" i="6"/>
  <c r="E8" i="59"/>
  <c r="E7" i="59" s="1"/>
  <c r="E6" i="59" s="1"/>
  <c r="E5" i="59" s="1"/>
  <c r="U5" i="59" s="1"/>
  <c r="U9" i="59"/>
  <c r="C19" i="59"/>
  <c r="D19" i="59" s="1"/>
  <c r="D20" i="59"/>
  <c r="M12" i="1"/>
  <c r="H16" i="1"/>
  <c r="Q16" i="1"/>
  <c r="K16" i="1"/>
  <c r="L22" i="1" s="1"/>
  <c r="O13" i="1"/>
  <c r="P13" i="1" s="1"/>
  <c r="W25" i="37"/>
  <c r="AC25" i="37"/>
  <c r="G5" i="3"/>
  <c r="B3" i="3" s="1"/>
  <c r="E481" i="3" s="1"/>
  <c r="U12" i="36"/>
  <c r="AB12" i="36"/>
  <c r="AB34" i="35"/>
  <c r="U34" i="35"/>
  <c r="W12" i="35"/>
  <c r="AC12" i="35"/>
  <c r="AP16" i="1"/>
  <c r="F22" i="11" s="1"/>
  <c r="C11" i="59"/>
  <c r="D12" i="59"/>
  <c r="T12" i="1"/>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T10" i="1"/>
  <c r="T8" i="1"/>
  <c r="T6" i="1"/>
  <c r="H7" i="35"/>
  <c r="U7" i="35" s="1"/>
  <c r="B40" i="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44"/>
  <c r="C14" i="15"/>
  <c r="T13" i="1" l="1"/>
  <c r="T9" i="1"/>
  <c r="T11" i="1"/>
  <c r="C115" i="46"/>
  <c r="D113" i="46"/>
  <c r="N22" i="1"/>
  <c r="L23" i="1"/>
  <c r="N23" i="1" s="1"/>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C20" i="44"/>
  <c r="C17" i="44"/>
  <c r="C15" i="15"/>
  <c r="C18" i="15"/>
  <c r="E524" i="3"/>
  <c r="E536" i="3"/>
  <c r="D16" i="43"/>
  <c r="C16" i="43" s="1"/>
  <c r="E6" i="6"/>
  <c r="L38" i="9"/>
  <c r="B14" i="66" s="1"/>
  <c r="D45" i="9"/>
  <c r="C21" i="4"/>
  <c r="O5" i="54" s="1"/>
  <c r="B45" i="63" s="1"/>
  <c r="D16" i="12"/>
  <c r="D46" i="9"/>
  <c r="T16" i="1"/>
  <c r="C10" i="59"/>
  <c r="D11" i="5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E34" i="46"/>
  <c r="G34" i="46"/>
  <c r="I34" i="46" s="1"/>
  <c r="J18" i="15"/>
  <c r="J5" i="15"/>
  <c r="C40" i="44"/>
  <c r="J28" i="44"/>
  <c r="J31" i="44" s="1"/>
  <c r="J26" i="44"/>
  <c r="C52" i="15"/>
  <c r="C47" i="15" s="1"/>
  <c r="C10" i="15"/>
  <c r="C5" i="15" s="1"/>
  <c r="C20" i="11"/>
  <c r="C21" i="11" s="1"/>
  <c r="C22" i="11" s="1"/>
  <c r="C23" i="11" s="1"/>
  <c r="B2" i="11" s="1"/>
  <c r="N24" i="1" l="1"/>
  <c r="M24" i="1" s="1"/>
  <c r="M6" i="1" s="1"/>
  <c r="M16" i="1" s="1"/>
  <c r="B1" i="66"/>
  <c r="B24" i="31"/>
  <c r="D42" i="69"/>
  <c r="N38" i="69"/>
  <c r="K28" i="69" s="1"/>
  <c r="N38" i="72"/>
  <c r="K28" i="72" s="1"/>
  <c r="D42" i="72"/>
  <c r="D42" i="71"/>
  <c r="N38" i="71"/>
  <c r="K28" i="71" s="1"/>
  <c r="E48" i="21"/>
  <c r="E53" i="21" s="1"/>
  <c r="F53" i="21" s="1"/>
  <c r="C21" i="44"/>
  <c r="C22" i="44" s="1"/>
  <c r="S12" i="39"/>
  <c r="AA12" i="39"/>
  <c r="C19" i="15"/>
  <c r="C20" i="15" s="1"/>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L16" i="1"/>
  <c r="C13" i="43"/>
  <c r="N16" i="1"/>
  <c r="C29" i="43" s="1"/>
  <c r="C9" i="59"/>
  <c r="D10" i="59"/>
  <c r="D19" i="12"/>
  <c r="C19" i="12" s="1"/>
  <c r="C16" i="12"/>
  <c r="C8" i="66"/>
  <c r="C7" i="66"/>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J26" i="15"/>
  <c r="J29" i="15" s="1"/>
  <c r="J24" i="15"/>
  <c r="C38" i="15"/>
  <c r="Q58" i="44"/>
  <c r="Q67" i="44"/>
  <c r="Q49" i="44"/>
  <c r="Q55" i="44" s="1"/>
  <c r="F7" i="67"/>
  <c r="C15" i="43" l="1"/>
  <c r="O6" i="1"/>
  <c r="O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C28" i="44"/>
  <c r="C26" i="15"/>
  <c r="I27" i="6"/>
  <c r="S19" i="6"/>
  <c r="S27" i="6" s="1"/>
  <c r="C8" i="59"/>
  <c r="T9" i="59"/>
  <c r="D9" i="59"/>
  <c r="C14" i="43"/>
  <c r="C17" i="43"/>
  <c r="C22" i="4"/>
  <c r="D21" i="6"/>
  <c r="D10" i="6"/>
  <c r="H21" i="6"/>
  <c r="D6" i="6"/>
  <c r="D14" i="6"/>
  <c r="D20" i="6"/>
  <c r="H23" i="6"/>
  <c r="F45" i="9"/>
  <c r="E68" i="39"/>
  <c r="D24" i="6"/>
  <c r="H20" i="6"/>
  <c r="D9" i="6"/>
  <c r="D29" i="6"/>
  <c r="D15" i="6"/>
  <c r="E46" i="9"/>
  <c r="E63" i="40"/>
  <c r="D19" i="6"/>
  <c r="D25" i="6"/>
  <c r="D13" i="6"/>
  <c r="H24" i="6"/>
  <c r="D23" i="6"/>
  <c r="D28" i="6"/>
  <c r="D8" i="6"/>
  <c r="E45" i="9"/>
  <c r="K38" i="9"/>
  <c r="C14" i="66"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P6" i="1" l="1"/>
  <c r="C15" i="12" s="1"/>
  <c r="B2" i="66"/>
  <c r="D7" i="66" s="1"/>
  <c r="C17" i="31"/>
  <c r="D30" i="6"/>
  <c r="M38" i="71"/>
  <c r="K27" i="71" s="1"/>
  <c r="E42" i="71"/>
  <c r="E42" i="69"/>
  <c r="M38" i="69"/>
  <c r="K27" i="69" s="1"/>
  <c r="E42" i="72"/>
  <c r="M38" i="72"/>
  <c r="K27" i="72" s="1"/>
  <c r="C24" i="12"/>
  <c r="C18" i="43"/>
  <c r="C19" i="43" s="1"/>
  <c r="C25" i="43" s="1"/>
  <c r="C24" i="43" s="1"/>
  <c r="H27" i="6"/>
  <c r="D16" i="6"/>
  <c r="R23" i="6"/>
  <c r="R24" i="6"/>
  <c r="R20" i="6"/>
  <c r="R22" i="6"/>
  <c r="R25" i="6"/>
  <c r="R21" i="6"/>
  <c r="R26" i="6"/>
  <c r="R19" i="6"/>
  <c r="D27" i="6"/>
  <c r="A6" i="51"/>
  <c r="B7" i="63" s="1"/>
  <c r="A6" i="64"/>
  <c r="A20" i="51"/>
  <c r="B15" i="63" s="1"/>
  <c r="N5" i="54"/>
  <c r="B43" i="63" s="1"/>
  <c r="A20" i="64"/>
  <c r="C7" i="59"/>
  <c r="D8" i="59"/>
  <c r="I65" i="40"/>
  <c r="H67" i="40"/>
  <c r="H72" i="39"/>
  <c r="I70" i="39"/>
  <c r="N46" i="36"/>
  <c r="E3" i="67"/>
  <c r="B2" i="67"/>
  <c r="D4" i="46"/>
  <c r="B3" i="46"/>
  <c r="B4" i="46"/>
  <c r="P16" i="1" l="1"/>
  <c r="C13" i="12" s="1"/>
  <c r="C14" i="12" s="1"/>
  <c r="D31" i="6"/>
  <c r="D8" i="6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D7" i="59"/>
  <c r="C6" i="59"/>
  <c r="I5" i="6"/>
  <c r="I6" i="6"/>
  <c r="O46" i="36"/>
  <c r="J7" i="36" s="1"/>
  <c r="F7" i="36"/>
  <c r="H7" i="36"/>
  <c r="J65" i="40"/>
  <c r="I67" i="40"/>
  <c r="J70" i="39"/>
  <c r="I72" i="39"/>
  <c r="B3" i="67"/>
  <c r="B4" i="67"/>
  <c r="C17" i="12" l="1"/>
  <c r="C18" i="12" s="1"/>
  <c r="C23" i="12" s="1"/>
  <c r="C35" i="12" s="1"/>
  <c r="C33" i="12" s="1"/>
  <c r="D6" i="59"/>
  <c r="C5" i="59"/>
  <c r="K70" i="39"/>
  <c r="J72" i="39"/>
  <c r="U7" i="36"/>
  <c r="AB7" i="36"/>
  <c r="T36" i="36" s="1"/>
  <c r="G36" i="36" s="1"/>
  <c r="AC7" i="36"/>
  <c r="V36" i="36" s="1"/>
  <c r="I36" i="36" s="1"/>
  <c r="W7" i="36"/>
  <c r="J67" i="40"/>
  <c r="K65" i="40"/>
  <c r="S7" i="36"/>
  <c r="AA7" i="36"/>
  <c r="R36" i="36" s="1"/>
  <c r="T5" i="59" l="1"/>
  <c r="D5" i="59"/>
  <c r="M20" i="46" s="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0" i="9"/>
  <c r="D21" i="9"/>
  <c r="G20" i="9" l="1"/>
  <c r="R24" i="31" s="1"/>
  <c r="R27" i="31" s="1"/>
  <c r="S27" i="31" s="1"/>
  <c r="D17" i="66" s="1"/>
  <c r="D8" i="70"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G17" i="66" l="1"/>
  <c r="D63" i="72"/>
  <c r="F17" i="66"/>
  <c r="E17" i="66"/>
  <c r="S24" i="31"/>
  <c r="R26" i="31"/>
  <c r="S26" i="31" s="1"/>
  <c r="D16" i="66" s="1"/>
  <c r="D7" i="70"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L57" i="15" l="1"/>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D63" i="71"/>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D63" i="9"/>
  <c r="D14" i="66"/>
  <c r="D6" i="70" s="1"/>
  <c r="N68" i="9"/>
  <c r="Q69" i="44"/>
  <c r="L58" i="44"/>
  <c r="L61" i="44" s="1"/>
  <c r="Q58" i="15" l="1"/>
  <c r="Q63" i="15" s="1"/>
  <c r="C113" i="72"/>
  <c r="C97" i="72"/>
  <c r="C114" i="72"/>
  <c r="E114" i="72" s="1"/>
  <c r="E115" i="72" s="1"/>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G14" i="66"/>
  <c r="N69" i="9"/>
  <c r="D44" i="9"/>
  <c r="E44" i="9"/>
  <c r="F44" i="9"/>
  <c r="Q59" i="44"/>
  <c r="Q64" i="44" s="1"/>
  <c r="Q68" i="44"/>
  <c r="Q77" i="44" s="1"/>
  <c r="C97" i="71" l="1"/>
  <c r="C98" i="71" s="1"/>
  <c r="E98" i="71" s="1"/>
  <c r="E99" i="71" s="1"/>
  <c r="C113" i="71"/>
  <c r="C114" i="71" s="1"/>
  <c r="E114" i="71" s="1"/>
  <c r="E115" i="71" s="1"/>
  <c r="C97" i="69"/>
  <c r="C115" i="72"/>
  <c r="D76" i="72" s="1"/>
  <c r="D74" i="72" s="1"/>
  <c r="N74" i="72" s="1"/>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O77" i="72" l="1"/>
  <c r="O78" i="72" s="1"/>
  <c r="E8" i="70"/>
  <c r="F8" i="70" s="1"/>
  <c r="C99" i="72"/>
  <c r="C99" i="71"/>
  <c r="C115" i="71"/>
  <c r="C99" i="69"/>
  <c r="C114" i="69"/>
  <c r="E114" i="69" s="1"/>
  <c r="E115" i="69" s="1"/>
  <c r="C99" i="9"/>
  <c r="N89" i="9"/>
  <c r="O89" i="9" s="1"/>
  <c r="C114" i="9"/>
  <c r="E114" i="9" s="1"/>
  <c r="E115" i="9" s="1"/>
  <c r="Q77" i="72" l="1"/>
  <c r="O79" i="72"/>
  <c r="O81" i="72" s="1"/>
  <c r="D76" i="71"/>
  <c r="D74" i="71" s="1"/>
  <c r="N74" i="71" s="1"/>
  <c r="C115" i="69"/>
  <c r="D76" i="69" s="1"/>
  <c r="D74" i="69" s="1"/>
  <c r="N74" i="69" s="1"/>
  <c r="C115" i="9"/>
  <c r="D76" i="9" s="1"/>
  <c r="D74" i="9" s="1"/>
  <c r="N74" i="9" s="1"/>
  <c r="O80" i="72" l="1"/>
  <c r="O77" i="71"/>
  <c r="O78" i="71" s="1"/>
  <c r="E7" i="70"/>
  <c r="F7" i="70" s="1"/>
  <c r="O77" i="69"/>
  <c r="O78" i="69" s="1"/>
  <c r="O77" i="9"/>
  <c r="O78" i="9" s="1"/>
  <c r="E6" i="70"/>
  <c r="F6" i="70" s="1"/>
  <c r="Q77" i="71" l="1"/>
  <c r="Q77" i="9"/>
  <c r="Q77" i="69"/>
  <c r="O79" i="69"/>
  <c r="O81" i="69" s="1"/>
  <c r="O79" i="71"/>
  <c r="O80" i="71" s="1"/>
  <c r="O79" i="9"/>
  <c r="O81" i="9" s="1"/>
  <c r="O81" i="71"/>
  <c r="O80" i="69"/>
  <c r="O80" i="9" l="1"/>
  <c r="D18" i="66" l="1"/>
  <c r="G18" i="66" l="1"/>
  <c r="B6" i="66" s="1"/>
  <c r="D6" i="66" s="1"/>
  <c r="D9" i="70"/>
  <c r="D10" i="70" s="1"/>
  <c r="E18" i="66"/>
  <c r="F18" i="66"/>
  <c r="B5" i="66"/>
  <c r="C6" i="66" l="1"/>
  <c r="C5" i="66"/>
  <c r="D5" i="66"/>
  <c r="E9" i="70" l="1"/>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<sst xmlns="http://schemas.openxmlformats.org/spreadsheetml/2006/main" count="8579" uniqueCount="3176">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</sst>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400050</xdr:colOff>
      <xdr:row>3</xdr:row>
      <xdr:rowOff>28575</xdr:rowOff>
    </xdr:from>
    <xdr:to>
      <xdr:col>11</xdr:col>
      <xdr:colOff>409231</xdr:colOff>
      <xdr:row>11</xdr:row>
      <xdr:rowOff>66499</xdr:rowOff>
    </xdr:to>
    <xdr:pic>
      <xdr:nvPicPr>
        <xdr:cNvPr id="2" name="图片 1"/>
        <xdr:cNvPicPr>
          <a:picLocks noChangeAspect="1"/>
        </xdr:cNvPicPr>
      </xdr:nvPicPr>
      <xdr:blipFill>
        <a:blip xmlns:r="http://schemas.openxmlformats.org/officeDocument/2006/relationships" r:embed="rId1"/>
        <a:stretch>
          <a:fillRect/>
        </a:stretch>
      </xdr:blipFill>
      <xdr:spPr>
        <a:xfrm>
          <a:off x="5200650" y="542925"/>
          <a:ext cx="2752381"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cell r="D14">
            <v>20647</v>
          </cell>
        </row>
      </sheetData>
      <sheetData sheetId="17">
        <row r="74">
          <cell r="N74">
            <v>5036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5757</v>
      </c>
    </row>
    <row r="47" spans="1:2">
      <c r="A47" s="2594" t="s">
        <v>2703</v>
      </c>
      <c r="B47" s="2595">
        <f ca="1">'预评函-2'!Q5</f>
        <v>2303</v>
      </c>
    </row>
    <row r="48" spans="1:2">
      <c r="A48" s="2594" t="s">
        <v>2704</v>
      </c>
      <c r="B48" s="2595">
        <f ca="1">'预评函-2'!R5</f>
        <v>31332</v>
      </c>
    </row>
    <row r="49" spans="1:2">
      <c r="A49" s="2594" t="s">
        <v>2720</v>
      </c>
      <c r="B49" s="2595" t="str">
        <f>'预评函-2'!A6</f>
        <v>抵押价格</v>
      </c>
    </row>
    <row r="50" spans="1:2">
      <c r="A50" s="2594" t="s">
        <v>2705</v>
      </c>
      <c r="B50" s="2595">
        <f ca="1">'预评函-2'!R6</f>
        <v>31332</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H27" sqref="H2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92" t="str">
        <f>IF(B10="北京市","北京市",C10)&amp;F10&amp;B16&amp;"国有建设用地使用权"&amp;B9&amp;"预评估"</f>
        <v>出让国有建设用地使用权抵押价格预评估</v>
      </c>
      <c r="C1" s="3393"/>
      <c r="D1" s="3393"/>
      <c r="E1" s="3393"/>
      <c r="F1" s="3393"/>
      <c r="G1" s="3393"/>
      <c r="H1" s="3393"/>
      <c r="I1" s="3394"/>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398"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399"/>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95"/>
      <c r="C12" s="3396"/>
      <c r="D12" s="3397"/>
      <c r="E12" s="1619" t="s">
        <v>2049</v>
      </c>
      <c r="F12" s="3413" t="s">
        <v>2863</v>
      </c>
      <c r="G12" s="3414"/>
      <c r="H12" s="3414"/>
      <c r="I12" s="3415"/>
      <c r="J12" s="3073"/>
      <c r="K12" s="3056"/>
      <c r="L12" s="3052"/>
      <c r="M12" s="3052"/>
      <c r="N12" s="3053"/>
      <c r="O12" s="3054"/>
      <c r="P12" s="3053"/>
      <c r="Q12" s="3053"/>
      <c r="R12" s="3053"/>
      <c r="S12" s="3053"/>
      <c r="T12" s="3053"/>
      <c r="U12" s="3053"/>
    </row>
    <row r="13" spans="1:21">
      <c r="A13" s="1610" t="s">
        <v>2047</v>
      </c>
      <c r="B13" s="3395"/>
      <c r="C13" s="3396"/>
      <c r="D13" s="3397"/>
      <c r="E13" s="1619" t="s">
        <v>2049</v>
      </c>
      <c r="F13" s="3413" t="s">
        <v>2864</v>
      </c>
      <c r="G13" s="3414"/>
      <c r="H13" s="3414"/>
      <c r="I13" s="3415"/>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10"/>
      <c r="E20" s="3411"/>
      <c r="F20" s="3411"/>
      <c r="G20" s="3411"/>
      <c r="H20" s="3411"/>
      <c r="I20" s="3412"/>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400" t="s">
        <v>1986</v>
      </c>
      <c r="F21" s="3401"/>
      <c r="G21" s="3401"/>
      <c r="H21" s="3401"/>
      <c r="I21" s="3402"/>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400" t="s">
        <v>2865</v>
      </c>
      <c r="F22" s="3401"/>
      <c r="G22" s="3401"/>
      <c r="H22" s="3401"/>
      <c r="I22" s="3402"/>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403" t="s">
        <v>1954</v>
      </c>
      <c r="C24" s="3404"/>
      <c r="D24" s="3405" t="s">
        <v>1955</v>
      </c>
      <c r="E24" s="3406"/>
      <c r="F24" s="1628" t="s">
        <v>1956</v>
      </c>
      <c r="G24" s="3073"/>
      <c r="H24" s="3073"/>
      <c r="I24" s="3077"/>
      <c r="J24" s="3073"/>
      <c r="K24" s="3391"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9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9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77" t="s">
        <v>1989</v>
      </c>
      <c r="B31" s="1680" t="s">
        <v>1990</v>
      </c>
      <c r="C31" s="3416"/>
      <c r="D31" s="3417"/>
      <c r="E31" s="3073"/>
      <c r="F31" s="3073"/>
      <c r="G31" s="3073"/>
      <c r="H31" s="3073"/>
      <c r="I31" s="3077"/>
      <c r="J31" s="3073"/>
      <c r="K31" s="3059"/>
      <c r="L31" s="3053"/>
      <c r="M31" s="3053"/>
      <c r="N31" s="3053"/>
      <c r="O31" s="3053"/>
      <c r="P31" s="3053"/>
      <c r="Q31" s="3053"/>
      <c r="R31" s="3053"/>
      <c r="S31" s="3053"/>
      <c r="T31" s="3053"/>
      <c r="U31" s="3053"/>
    </row>
    <row r="32" spans="1:21">
      <c r="A32" s="3377"/>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77"/>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78"/>
      <c r="B34" s="1587" t="s">
        <v>1993</v>
      </c>
      <c r="C34" s="3379"/>
      <c r="D34" s="3380"/>
      <c r="E34" s="3073"/>
      <c r="F34" s="3073"/>
      <c r="G34" s="3073"/>
      <c r="H34" s="3073"/>
      <c r="I34" s="3077"/>
      <c r="J34" s="3073"/>
      <c r="K34" s="3059"/>
      <c r="L34" s="3053"/>
      <c r="M34" s="3053"/>
      <c r="N34" s="3053"/>
      <c r="O34" s="3053"/>
      <c r="P34" s="3053"/>
      <c r="Q34" s="3053"/>
      <c r="R34" s="3053"/>
      <c r="S34" s="3053"/>
      <c r="T34" s="3053"/>
      <c r="U34" s="3053"/>
    </row>
    <row r="35" spans="1:28">
      <c r="A35" s="3381" t="s">
        <v>838</v>
      </c>
      <c r="B35" s="1642"/>
      <c r="C35" s="1689" t="str">
        <f>IF(B35="场地平整","——","具体情况：")</f>
        <v>具体情况：</v>
      </c>
      <c r="D35" s="3383"/>
      <c r="E35" s="3384"/>
      <c r="F35" s="3384"/>
      <c r="G35" s="3384"/>
      <c r="H35" s="3384"/>
      <c r="I35" s="3385"/>
      <c r="J35" s="3073"/>
      <c r="K35" s="3060"/>
      <c r="L35" s="3052"/>
      <c r="M35" s="3052"/>
      <c r="N35" s="3053"/>
      <c r="O35" s="3054"/>
      <c r="P35" s="3053"/>
      <c r="Q35" s="3053"/>
      <c r="R35" s="3053"/>
      <c r="S35" s="3053"/>
      <c r="T35" s="3053"/>
      <c r="U35" s="3053"/>
    </row>
    <row r="36" spans="1:28">
      <c r="A36" s="3377"/>
      <c r="B36" s="3386" t="s">
        <v>2042</v>
      </c>
      <c r="C36" s="3387"/>
      <c r="D36" s="1705"/>
      <c r="E36" s="3388"/>
      <c r="F36" s="3388"/>
      <c r="G36" s="1610" t="str">
        <f>IF(B35="场地未平整","估价结果处理","")</f>
        <v/>
      </c>
      <c r="H36" s="3389"/>
      <c r="I36" s="3389"/>
      <c r="J36" s="3073"/>
      <c r="K36" s="3060"/>
      <c r="L36" s="3052"/>
      <c r="M36" s="3052"/>
      <c r="N36" s="3053"/>
      <c r="O36" s="3054"/>
      <c r="P36" s="3053"/>
      <c r="Q36" s="3053"/>
      <c r="R36" s="3053"/>
      <c r="S36" s="3053"/>
      <c r="T36" s="3053"/>
      <c r="U36" s="3053"/>
    </row>
    <row r="37" spans="1:28" ht="28.5">
      <c r="A37" s="3377"/>
      <c r="B37" s="3407"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77"/>
      <c r="B38" s="3408"/>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378"/>
      <c r="B39" s="3409"/>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90" t="s">
        <v>1973</v>
      </c>
      <c r="T40" s="1651" t="str">
        <f>NUMBERSTRING(7-K40,1)&amp;"通"</f>
        <v>七通</v>
      </c>
      <c r="U40" s="3053"/>
    </row>
    <row r="41" spans="1:28">
      <c r="A41" s="1589"/>
      <c r="B41" s="3382" t="s">
        <v>1711</v>
      </c>
      <c r="C41" s="3382"/>
      <c r="D41" s="3382"/>
      <c r="E41" s="3382"/>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0"/>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8" t="s">
        <v>0</v>
      </c>
      <c r="B1" s="3418" t="s">
        <v>4</v>
      </c>
      <c r="C1" s="3418" t="s">
        <v>5</v>
      </c>
      <c r="D1" s="3419" t="s">
        <v>40</v>
      </c>
      <c r="E1" s="3419" t="s">
        <v>41</v>
      </c>
      <c r="F1" s="3419"/>
      <c r="G1" s="3419"/>
      <c r="H1" s="3419"/>
      <c r="I1" s="3419"/>
      <c r="J1" s="3419"/>
      <c r="K1" s="3419"/>
      <c r="L1" s="3419"/>
      <c r="M1" s="3419"/>
    </row>
    <row r="2" spans="1:13" ht="27" customHeight="1">
      <c r="A2" s="3418"/>
      <c r="B2" s="3418"/>
      <c r="C2" s="3418"/>
      <c r="D2" s="3419"/>
      <c r="E2" s="3419" t="s">
        <v>24</v>
      </c>
      <c r="F2" s="3419" t="s">
        <v>25</v>
      </c>
      <c r="G2" s="3419"/>
      <c r="H2" s="3419"/>
      <c r="I2" s="3419"/>
      <c r="J2" s="3419" t="s">
        <v>26</v>
      </c>
      <c r="K2" s="3419"/>
      <c r="L2" s="3419"/>
      <c r="M2" s="3419"/>
    </row>
    <row r="3" spans="1:13" ht="28.5">
      <c r="A3" s="3418"/>
      <c r="B3" s="3418"/>
      <c r="C3" s="3418"/>
      <c r="D3" s="3419"/>
      <c r="E3" s="34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9" t="s">
        <v>42</v>
      </c>
      <c r="B9" s="3419"/>
      <c r="C9" s="34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4" sqref="G44"/>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29" t="s">
        <v>203</v>
      </c>
      <c r="B2" s="3429"/>
      <c r="C2" s="3429"/>
      <c r="D2" s="1888" t="s">
        <v>204</v>
      </c>
      <c r="E2" s="106" t="s">
        <v>205</v>
      </c>
      <c r="F2" s="3082"/>
      <c r="G2" s="1180"/>
      <c r="H2" s="1181"/>
      <c r="I2" s="1182" t="s">
        <v>848</v>
      </c>
      <c r="J2" s="3082"/>
      <c r="K2" s="3082"/>
      <c r="L2" s="3082"/>
      <c r="M2" s="3082"/>
      <c r="N2" s="3082"/>
      <c r="O2" s="3082"/>
      <c r="P2" s="3082"/>
    </row>
    <row r="3" spans="1:16" ht="15.75" thickBot="1">
      <c r="A3" s="3430" t="s">
        <v>206</v>
      </c>
      <c r="B3" s="3430"/>
      <c r="C3" s="3430"/>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1"/>
      <c r="B4" s="3432"/>
      <c r="C4" s="3433"/>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34" t="s">
        <v>230</v>
      </c>
      <c r="C5" s="3434"/>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34" t="s">
        <v>208</v>
      </c>
      <c r="C6" s="3434"/>
      <c r="D6" s="111">
        <f>ROUND($D$3*E6/$E$3,2)</f>
        <v>0</v>
      </c>
      <c r="E6" s="112">
        <f>E3-E5</f>
        <v>0</v>
      </c>
      <c r="F6" s="3082"/>
      <c r="G6" s="1183"/>
      <c r="H6" s="273" t="s">
        <v>851</v>
      </c>
      <c r="I6" s="1889">
        <f>ROUND(F31/D31,2)</f>
        <v>2.5</v>
      </c>
      <c r="J6" s="3082"/>
      <c r="K6" s="3082"/>
      <c r="L6" s="3082"/>
      <c r="M6" s="3082"/>
      <c r="N6" s="3082"/>
      <c r="O6" s="3082"/>
      <c r="P6" s="3082"/>
    </row>
    <row r="7" spans="1:16" ht="15">
      <c r="A7" s="3426"/>
      <c r="B7" s="3427"/>
      <c r="C7" s="3428"/>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0" t="s">
        <v>2546</v>
      </c>
      <c r="L16" s="3421"/>
      <c r="M16" s="3421"/>
      <c r="N16" s="3421"/>
      <c r="O16" s="3421"/>
      <c r="P16" s="3422"/>
    </row>
    <row r="17" spans="1:19" ht="15">
      <c r="A17" s="121" t="s">
        <v>216</v>
      </c>
      <c r="B17" s="122" t="s">
        <v>217</v>
      </c>
      <c r="C17" s="2177" t="s">
        <v>2300</v>
      </c>
      <c r="D17" s="108" t="s">
        <v>204</v>
      </c>
      <c r="E17" s="124" t="s">
        <v>205</v>
      </c>
      <c r="F17" s="125"/>
      <c r="G17" s="1318"/>
      <c r="H17" s="957" t="s">
        <v>218</v>
      </c>
      <c r="I17" s="958" t="s">
        <v>2299</v>
      </c>
      <c r="J17" s="1897"/>
      <c r="K17" s="3423" t="s">
        <v>2547</v>
      </c>
      <c r="L17" s="3424"/>
      <c r="M17" s="3425"/>
      <c r="N17" s="3423" t="s">
        <v>2548</v>
      </c>
      <c r="O17" s="3424"/>
      <c r="P17" s="3425"/>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5" t="s">
        <v>1653</v>
      </c>
      <c r="B1" s="3436"/>
      <c r="C1" s="3436"/>
      <c r="D1" s="3436"/>
      <c r="E1" s="3436"/>
      <c r="F1" s="3436"/>
      <c r="G1" s="3436"/>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29" sqref="E29"/>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105673</v>
      </c>
      <c r="C5" s="3185">
        <f ca="1">ROUND(B5*10000/$B$1,0)</f>
        <v>2138</v>
      </c>
      <c r="D5" s="3185">
        <f ca="1">ROUND(B5*10000/$B$2,0)</f>
        <v>6207</v>
      </c>
      <c r="E5" s="3194"/>
      <c r="F5" s="3194"/>
      <c r="G5" s="3195"/>
      <c r="H5" s="3195"/>
      <c r="I5" s="3195"/>
      <c r="J5" s="3195"/>
    </row>
    <row r="6" spans="1:10" ht="16.5">
      <c r="A6" s="3185" t="s">
        <v>2830</v>
      </c>
      <c r="B6" s="3185">
        <f ca="1">SUM(G14:G23)</f>
        <v>105673</v>
      </c>
      <c r="C6" s="3185">
        <f t="shared" ref="C6:C8" ca="1" si="0">ROUND(B6*10000/$B$1,0)</f>
        <v>2138</v>
      </c>
      <c r="D6" s="3185">
        <f t="shared" ref="D6:D8" ca="1" si="1">ROUND(B6*10000/$B$2,0)</f>
        <v>6207</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SUM(I14:I23)</f>
        <v>0</v>
      </c>
      <c r="C8" s="3185">
        <f t="shared" si="0"/>
        <v>0</v>
      </c>
      <c r="D8" s="3185">
        <f t="shared" si="1"/>
        <v>0</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结果表!C42</f>
        <v>31332</v>
      </c>
      <c r="E14" s="3191">
        <f ca="1">ROUND(D14*10000/B14,0)</f>
        <v>2303</v>
      </c>
      <c r="F14" s="3191">
        <f ca="1">ROUND(D14*10000/C14,0)</f>
        <v>5757</v>
      </c>
      <c r="G14" s="3191">
        <f ca="1">结果表!C44</f>
        <v>31332</v>
      </c>
      <c r="H14" s="3191" t="str">
        <f>结果表!C45</f>
        <v>——</v>
      </c>
      <c r="I14" s="3191" t="str">
        <f>结果表!C46</f>
        <v>——</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32352</v>
      </c>
      <c r="E16" s="3191">
        <f t="shared" ca="1" si="2"/>
        <v>2303</v>
      </c>
      <c r="F16" s="3191">
        <f t="shared" ca="1" si="3"/>
        <v>5758</v>
      </c>
      <c r="G16" s="2757">
        <f ca="1">D16</f>
        <v>32352</v>
      </c>
      <c r="H16" s="2757"/>
      <c r="I16" s="3192"/>
      <c r="J16" s="3195"/>
    </row>
    <row r="17" spans="1:10" ht="16.5">
      <c r="A17" s="3190" t="s">
        <v>3174</v>
      </c>
      <c r="B17" s="3192">
        <f>C17*2.5</f>
        <v>94559.599999999991</v>
      </c>
      <c r="C17" s="3192">
        <v>37823.839999999997</v>
      </c>
      <c r="D17" s="3192">
        <f ca="1">典型户型修正!S27</f>
        <v>21342</v>
      </c>
      <c r="E17" s="3191">
        <f t="shared" ca="1" si="2"/>
        <v>2257</v>
      </c>
      <c r="F17" s="3191">
        <f t="shared" ca="1" si="3"/>
        <v>5642</v>
      </c>
      <c r="G17" s="2757">
        <f ca="1">D17</f>
        <v>21342</v>
      </c>
      <c r="H17" s="2757"/>
      <c r="I17" s="3192"/>
      <c r="J17" s="3195"/>
    </row>
    <row r="18" spans="1:10" ht="16.5">
      <c r="A18" s="3190" t="s">
        <v>3175</v>
      </c>
      <c r="B18" s="3192">
        <f>[1]系统读取表!$B$14</f>
        <v>123171.43999999999</v>
      </c>
      <c r="C18" s="3192">
        <f>[1]系统读取表!$C$14</f>
        <v>21807.34</v>
      </c>
      <c r="D18" s="3192">
        <f ca="1">[1]系统读取表!$D$14</f>
        <v>20647</v>
      </c>
      <c r="E18" s="3191">
        <f t="shared" ca="1" si="2"/>
        <v>1676</v>
      </c>
      <c r="F18" s="3191">
        <f t="shared" ca="1" si="3"/>
        <v>9468</v>
      </c>
      <c r="G18" s="3192">
        <f ca="1">D18</f>
        <v>20647</v>
      </c>
      <c r="H18" s="3192"/>
      <c r="I18" s="3192"/>
      <c r="J18" s="3195"/>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H39" sqref="H3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1" t="str">
        <f>项目基本情况!K2</f>
        <v>出让国有建设用地使用权</v>
      </c>
      <c r="B2" s="3482"/>
      <c r="C2" s="3483"/>
      <c r="D2" s="3483"/>
      <c r="E2" s="3483"/>
      <c r="F2" s="3483"/>
      <c r="G2" s="3482"/>
      <c r="H2" s="3482"/>
      <c r="I2" s="3484"/>
      <c r="J2" s="1912"/>
      <c r="K2" s="1911"/>
      <c r="L2" s="1911"/>
      <c r="M2" s="1911"/>
      <c r="N2" s="1911"/>
      <c r="O2" s="1911"/>
      <c r="P2" s="1911"/>
      <c r="Q2" s="1911"/>
      <c r="R2" s="1911"/>
      <c r="S2" s="1911"/>
      <c r="T2" s="1911"/>
      <c r="U2" s="1911"/>
      <c r="V2" s="1911"/>
    </row>
    <row r="3" spans="1:22" ht="14.25">
      <c r="A3" s="3474" t="s">
        <v>298</v>
      </c>
      <c r="B3" s="3475"/>
      <c r="C3" s="3475"/>
      <c r="D3" s="3475"/>
      <c r="E3" s="3475"/>
      <c r="F3" s="3475"/>
      <c r="G3" s="3475"/>
      <c r="H3" s="3475"/>
      <c r="I3" s="3475"/>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40" t="s">
        <v>301</v>
      </c>
      <c r="F4" s="3441"/>
      <c r="G4" s="3441"/>
      <c r="H4" s="3441"/>
      <c r="I4" s="3476"/>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39" t="s">
        <v>302</v>
      </c>
      <c r="B5" s="3468">
        <v>25</v>
      </c>
      <c r="C5" s="3466"/>
      <c r="D5" s="3470"/>
      <c r="E5" s="259" t="s">
        <v>303</v>
      </c>
      <c r="F5" s="260"/>
      <c r="G5" s="260"/>
      <c r="H5" s="260"/>
      <c r="I5" s="261"/>
      <c r="J5" s="1912"/>
      <c r="K5" s="1911"/>
      <c r="L5" s="1911"/>
      <c r="M5" s="1911"/>
      <c r="N5" s="1911"/>
      <c r="O5" s="1911"/>
      <c r="P5" s="1911"/>
      <c r="Q5" s="1911"/>
      <c r="R5" s="1911"/>
      <c r="S5" s="1911"/>
      <c r="T5" s="1911"/>
      <c r="U5" s="1911"/>
      <c r="V5" s="1911"/>
    </row>
    <row r="6" spans="1:22" ht="14.25">
      <c r="A6" s="3439"/>
      <c r="B6" s="3468"/>
      <c r="C6" s="3469"/>
      <c r="D6" s="3470"/>
      <c r="E6" s="259" t="s">
        <v>304</v>
      </c>
      <c r="F6" s="260"/>
      <c r="G6" s="260"/>
      <c r="H6" s="260"/>
      <c r="I6" s="261"/>
      <c r="J6" s="1912"/>
      <c r="K6" s="1911"/>
      <c r="L6" s="1911"/>
      <c r="M6" s="1911"/>
      <c r="N6" s="1911"/>
      <c r="O6" s="1911"/>
      <c r="P6" s="1911"/>
      <c r="Q6" s="1911"/>
      <c r="R6" s="1911"/>
      <c r="S6" s="1911"/>
      <c r="T6" s="1911"/>
      <c r="U6" s="1911"/>
      <c r="V6" s="1911"/>
    </row>
    <row r="7" spans="1:22" ht="14.25">
      <c r="A7" s="3439"/>
      <c r="B7" s="3468"/>
      <c r="C7" s="3467"/>
      <c r="D7" s="3470"/>
      <c r="E7" s="259" t="s">
        <v>305</v>
      </c>
      <c r="F7" s="260"/>
      <c r="G7" s="260"/>
      <c r="H7" s="260"/>
      <c r="I7" s="261"/>
      <c r="J7" s="1912"/>
      <c r="K7" s="1911"/>
      <c r="L7" s="1911"/>
      <c r="M7" s="1911"/>
      <c r="N7" s="1911"/>
      <c r="O7" s="1911"/>
      <c r="P7" s="1911"/>
      <c r="Q7" s="1911"/>
      <c r="R7" s="1911"/>
      <c r="S7" s="1911"/>
      <c r="T7" s="1911"/>
      <c r="U7" s="1911"/>
      <c r="V7" s="1911"/>
    </row>
    <row r="8" spans="1:22" ht="14.25">
      <c r="A8" s="3439" t="s">
        <v>306</v>
      </c>
      <c r="B8" s="3468">
        <v>15</v>
      </c>
      <c r="C8" s="3466"/>
      <c r="D8" s="3470"/>
      <c r="E8" s="259" t="s">
        <v>307</v>
      </c>
      <c r="F8" s="260"/>
      <c r="G8" s="260"/>
      <c r="H8" s="260"/>
      <c r="I8" s="261"/>
      <c r="J8" s="1912"/>
      <c r="K8" s="1911"/>
      <c r="L8" s="1911"/>
      <c r="M8" s="1911"/>
      <c r="N8" s="1911"/>
      <c r="O8" s="1911"/>
      <c r="P8" s="1911"/>
      <c r="Q8" s="1911"/>
      <c r="R8" s="1911"/>
      <c r="S8" s="1911"/>
      <c r="T8" s="1911"/>
      <c r="U8" s="1911"/>
      <c r="V8" s="1911"/>
    </row>
    <row r="9" spans="1:22" ht="14.25">
      <c r="A9" s="3439"/>
      <c r="B9" s="3468"/>
      <c r="C9" s="3467"/>
      <c r="D9" s="3470"/>
      <c r="E9" s="259" t="s">
        <v>308</v>
      </c>
      <c r="F9" s="260"/>
      <c r="G9" s="260"/>
      <c r="H9" s="260"/>
      <c r="I9" s="261"/>
      <c r="J9" s="1912"/>
      <c r="K9" s="1911"/>
      <c r="L9" s="1911"/>
      <c r="M9" s="1911"/>
      <c r="N9" s="1911"/>
      <c r="O9" s="1911"/>
      <c r="P9" s="1911"/>
      <c r="Q9" s="1911"/>
      <c r="R9" s="1911"/>
      <c r="S9" s="1911"/>
      <c r="T9" s="1911"/>
      <c r="U9" s="1911"/>
      <c r="V9" s="1911"/>
    </row>
    <row r="10" spans="1:22" ht="14.25">
      <c r="A10" s="3439" t="s">
        <v>309</v>
      </c>
      <c r="B10" s="3468">
        <v>15</v>
      </c>
      <c r="C10" s="3466"/>
      <c r="D10" s="347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9"/>
      <c r="B11" s="3468"/>
      <c r="C11" s="3467"/>
      <c r="D11" s="347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9" t="s">
        <v>312</v>
      </c>
      <c r="B12" s="3468">
        <v>15</v>
      </c>
      <c r="C12" s="3466"/>
      <c r="D12" s="347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9"/>
      <c r="B13" s="3468"/>
      <c r="C13" s="3467"/>
      <c r="D13" s="347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9" t="s">
        <v>315</v>
      </c>
      <c r="B14" s="3468">
        <v>30</v>
      </c>
      <c r="C14" s="3466">
        <v>6</v>
      </c>
      <c r="D14" s="3470">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9"/>
      <c r="B15" s="3468"/>
      <c r="C15" s="3469"/>
      <c r="D15" s="347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9"/>
      <c r="B16" s="3468"/>
      <c r="C16" s="3467"/>
      <c r="D16" s="347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471" t="s">
        <v>2958</v>
      </c>
      <c r="F18" s="3472"/>
      <c r="G18" s="3472"/>
      <c r="H18" s="3472"/>
      <c r="I18" s="3472"/>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39612</v>
      </c>
      <c r="E19" s="266" t="s">
        <v>323</v>
      </c>
      <c r="F19" s="267" t="s">
        <v>322</v>
      </c>
      <c r="G19" s="270">
        <f ca="1">ROUND(C19*$C$18+D19*$D$18,0)</f>
        <v>31332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2911</v>
      </c>
      <c r="E20" s="272"/>
      <c r="F20" s="273" t="s">
        <v>325</v>
      </c>
      <c r="G20" s="276">
        <f ca="1">ROUND(C20*$C$18+D20*$D$18,0)</f>
        <v>2303</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7278</v>
      </c>
      <c r="E21" s="272"/>
      <c r="F21" s="278" t="s">
        <v>327</v>
      </c>
      <c r="G21" s="280">
        <f ca="1">ROUND(C21*$C$18+D21*$D$18,0)</f>
        <v>5757</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0.53463505346350537</v>
      </c>
      <c r="E22" s="282"/>
      <c r="F22" s="283"/>
      <c r="G22" s="284">
        <f ca="1">ROUND(G19/('数据-汇总表'!D3/666.67),0)</f>
        <v>384</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6"/>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出让国有建设用地使用权价格：31332万元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大写金额：人民币叁亿壹仟叁佰叁拾贰万元整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单位面积地价：5757元/平方米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楼面地价：2303元/平方米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抵押价格：31332万元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大写金额：人民币叁亿壹仟叁佰叁拾贰万元整</v>
      </c>
      <c r="L30" s="1205"/>
      <c r="M30" s="1205"/>
      <c r="N30" s="1205"/>
      <c r="O30" s="1204"/>
      <c r="P30" s="1911"/>
      <c r="V30" s="1911"/>
    </row>
    <row r="31" spans="1:26" ht="24" customHeight="1" thickBot="1">
      <c r="A31" s="3473" t="s">
        <v>2960</v>
      </c>
      <c r="B31" s="3473"/>
      <c r="C31" s="3473"/>
      <c r="D31" s="3473"/>
      <c r="E31" s="3473"/>
      <c r="F31" s="3473"/>
      <c r="G31" s="3473"/>
      <c r="H31" s="3473"/>
      <c r="I31" s="3473"/>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31332</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2303</v>
      </c>
      <c r="D33" s="1333" t="s">
        <v>1681</v>
      </c>
      <c r="E33" s="3445"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5757</v>
      </c>
      <c r="D34" s="1335" t="s">
        <v>1681</v>
      </c>
      <c r="E34" s="3489"/>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384</v>
      </c>
      <c r="D35" s="1338" t="s">
        <v>1683</v>
      </c>
      <c r="E35" s="3490"/>
      <c r="F35" s="299" t="s">
        <v>342</v>
      </c>
      <c r="G35" s="969"/>
      <c r="H35" s="968" t="s">
        <v>343</v>
      </c>
      <c r="I35" s="309"/>
      <c r="J35" s="1911"/>
      <c r="K35" s="3463" t="s">
        <v>350</v>
      </c>
      <c r="L35" s="3463" t="s">
        <v>351</v>
      </c>
      <c r="M35" s="1217" t="s">
        <v>352</v>
      </c>
      <c r="N35" s="3463" t="s">
        <v>353</v>
      </c>
      <c r="O35" s="3463" t="s">
        <v>354</v>
      </c>
      <c r="P35" s="1911"/>
      <c r="V35" s="1911"/>
    </row>
    <row r="36" spans="1:26" ht="16.5" customHeight="1">
      <c r="A36" s="301" t="s">
        <v>344</v>
      </c>
      <c r="B36" s="302" t="s">
        <v>333</v>
      </c>
      <c r="C36" s="303" t="s">
        <v>345</v>
      </c>
      <c r="D36" s="303" t="s">
        <v>346</v>
      </c>
      <c r="E36" s="304" t="s">
        <v>347</v>
      </c>
      <c r="F36" s="309"/>
      <c r="G36" s="309"/>
      <c r="H36" s="309"/>
      <c r="I36" s="309"/>
      <c r="J36" s="1913"/>
      <c r="K36" s="3464"/>
      <c r="L36" s="3464"/>
      <c r="M36" s="1219" t="s">
        <v>355</v>
      </c>
      <c r="N36" s="3464"/>
      <c r="O36" s="3464"/>
      <c r="P36" s="1911"/>
      <c r="V36" s="1911"/>
    </row>
    <row r="37" spans="1:26" ht="16.5" customHeight="1" thickBot="1">
      <c r="A37" s="1213" t="s">
        <v>348</v>
      </c>
      <c r="B37" s="305"/>
      <c r="C37" s="292"/>
      <c r="D37" s="292"/>
      <c r="E37" s="293"/>
      <c r="F37" s="309"/>
      <c r="G37" s="309"/>
      <c r="H37" s="309"/>
      <c r="I37" s="309"/>
      <c r="J37" s="1913"/>
      <c r="K37" s="3465"/>
      <c r="L37" s="3465"/>
      <c r="M37" s="1220"/>
      <c r="N37" s="3465"/>
      <c r="O37" s="3465"/>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5757</v>
      </c>
      <c r="N38" s="1222">
        <f ca="1">C33</f>
        <v>2303</v>
      </c>
      <c r="O38" s="1223">
        <f ca="1">C32</f>
        <v>31332</v>
      </c>
      <c r="P38" s="1911"/>
      <c r="V38" s="1911"/>
    </row>
    <row r="39" spans="1:26" ht="16.5" customHeight="1" thickBot="1">
      <c r="A39" s="1218"/>
      <c r="B39" s="306"/>
      <c r="C39" s="307"/>
      <c r="D39" s="307"/>
      <c r="E39" s="308"/>
      <c r="F39" s="309"/>
      <c r="G39" s="309"/>
      <c r="H39" s="309"/>
      <c r="I39" s="309"/>
      <c r="J39" s="1913"/>
      <c r="K39" s="3503" t="str">
        <f>MID(A44,3,LEN(A44)-2)</f>
        <v>抵押价格</v>
      </c>
      <c r="L39" s="3504"/>
      <c r="M39" s="3504"/>
      <c r="N39" s="3505"/>
      <c r="O39" s="1340">
        <f ca="1">C44</f>
        <v>31332</v>
      </c>
      <c r="P39" s="1911"/>
      <c r="V39" s="1911"/>
    </row>
    <row r="40" spans="1:26" ht="19.5" thickBot="1">
      <c r="A40" s="104" t="s">
        <v>863</v>
      </c>
      <c r="B40" s="309"/>
      <c r="C40" s="309"/>
      <c r="D40" s="309"/>
      <c r="E40" s="309"/>
      <c r="F40" s="309"/>
      <c r="G40" s="309"/>
      <c r="H40" s="309"/>
      <c r="I40" s="309"/>
      <c r="J40" s="1913"/>
      <c r="K40" s="3503" t="str">
        <f t="shared" ref="K40:K41" si="0">MID(A45,3,LEN(A45)-2)</f>
        <v/>
      </c>
      <c r="L40" s="3504"/>
      <c r="M40" s="3504"/>
      <c r="N40" s="3505"/>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3" t="str">
        <f t="shared" si="0"/>
        <v/>
      </c>
      <c r="L41" s="3504"/>
      <c r="M41" s="3504"/>
      <c r="N41" s="3505"/>
      <c r="O41" s="1340" t="str">
        <f>C46</f>
        <v>——</v>
      </c>
      <c r="P41" s="1911"/>
      <c r="V41" s="1911"/>
    </row>
    <row r="42" spans="1:26" ht="29.25">
      <c r="A42" s="3447" t="s">
        <v>2055</v>
      </c>
      <c r="B42" s="3448"/>
      <c r="C42" s="262">
        <f ca="1">C32</f>
        <v>31332</v>
      </c>
      <c r="D42" s="315">
        <f ca="1">C33</f>
        <v>2303</v>
      </c>
      <c r="E42" s="315">
        <f ca="1">C34</f>
        <v>5757</v>
      </c>
      <c r="F42" s="316">
        <f ca="1">C35</f>
        <v>384</v>
      </c>
      <c r="G42" s="309"/>
      <c r="H42" s="309"/>
      <c r="I42" s="317"/>
      <c r="J42" s="1913"/>
      <c r="K42" s="1224" t="s">
        <v>361</v>
      </c>
      <c r="L42" s="1930" t="s">
        <v>362</v>
      </c>
      <c r="M42" s="1225" t="s">
        <v>363</v>
      </c>
      <c r="N42" s="1931" t="s">
        <v>364</v>
      </c>
      <c r="O42" s="1932" t="s">
        <v>365</v>
      </c>
      <c r="P42" s="1911"/>
      <c r="V42" s="1911"/>
    </row>
    <row r="43" spans="1:26" ht="30">
      <c r="A43" s="3458" t="s">
        <v>2709</v>
      </c>
      <c r="B43" s="3459"/>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31332</v>
      </c>
      <c r="O43" s="1230">
        <f ca="1">IF(O42="最终结果/万元",C32,C33)</f>
        <v>31332</v>
      </c>
      <c r="P43" s="1911"/>
      <c r="V43" s="1911"/>
    </row>
    <row r="44" spans="1:26" ht="30.75" thickBot="1">
      <c r="A44" s="3447" t="str">
        <f>IF(OR(项目基本情况!E8="抵押价格",项目基本情况!E8="已注销及未注销"),"3.抵押价格","——")</f>
        <v>3.抵押价格</v>
      </c>
      <c r="B44" s="3448"/>
      <c r="C44" s="262">
        <f ca="1">IF(A44="——","——",C42-C43)</f>
        <v>31332</v>
      </c>
      <c r="D44" s="315">
        <f ca="1">ROUND(C44*10000/'数据-汇总表'!E3,0)</f>
        <v>2303</v>
      </c>
      <c r="E44" s="315">
        <f ca="1">ROUND(C44*10000/'数据-汇总表'!D3,0)</f>
        <v>5757</v>
      </c>
      <c r="F44" s="316">
        <f ca="1">ROUND(C44/('数据-汇总表'!D3/666.67),0)</f>
        <v>384</v>
      </c>
      <c r="G44" s="309"/>
      <c r="H44" s="309"/>
      <c r="I44" s="317"/>
      <c r="J44" s="1913"/>
      <c r="K44" s="1231" t="str">
        <f>D4</f>
        <v>剩余法-待开发</v>
      </c>
      <c r="L44" s="1232">
        <f ca="1">IF(L42="估价结果/万元",D19,D20)</f>
        <v>39612</v>
      </c>
      <c r="M44" s="1233">
        <f>D18</f>
        <v>0.4</v>
      </c>
      <c r="N44" s="1234"/>
      <c r="O44" s="1235"/>
      <c r="P44" s="1911"/>
      <c r="V44" s="1911"/>
    </row>
    <row r="45" spans="1:26" ht="15">
      <c r="A45" s="3453" t="str">
        <f>IF(项目基本情况!E8="已注销及未注销","4.抵押担保权已注销时的抵押价格",IF(项目基本情况!E8="已注销","3.抵押担保权已注销时的抵押价格","——"))</f>
        <v>——</v>
      </c>
      <c r="B45" s="345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97" t="s">
        <v>374</v>
      </c>
      <c r="B63" s="3498"/>
      <c r="C63" s="3499"/>
      <c r="D63" s="339">
        <f ca="1">ROUND(C42*F63,0)</f>
        <v>31332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5" t="s">
        <v>378</v>
      </c>
      <c r="B64" s="3456"/>
      <c r="C64" s="3456"/>
      <c r="D64" s="3456"/>
      <c r="E64" s="3456"/>
      <c r="F64" s="3456"/>
      <c r="G64" s="3457"/>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1" t="s">
        <v>386</v>
      </c>
      <c r="B66" s="3452"/>
      <c r="C66" s="3452"/>
      <c r="D66" s="259">
        <f ca="1">IF(H66="情况1",0,IF(H66="情况2",D70,IF(H66="情况3",D71,IF(H66="情况4",D72))))</f>
        <v>1641</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512" t="s">
        <v>385</v>
      </c>
      <c r="M66" s="3513"/>
      <c r="N66" s="2312"/>
      <c r="O66" s="2313"/>
      <c r="P66" s="2314"/>
      <c r="Q66" s="1911"/>
      <c r="R66" s="1911"/>
      <c r="S66" s="1911"/>
      <c r="T66" s="1911"/>
      <c r="U66" s="1911"/>
      <c r="V66" s="1911"/>
    </row>
    <row r="67" spans="1:22" ht="25.5" customHeight="1">
      <c r="A67" s="350" t="s">
        <v>389</v>
      </c>
      <c r="B67" s="3442" t="s">
        <v>390</v>
      </c>
      <c r="C67" s="3442"/>
      <c r="D67" s="351">
        <v>0</v>
      </c>
      <c r="E67" s="41" t="s">
        <v>391</v>
      </c>
      <c r="F67" s="62" t="s">
        <v>21</v>
      </c>
      <c r="G67" s="3500"/>
      <c r="H67" s="3006" t="s">
        <v>2961</v>
      </c>
      <c r="I67" s="3008"/>
      <c r="J67" s="1918"/>
      <c r="K67" s="1890">
        <v>2</v>
      </c>
      <c r="L67" s="3506" t="s">
        <v>388</v>
      </c>
      <c r="M67" s="3506"/>
      <c r="N67" s="1278">
        <f>'数据-取费表'!B2</f>
        <v>44258</v>
      </c>
      <c r="O67" s="1278"/>
      <c r="P67" s="1278"/>
      <c r="Q67" s="1911"/>
      <c r="R67" s="1911"/>
      <c r="S67" s="1911"/>
      <c r="T67" s="1911"/>
      <c r="U67" s="1911"/>
      <c r="V67" s="1911"/>
    </row>
    <row r="68" spans="1:22" ht="25.5" customHeight="1">
      <c r="A68" s="352"/>
      <c r="B68" s="3442" t="s">
        <v>393</v>
      </c>
      <c r="C68" s="3442"/>
      <c r="D68" s="353"/>
      <c r="E68" s="77"/>
      <c r="F68" s="354"/>
      <c r="G68" s="3501"/>
      <c r="H68" s="3007" t="s">
        <v>2962</v>
      </c>
      <c r="I68" s="3008"/>
      <c r="J68" s="1918"/>
      <c r="K68" s="1890">
        <v>3</v>
      </c>
      <c r="L68" s="3506" t="s">
        <v>392</v>
      </c>
      <c r="M68" s="3506"/>
      <c r="N68" s="1246">
        <f ca="1">C42</f>
        <v>31332</v>
      </c>
      <c r="O68" s="1246"/>
      <c r="P68" s="1246"/>
      <c r="Q68" s="1911"/>
      <c r="R68" s="1911"/>
      <c r="S68" s="1911"/>
      <c r="T68" s="1911"/>
      <c r="U68" s="1911"/>
      <c r="V68" s="1911"/>
    </row>
    <row r="69" spans="1:22" ht="23.45" customHeight="1">
      <c r="A69" s="355"/>
      <c r="B69" s="3442" t="s">
        <v>394</v>
      </c>
      <c r="C69" s="3442"/>
      <c r="D69" s="356"/>
      <c r="E69" s="73"/>
      <c r="F69" s="354"/>
      <c r="G69" s="3502"/>
      <c r="H69" s="3007" t="s">
        <v>2963</v>
      </c>
      <c r="I69" s="3008"/>
      <c r="J69" s="1918"/>
      <c r="K69" s="1247">
        <v>4</v>
      </c>
      <c r="L69" s="3516" t="s">
        <v>2857</v>
      </c>
      <c r="M69" s="3517"/>
      <c r="N69" s="1248">
        <f ca="1">C44</f>
        <v>31332</v>
      </c>
      <c r="O69" s="1248"/>
      <c r="P69" s="1248"/>
      <c r="Q69" s="1911"/>
      <c r="R69" s="1911"/>
      <c r="S69" s="1911"/>
      <c r="T69" s="1911"/>
      <c r="U69" s="1911"/>
      <c r="V69" s="1911"/>
    </row>
    <row r="70" spans="1:22" ht="24" customHeight="1">
      <c r="A70" s="357" t="s">
        <v>395</v>
      </c>
      <c r="B70" s="3442" t="s">
        <v>396</v>
      </c>
      <c r="C70" s="3442"/>
      <c r="D70" s="356">
        <f ca="1">ROUND(D63*'数据-取费表'!B41/(1+'数据-取费表'!C42),0)</f>
        <v>1641</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3" t="s">
        <v>2992</v>
      </c>
      <c r="C71" s="3444"/>
      <c r="D71" s="356">
        <f ca="1">ROUND(D63*'数据-取费表'!B41/(1+'数据-取费表'!C42),0)</f>
        <v>1641</v>
      </c>
      <c r="E71" s="17" t="s">
        <v>397</v>
      </c>
      <c r="F71" s="358">
        <f>'数据-取费表'!B41</f>
        <v>5.5000000000000007E-2</v>
      </c>
      <c r="G71" s="359"/>
      <c r="H71" s="309"/>
      <c r="I71" s="1245"/>
      <c r="J71" s="1918"/>
      <c r="K71" s="2764" t="s">
        <v>398</v>
      </c>
      <c r="L71" s="3518" t="s">
        <v>399</v>
      </c>
      <c r="M71" s="3518"/>
      <c r="N71" s="2764" t="s">
        <v>400</v>
      </c>
      <c r="O71" s="2764" t="s">
        <v>401</v>
      </c>
      <c r="P71" s="2764" t="s">
        <v>402</v>
      </c>
      <c r="Q71" s="1911"/>
      <c r="R71" s="1911"/>
      <c r="S71" s="1911"/>
      <c r="T71" s="1911"/>
      <c r="U71" s="1911"/>
      <c r="V71" s="1911"/>
    </row>
    <row r="72" spans="1:22" ht="12" customHeight="1">
      <c r="A72" s="357" t="s">
        <v>405</v>
      </c>
      <c r="B72" s="3443" t="s">
        <v>2993</v>
      </c>
      <c r="C72" s="3444"/>
      <c r="D72" s="356">
        <f ca="1">C86</f>
        <v>1641</v>
      </c>
      <c r="E72" s="73" t="s">
        <v>406</v>
      </c>
      <c r="F72" s="358">
        <f>'数据-取费表'!B41</f>
        <v>5.5000000000000007E-2</v>
      </c>
      <c r="G72" s="359"/>
      <c r="H72" s="1251"/>
      <c r="I72" s="1245"/>
      <c r="J72" s="1918"/>
      <c r="K72" s="1890">
        <v>1</v>
      </c>
      <c r="L72" s="3493" t="s">
        <v>404</v>
      </c>
      <c r="M72" s="3493"/>
      <c r="N72" s="1249">
        <f ca="1">D66</f>
        <v>1641</v>
      </c>
      <c r="O72" s="1773" t="str">
        <f>E66</f>
        <v>销售额×税（费）率</v>
      </c>
      <c r="P72" s="1250">
        <f>F66</f>
        <v>5.5000000000000007E-2</v>
      </c>
      <c r="Q72" s="1911"/>
      <c r="R72" s="1911"/>
      <c r="S72" s="1911"/>
      <c r="T72" s="1911"/>
      <c r="U72" s="1911"/>
      <c r="V72" s="1911"/>
    </row>
    <row r="73" spans="1:22" ht="24" customHeight="1">
      <c r="A73" s="3488" t="s">
        <v>408</v>
      </c>
      <c r="B73" s="3452"/>
      <c r="C73" s="3452"/>
      <c r="D73" s="360">
        <f ca="1">IF(H73="个人住宅",0,ROUND(D63*I73,0))</f>
        <v>16</v>
      </c>
      <c r="E73" s="17" t="s">
        <v>409</v>
      </c>
      <c r="F73" s="358">
        <f>IF(H73="正常",I73,"免征")</f>
        <v>5.0000000000000001E-4</v>
      </c>
      <c r="G73" s="359"/>
      <c r="H73" s="189" t="s">
        <v>3127</v>
      </c>
      <c r="I73" s="358">
        <f>'数据-取费表'!B49</f>
        <v>5.0000000000000001E-4</v>
      </c>
      <c r="J73" s="1918"/>
      <c r="K73" s="1890">
        <v>2</v>
      </c>
      <c r="L73" s="3493" t="s">
        <v>407</v>
      </c>
      <c r="M73" s="3493"/>
      <c r="N73" s="1249">
        <f t="shared" ref="N73:P74" ca="1" si="1">D73</f>
        <v>16</v>
      </c>
      <c r="O73" s="1773" t="str">
        <f t="shared" si="1"/>
        <v>销售额×税（费）率</v>
      </c>
      <c r="P73" s="1250">
        <f t="shared" si="1"/>
        <v>5.0000000000000001E-4</v>
      </c>
      <c r="Q73" s="1911"/>
      <c r="R73" s="1911"/>
      <c r="S73" s="1911"/>
      <c r="T73" s="1911"/>
      <c r="U73" s="1911"/>
      <c r="V73" s="1911"/>
    </row>
    <row r="74" spans="1:22" ht="24.75">
      <c r="A74" s="3488" t="s">
        <v>411</v>
      </c>
      <c r="B74" s="3452"/>
      <c r="C74" s="3452"/>
      <c r="D74" s="360">
        <f ca="1">IF(H74="个人住宅",D75,D76)</f>
        <v>3692</v>
      </c>
      <c r="E74" s="17" t="s">
        <v>412</v>
      </c>
      <c r="F74" s="358" t="str">
        <f>IF(H74="正常",F76,"免征")</f>
        <v>——</v>
      </c>
      <c r="G74" s="970" t="s">
        <v>413</v>
      </c>
      <c r="H74" s="361" t="s">
        <v>3127</v>
      </c>
      <c r="I74" s="42"/>
      <c r="J74" s="1918"/>
      <c r="K74" s="1890">
        <v>3</v>
      </c>
      <c r="L74" s="3493" t="s">
        <v>410</v>
      </c>
      <c r="M74" s="3493"/>
      <c r="N74" s="1249">
        <f t="shared" ca="1" si="1"/>
        <v>3692</v>
      </c>
      <c r="O74" s="1773" t="str">
        <f t="shared" si="1"/>
        <v>增值额×税（费）率</v>
      </c>
      <c r="P74" s="1252" t="str">
        <f t="shared" si="1"/>
        <v>——</v>
      </c>
      <c r="Q74" s="1911"/>
      <c r="R74" s="1911"/>
      <c r="S74" s="1911"/>
      <c r="T74" s="1911"/>
      <c r="U74" s="1911"/>
      <c r="V74" s="1911"/>
    </row>
    <row r="75" spans="1:22" ht="12.75">
      <c r="A75" s="357" t="s">
        <v>414</v>
      </c>
      <c r="B75" s="3440" t="s">
        <v>415</v>
      </c>
      <c r="C75" s="3476"/>
      <c r="D75" s="362">
        <v>0</v>
      </c>
      <c r="E75" s="41" t="s">
        <v>416</v>
      </c>
      <c r="F75" s="363"/>
      <c r="G75" s="359"/>
      <c r="H75" s="42"/>
      <c r="I75" s="42"/>
      <c r="J75" s="1918"/>
      <c r="K75" s="2758" t="str">
        <f>IF(H77="非个人房产","",4)</f>
        <v/>
      </c>
      <c r="L75" s="3493" t="str">
        <f>IF(H77="非个人房产","——","个人所得税")</f>
        <v>——</v>
      </c>
      <c r="M75" s="3493"/>
      <c r="N75" s="1253" t="str">
        <f>D77</f>
        <v>——</v>
      </c>
      <c r="O75" s="1786" t="str">
        <f>E77</f>
        <v>——</v>
      </c>
      <c r="P75" s="1254" t="str">
        <f>F77</f>
        <v>——</v>
      </c>
      <c r="Q75" s="1911"/>
      <c r="R75" s="1911"/>
      <c r="S75" s="1911"/>
      <c r="T75" s="1911"/>
      <c r="U75" s="1911"/>
      <c r="V75" s="1911"/>
    </row>
    <row r="76" spans="1:22" ht="24.75">
      <c r="A76" s="357" t="s">
        <v>395</v>
      </c>
      <c r="B76" s="3440" t="s">
        <v>418</v>
      </c>
      <c r="C76" s="3441"/>
      <c r="D76" s="360">
        <f ca="1">IF(H76="转让取得",C99,C115)</f>
        <v>3692</v>
      </c>
      <c r="E76" s="17" t="s">
        <v>419</v>
      </c>
      <c r="F76" s="53" t="s">
        <v>21</v>
      </c>
      <c r="G76" s="359"/>
      <c r="H76" s="361" t="s">
        <v>3167</v>
      </c>
      <c r="I76" s="42"/>
      <c r="J76" s="1918"/>
      <c r="K76" s="2758" t="str">
        <f>IF(项目基本情况!K6="上海银行",IF(K75="",4,K75+1),"")</f>
        <v/>
      </c>
      <c r="L76" s="3508" t="str">
        <f>IF(项目基本情况!K6="上海银行","其他处置费用","")</f>
        <v/>
      </c>
      <c r="M76" s="3509"/>
      <c r="N76" s="1249" t="str">
        <f>IF(项目基本情况!K6="上海银行",N89,"")</f>
        <v/>
      </c>
      <c r="O76" s="3510" t="str">
        <f>IF(项目基本情况!K6="上海银行","包含处置中涉及的律师、诉讼、拍卖、评估等费用","")</f>
        <v/>
      </c>
      <c r="P76" s="3511"/>
      <c r="Q76" s="1911"/>
      <c r="R76" s="1911"/>
      <c r="S76" s="1911"/>
      <c r="T76" s="1911"/>
      <c r="U76" s="1911"/>
      <c r="V76" s="1911"/>
    </row>
    <row r="77" spans="1:22" ht="24.75" thickBot="1">
      <c r="A77" s="3495" t="s">
        <v>421</v>
      </c>
      <c r="B77" s="3496"/>
      <c r="C77" s="349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494">
        <f>IF(AND(K75="",K76=""),4,IF(项目基本情况!K6="上海银行",K76+1,K75+1))</f>
        <v>4</v>
      </c>
      <c r="L77" s="3493" t="s">
        <v>2858</v>
      </c>
      <c r="M77" s="2763" t="s">
        <v>417</v>
      </c>
      <c r="N77" s="1255"/>
      <c r="O77" s="1256">
        <f ca="1">SUMIF(N72:N76,"&lt;9e307")</f>
        <v>5349</v>
      </c>
      <c r="P77" s="1257"/>
      <c r="Q77" s="2761">
        <f ca="1">O77/N69</f>
        <v>0.17072003063960167</v>
      </c>
      <c r="R77" s="1911"/>
      <c r="S77" s="1911"/>
      <c r="T77" s="1911"/>
      <c r="U77" s="1911"/>
      <c r="V77" s="1911"/>
    </row>
    <row r="78" spans="1:22" ht="12" customHeight="1">
      <c r="A78" s="1258"/>
      <c r="B78" s="309"/>
      <c r="C78" s="309"/>
      <c r="D78" s="309"/>
      <c r="E78" s="42"/>
      <c r="F78" s="42"/>
      <c r="G78" s="42"/>
      <c r="H78" s="990"/>
      <c r="I78" s="309"/>
      <c r="J78" s="1918"/>
      <c r="K78" s="3494"/>
      <c r="L78" s="3493"/>
      <c r="M78" s="2763" t="s">
        <v>420</v>
      </c>
      <c r="N78" s="1255"/>
      <c r="O78" s="1256" t="str">
        <f ca="1">NUMBERSTRING(INT(O77*10000),2)&amp;"元整"</f>
        <v>伍仟叁佰肆拾玖万元整</v>
      </c>
      <c r="P78" s="1257"/>
      <c r="Q78" s="1911"/>
      <c r="R78" s="1911"/>
      <c r="S78" s="1911"/>
      <c r="T78" s="1911"/>
      <c r="U78" s="1911"/>
      <c r="V78" s="1911"/>
    </row>
    <row r="79" spans="1:22" ht="13.5" thickBot="1">
      <c r="A79" s="3460" t="s">
        <v>422</v>
      </c>
      <c r="B79" s="3460"/>
      <c r="C79" s="3460"/>
      <c r="D79" s="3460"/>
      <c r="E79" s="3460"/>
      <c r="F79" s="42"/>
      <c r="G79" s="42"/>
      <c r="H79" s="990"/>
      <c r="I79" s="309"/>
      <c r="J79" s="1918"/>
      <c r="K79" s="3514">
        <f>K77+1</f>
        <v>5</v>
      </c>
      <c r="L79" s="3493" t="s">
        <v>2859</v>
      </c>
      <c r="M79" s="2763" t="s">
        <v>417</v>
      </c>
      <c r="N79" s="1255"/>
      <c r="O79" s="1256">
        <f ca="1">N69-O77</f>
        <v>25983</v>
      </c>
      <c r="P79" s="1257"/>
      <c r="Q79" s="1911"/>
      <c r="R79" s="1911"/>
      <c r="S79" s="1911"/>
      <c r="T79" s="1911"/>
      <c r="U79" s="1911"/>
      <c r="V79" s="1911"/>
    </row>
    <row r="80" spans="1:22" ht="25.5">
      <c r="A80" s="3461" t="s">
        <v>423</v>
      </c>
      <c r="B80" s="3462"/>
      <c r="C80" s="981"/>
      <c r="D80" s="981" t="s">
        <v>424</v>
      </c>
      <c r="E80" s="364" t="s">
        <v>425</v>
      </c>
      <c r="F80" s="42"/>
      <c r="G80" s="42"/>
      <c r="H80" s="990"/>
      <c r="I80" s="309"/>
      <c r="J80" s="1911"/>
      <c r="K80" s="3515"/>
      <c r="L80" s="3493"/>
      <c r="M80" s="2763" t="s">
        <v>420</v>
      </c>
      <c r="N80" s="1255"/>
      <c r="O80" s="1256" t="str">
        <f ca="1">NUMBERSTRING(INT(O79*10000),2)&amp;"元整"</f>
        <v>贰亿伍仟玖佰捌拾叁万元整</v>
      </c>
      <c r="P80" s="1257"/>
      <c r="Q80" s="1911"/>
      <c r="R80" s="1911"/>
      <c r="S80" s="1911"/>
      <c r="T80" s="1911"/>
      <c r="U80" s="1911"/>
      <c r="V80" s="1911"/>
    </row>
    <row r="81" spans="1:26" ht="13.5" thickBot="1">
      <c r="A81" s="375" t="s">
        <v>1813</v>
      </c>
      <c r="B81" s="365" t="s">
        <v>426</v>
      </c>
      <c r="C81" s="366">
        <f ca="1">ROUND((C82+C83)/(1+'数据-取费表'!C42),0)</f>
        <v>29840</v>
      </c>
      <c r="D81" s="367"/>
      <c r="E81" s="368"/>
      <c r="F81" s="42"/>
      <c r="G81" s="42"/>
      <c r="H81" s="990"/>
      <c r="I81" s="309"/>
      <c r="J81" s="1911"/>
      <c r="K81" s="2758">
        <f>K79+1</f>
        <v>6</v>
      </c>
      <c r="L81" s="3491" t="s">
        <v>2860</v>
      </c>
      <c r="M81" s="3492"/>
      <c r="N81" s="1259"/>
      <c r="O81" s="1260">
        <f ca="1">ROUND(O79*10000/'数据-汇总表'!E3,0)</f>
        <v>1910</v>
      </c>
      <c r="P81" s="1261"/>
      <c r="Q81" s="1911"/>
      <c r="R81" s="1911"/>
      <c r="S81" s="1911"/>
      <c r="T81" s="1911"/>
      <c r="U81" s="1911"/>
      <c r="V81" s="1911"/>
    </row>
    <row r="82" spans="1:26" ht="13.5" thickTop="1">
      <c r="A82" s="369" t="s">
        <v>1814</v>
      </c>
      <c r="B82" s="370" t="s">
        <v>427</v>
      </c>
      <c r="C82" s="371">
        <f ca="1">D63</f>
        <v>31332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07" t="s">
        <v>2848</v>
      </c>
      <c r="L83" s="2769" t="s">
        <v>2849</v>
      </c>
      <c r="M83" s="2759">
        <f ca="1">IF(N69&gt;10000,N69*0.5%,IF(AND(N69&gt;1000,N69&lt;=10000),N69*1%,IF(AND(N69&gt;100,N69&lt;=1000),N69*3%,IF(AND(N69&gt;10,N69&lt;=100),N69*5%,N69*8%))))</f>
        <v>156.66</v>
      </c>
      <c r="N83" s="53">
        <f ca="1">ROUND(M83,1)</f>
        <v>156.69999999999999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07"/>
      <c r="L84" s="2769" t="s">
        <v>2850</v>
      </c>
      <c r="M84" s="2759">
        <f ca="1">IF(N69&gt;2000,N69*0.5%,IF(AND(N69&gt;1000,N69&lt;=2000),N69*0.6%,IF(AND(N69&gt;500,N69&lt;=1000),N69*0.7%,IF(AND(N69&gt;200,N69&lt;=500),N69*0.8%,IF(AND(N69&gt;100,N69&lt;=200),N69*0.9%,IF(AND(N69&gt;50,N69&lt;=100),N69*1%,IF(AND(N69&gt;20,N69&lt;=50),N69*1.5%,IF(AND(N69&gt;10,N69&lt;=20),N69*2%,IF(AND(N69&gt;1,N69&lt;=10),N69*2.5%)))))))))</f>
        <v>156.66</v>
      </c>
      <c r="N84" s="53">
        <f t="shared" ref="N84:N85" ca="1" si="2">ROUND(M84,1)</f>
        <v>156.69999999999999</v>
      </c>
      <c r="O84" s="1911" t="s">
        <v>2851</v>
      </c>
      <c r="P84" s="1911"/>
      <c r="Q84" s="1911"/>
      <c r="R84" s="1911"/>
      <c r="S84" s="1911"/>
      <c r="T84" s="1911"/>
      <c r="U84" s="1911"/>
      <c r="V84" s="1911"/>
    </row>
    <row r="85" spans="1:26" ht="12.75">
      <c r="A85" s="375" t="s">
        <v>1817</v>
      </c>
      <c r="B85" s="376" t="s">
        <v>430</v>
      </c>
      <c r="C85" s="379">
        <f ca="1">C81-C84</f>
        <v>29840</v>
      </c>
      <c r="D85" s="372" t="s">
        <v>19</v>
      </c>
      <c r="E85" s="373"/>
      <c r="F85" s="42"/>
      <c r="G85" s="42"/>
      <c r="H85" s="990"/>
      <c r="I85" s="309"/>
      <c r="J85" s="1911"/>
      <c r="K85" s="3507"/>
      <c r="L85" s="2769" t="s">
        <v>2852</v>
      </c>
      <c r="M85" s="2759">
        <f ca="1">IF(N69&gt;1000,N69*0.1%,IF(AND(N69&gt;500,N69&lt;=1000),N69*0.5%,IF(AND(N69&gt;50,N69&lt;=500),N69*1%,IF(AND(N69&gt;1,N69&lt;=50),N69*1.5%))))</f>
        <v>31.332000000000001</v>
      </c>
      <c r="N85" s="53">
        <f t="shared" ca="1" si="2"/>
        <v>31.3</v>
      </c>
      <c r="O85" s="1911" t="s">
        <v>2851</v>
      </c>
      <c r="P85" s="1911"/>
      <c r="Q85" s="1911"/>
      <c r="R85" s="1911"/>
      <c r="S85" s="1911"/>
      <c r="T85" s="1911"/>
      <c r="U85" s="1911"/>
      <c r="V85" s="1911"/>
    </row>
    <row r="86" spans="1:26" ht="13.5" thickBot="1">
      <c r="A86" s="380" t="s">
        <v>1818</v>
      </c>
      <c r="B86" s="381" t="s">
        <v>431</v>
      </c>
      <c r="C86" s="382">
        <f ca="1">IF(C85&lt;=0,0,ROUND(C85*D86,0))</f>
        <v>1641</v>
      </c>
      <c r="D86" s="383">
        <f>'数据-取费表'!B41</f>
        <v>5.5000000000000007E-2</v>
      </c>
      <c r="E86" s="384"/>
      <c r="F86" s="42"/>
      <c r="G86" s="42"/>
      <c r="H86" s="990"/>
      <c r="I86" s="309"/>
      <c r="J86" s="1911"/>
      <c r="K86" s="3507"/>
      <c r="L86" s="2769" t="s">
        <v>2853</v>
      </c>
      <c r="M86" s="2759">
        <f ca="1">N69*0.5%</f>
        <v>156.66</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07"/>
      <c r="L87" s="2769" t="s">
        <v>2855</v>
      </c>
      <c r="M87" s="2759">
        <f ca="1">IF(N69&gt;=10000,(8.25+(N69-10000)*0.01%),IF(AND(N69&gt;=8000,N69&lt;10000),(7.85+(N69-8000)*0.02%),IF(AND(N69&gt;=5000,N69&lt;8000),(6.65+(N69-5000)*0.04%),IF(AND(N69&gt;=2000,N69&lt;5000),(4.25+(PN69-2000)*0.08%),IF(AND(N69&gt;=1000,N69&lt;2000),(2.75+(N69-1000)*0.15%),IF(AND(N69&gt;=100,N69&lt;1000),(0.5+(N69-100)*0.25%),IF(AND(N69&gt;0,N69&lt;100),N69*0.5%)))))))</f>
        <v>10.3832</v>
      </c>
      <c r="N87" s="53">
        <f ca="1">ROUND(M87*0.9,1)</f>
        <v>9.3000000000000007</v>
      </c>
      <c r="O87" s="2762"/>
      <c r="P87" s="1911"/>
      <c r="Q87" s="1911"/>
      <c r="R87" s="1911"/>
      <c r="S87" s="1911"/>
      <c r="T87" s="1911"/>
      <c r="U87" s="1911"/>
      <c r="V87" s="1911"/>
      <c r="W87" s="290"/>
      <c r="X87" s="290"/>
      <c r="Y87" s="290"/>
      <c r="Z87" s="290"/>
    </row>
    <row r="88" spans="1:26" s="1267" customFormat="1" ht="15" thickBot="1">
      <c r="A88" s="3486" t="s">
        <v>432</v>
      </c>
      <c r="B88" s="3487"/>
      <c r="C88" s="3487"/>
      <c r="D88" s="3487"/>
      <c r="E88" s="3487"/>
      <c r="F88" s="3487"/>
      <c r="G88" s="3487"/>
      <c r="H88" s="3487"/>
      <c r="I88" s="1268"/>
      <c r="J88" s="1919"/>
      <c r="K88" s="3507"/>
      <c r="L88" s="2769" t="s">
        <v>2856</v>
      </c>
      <c r="M88" s="2759">
        <f ca="1">IF(N69&gt;10000,N69*0.5%,IF(AND(N69&gt;5000,N69&lt;=10000),N69*1%,IF(AND(N69&gt;1000,N69&lt;=5000),N69*2%,IF(AND(N69&gt;200,N69&lt;=1000),N69*3%,N69*5%))))</f>
        <v>156.66</v>
      </c>
      <c r="N88" s="53">
        <f ca="1">ROUND(M88,1)</f>
        <v>156.69999999999999</v>
      </c>
      <c r="O88" s="2762"/>
      <c r="P88" s="1916"/>
      <c r="Q88" s="1916"/>
      <c r="R88" s="1916"/>
      <c r="S88" s="1916"/>
      <c r="T88" s="1916"/>
      <c r="U88" s="1916"/>
      <c r="V88" s="1916"/>
      <c r="W88" s="1920"/>
      <c r="X88" s="1920"/>
      <c r="Y88" s="1920"/>
      <c r="Z88" s="1920"/>
    </row>
    <row r="89" spans="1:26" s="1267" customFormat="1" ht="14.25">
      <c r="A89" s="3461" t="s">
        <v>423</v>
      </c>
      <c r="B89" s="3462"/>
      <c r="C89" s="981"/>
      <c r="D89" s="981" t="s">
        <v>424</v>
      </c>
      <c r="E89" s="385" t="s">
        <v>433</v>
      </c>
      <c r="F89" s="386"/>
      <c r="G89" s="386"/>
      <c r="H89" s="387"/>
      <c r="I89" s="1269"/>
      <c r="J89" s="1921"/>
      <c r="K89" s="3507"/>
      <c r="L89" s="2769" t="s">
        <v>27</v>
      </c>
      <c r="M89" s="2760"/>
      <c r="N89" s="53">
        <f ca="1">ROUND(SUM(N83:N88),0)</f>
        <v>511</v>
      </c>
      <c r="O89" s="2770">
        <f ca="1">N89/N69</f>
        <v>1.6309204647006255E-2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29840</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3" t="s">
        <v>441</v>
      </c>
      <c r="F94" s="3442"/>
      <c r="G94" s="3442"/>
      <c r="H94" s="3485"/>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77" t="s">
        <v>2412</v>
      </c>
      <c r="F96" s="3478"/>
      <c r="G96" s="3478"/>
      <c r="H96" s="3479"/>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29691</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199.26845637583892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17762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6" t="s">
        <v>448</v>
      </c>
      <c r="B101" s="3487"/>
      <c r="C101" s="3487"/>
      <c r="D101" s="3487"/>
      <c r="E101" s="3487"/>
      <c r="F101" s="3487"/>
      <c r="G101" s="3487"/>
      <c r="H101" s="3487"/>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1" t="s">
        <v>423</v>
      </c>
      <c r="B102" s="3462"/>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29840</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18321.240000000002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18172.240000000002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538</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37" t="s">
        <v>2956</v>
      </c>
      <c r="H108" s="3438"/>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0" t="s">
        <v>456</v>
      </c>
      <c r="F109" s="3478"/>
      <c r="G109" s="3478"/>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0" t="s">
        <v>458</v>
      </c>
      <c r="F110" s="3478"/>
      <c r="G110" s="3478"/>
      <c r="H110" s="3479"/>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77" t="s">
        <v>2412</v>
      </c>
      <c r="F111" s="3478"/>
      <c r="G111" s="3478"/>
      <c r="H111" s="3479"/>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0" t="s">
        <v>2435</v>
      </c>
      <c r="F112" s="3478"/>
      <c r="G112" s="3478"/>
      <c r="H112" s="3479"/>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11519</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0.62872382000344951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3692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1" t="str">
        <f>项目基本情况!K2</f>
        <v>出让国有建设用地使用权</v>
      </c>
      <c r="B2" s="3482"/>
      <c r="C2" s="3483"/>
      <c r="D2" s="3483"/>
      <c r="E2" s="3483"/>
      <c r="F2" s="3483"/>
      <c r="G2" s="3482"/>
      <c r="H2" s="3482"/>
      <c r="I2" s="3484"/>
      <c r="J2" s="1912"/>
      <c r="K2" s="1911"/>
      <c r="L2" s="1911"/>
      <c r="M2" s="1911"/>
      <c r="N2" s="1911"/>
      <c r="O2" s="1911"/>
      <c r="P2" s="1911"/>
      <c r="Q2" s="1911"/>
      <c r="R2" s="1911"/>
      <c r="S2" s="1911"/>
      <c r="T2" s="1911"/>
      <c r="U2" s="1911"/>
      <c r="V2" s="1911"/>
    </row>
    <row r="3" spans="1:22" ht="14.25">
      <c r="A3" s="3474" t="s">
        <v>298</v>
      </c>
      <c r="B3" s="3475"/>
      <c r="C3" s="3475"/>
      <c r="D3" s="3475"/>
      <c r="E3" s="3475"/>
      <c r="F3" s="3475"/>
      <c r="G3" s="3475"/>
      <c r="H3" s="3475"/>
      <c r="I3" s="3475"/>
      <c r="J3" s="1912"/>
      <c r="K3" s="1911"/>
      <c r="L3" s="1911"/>
      <c r="M3" s="1911"/>
      <c r="N3" s="1911"/>
      <c r="O3" s="1911"/>
      <c r="P3" s="1911"/>
      <c r="Q3" s="1911"/>
      <c r="R3" s="1911"/>
      <c r="S3" s="1911"/>
      <c r="T3" s="1911"/>
      <c r="U3" s="1911"/>
      <c r="V3" s="1911"/>
    </row>
    <row r="4" spans="1:22" ht="14.25">
      <c r="A4" s="256" t="s">
        <v>299</v>
      </c>
      <c r="B4" s="257" t="s">
        <v>300</v>
      </c>
      <c r="C4" s="258"/>
      <c r="D4" s="258"/>
      <c r="E4" s="3440" t="s">
        <v>301</v>
      </c>
      <c r="F4" s="3441"/>
      <c r="G4" s="3441"/>
      <c r="H4" s="3441"/>
      <c r="I4" s="3476"/>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39" t="s">
        <v>302</v>
      </c>
      <c r="B5" s="3468">
        <v>25</v>
      </c>
      <c r="C5" s="3466"/>
      <c r="D5" s="3470"/>
      <c r="E5" s="259" t="s">
        <v>303</v>
      </c>
      <c r="F5" s="260"/>
      <c r="G5" s="260"/>
      <c r="H5" s="260"/>
      <c r="I5" s="261"/>
      <c r="J5" s="1912"/>
      <c r="K5" s="1911"/>
      <c r="L5" s="1911"/>
      <c r="M5" s="1911"/>
      <c r="N5" s="1911"/>
      <c r="O5" s="1911"/>
      <c r="P5" s="1911"/>
      <c r="Q5" s="1911"/>
      <c r="R5" s="1911"/>
      <c r="S5" s="1911"/>
      <c r="T5" s="1911"/>
      <c r="U5" s="1911"/>
      <c r="V5" s="1911"/>
    </row>
    <row r="6" spans="1:22" ht="14.25">
      <c r="A6" s="3439"/>
      <c r="B6" s="3468"/>
      <c r="C6" s="3469"/>
      <c r="D6" s="3470"/>
      <c r="E6" s="259" t="s">
        <v>304</v>
      </c>
      <c r="F6" s="260"/>
      <c r="G6" s="260"/>
      <c r="H6" s="260"/>
      <c r="I6" s="261"/>
      <c r="J6" s="1912"/>
      <c r="K6" s="1911"/>
      <c r="L6" s="1911"/>
      <c r="M6" s="1911"/>
      <c r="N6" s="1911"/>
      <c r="O6" s="1911"/>
      <c r="P6" s="1911"/>
      <c r="Q6" s="1911"/>
      <c r="R6" s="1911"/>
      <c r="S6" s="1911"/>
      <c r="T6" s="1911"/>
      <c r="U6" s="1911"/>
      <c r="V6" s="1911"/>
    </row>
    <row r="7" spans="1:22" ht="14.25">
      <c r="A7" s="3439"/>
      <c r="B7" s="3468"/>
      <c r="C7" s="3467"/>
      <c r="D7" s="3470"/>
      <c r="E7" s="259" t="s">
        <v>305</v>
      </c>
      <c r="F7" s="260"/>
      <c r="G7" s="260"/>
      <c r="H7" s="260"/>
      <c r="I7" s="261"/>
      <c r="J7" s="1912"/>
      <c r="K7" s="1911"/>
      <c r="L7" s="1911"/>
      <c r="M7" s="1911"/>
      <c r="N7" s="1911"/>
      <c r="O7" s="1911"/>
      <c r="P7" s="1911"/>
      <c r="Q7" s="1911"/>
      <c r="R7" s="1911"/>
      <c r="S7" s="1911"/>
      <c r="T7" s="1911"/>
      <c r="U7" s="1911"/>
      <c r="V7" s="1911"/>
    </row>
    <row r="8" spans="1:22" ht="14.25">
      <c r="A8" s="3439" t="s">
        <v>306</v>
      </c>
      <c r="B8" s="3468">
        <v>15</v>
      </c>
      <c r="C8" s="3466"/>
      <c r="D8" s="3470"/>
      <c r="E8" s="259" t="s">
        <v>307</v>
      </c>
      <c r="F8" s="260"/>
      <c r="G8" s="260"/>
      <c r="H8" s="260"/>
      <c r="I8" s="261"/>
      <c r="J8" s="1912"/>
      <c r="K8" s="1911"/>
      <c r="L8" s="1911"/>
      <c r="M8" s="1911"/>
      <c r="N8" s="1911"/>
      <c r="O8" s="1911"/>
      <c r="P8" s="1911"/>
      <c r="Q8" s="1911"/>
      <c r="R8" s="1911"/>
      <c r="S8" s="1911"/>
      <c r="T8" s="1911"/>
      <c r="U8" s="1911"/>
      <c r="V8" s="1911"/>
    </row>
    <row r="9" spans="1:22" ht="14.25">
      <c r="A9" s="3439"/>
      <c r="B9" s="3468"/>
      <c r="C9" s="3467"/>
      <c r="D9" s="3470"/>
      <c r="E9" s="259" t="s">
        <v>308</v>
      </c>
      <c r="F9" s="260"/>
      <c r="G9" s="260"/>
      <c r="H9" s="260"/>
      <c r="I9" s="261"/>
      <c r="J9" s="1912"/>
      <c r="K9" s="1911"/>
      <c r="L9" s="1911"/>
      <c r="M9" s="1911"/>
      <c r="N9" s="1911"/>
      <c r="O9" s="1911"/>
      <c r="P9" s="1911"/>
      <c r="Q9" s="1911"/>
      <c r="R9" s="1911"/>
      <c r="S9" s="1911"/>
      <c r="T9" s="1911"/>
      <c r="U9" s="1911"/>
      <c r="V9" s="1911"/>
    </row>
    <row r="10" spans="1:22" ht="14.25">
      <c r="A10" s="3439" t="s">
        <v>309</v>
      </c>
      <c r="B10" s="3468">
        <v>15</v>
      </c>
      <c r="C10" s="3466"/>
      <c r="D10" s="347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9"/>
      <c r="B11" s="3468"/>
      <c r="C11" s="3467"/>
      <c r="D11" s="347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9" t="s">
        <v>312</v>
      </c>
      <c r="B12" s="3468">
        <v>15</v>
      </c>
      <c r="C12" s="3466"/>
      <c r="D12" s="347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9"/>
      <c r="B13" s="3468"/>
      <c r="C13" s="3467"/>
      <c r="D13" s="347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9" t="s">
        <v>315</v>
      </c>
      <c r="B14" s="3468">
        <v>30</v>
      </c>
      <c r="C14" s="3466"/>
      <c r="D14" s="347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9"/>
      <c r="B15" s="3468"/>
      <c r="C15" s="3469"/>
      <c r="D15" s="347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9"/>
      <c r="B16" s="3468"/>
      <c r="C16" s="3467"/>
      <c r="D16" s="347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1" t="s">
        <v>2958</v>
      </c>
      <c r="F18" s="3472"/>
      <c r="G18" s="3472"/>
      <c r="H18" s="3472"/>
      <c r="I18" s="3472"/>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6"/>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3" t="s">
        <v>2960</v>
      </c>
      <c r="B31" s="3473"/>
      <c r="C31" s="3473"/>
      <c r="D31" s="3473"/>
      <c r="E31" s="3473"/>
      <c r="F31" s="3473"/>
      <c r="G31" s="3473"/>
      <c r="H31" s="3473"/>
      <c r="I31" s="3473"/>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5"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89"/>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0"/>
      <c r="F35" s="299" t="s">
        <v>342</v>
      </c>
      <c r="G35" s="969"/>
      <c r="H35" s="968" t="s">
        <v>343</v>
      </c>
      <c r="I35" s="309"/>
      <c r="J35" s="1911"/>
      <c r="K35" s="3463" t="s">
        <v>350</v>
      </c>
      <c r="L35" s="3463" t="s">
        <v>351</v>
      </c>
      <c r="M35" s="1217" t="s">
        <v>352</v>
      </c>
      <c r="N35" s="3463" t="s">
        <v>353</v>
      </c>
      <c r="O35" s="3463" t="s">
        <v>354</v>
      </c>
      <c r="P35" s="1911"/>
      <c r="V35" s="1911"/>
    </row>
    <row r="36" spans="1:26" ht="16.5" customHeight="1">
      <c r="A36" s="301" t="s">
        <v>344</v>
      </c>
      <c r="B36" s="302" t="s">
        <v>333</v>
      </c>
      <c r="C36" s="303" t="s">
        <v>345</v>
      </c>
      <c r="D36" s="303" t="s">
        <v>346</v>
      </c>
      <c r="E36" s="304" t="s">
        <v>347</v>
      </c>
      <c r="F36" s="309"/>
      <c r="G36" s="309"/>
      <c r="H36" s="309"/>
      <c r="I36" s="309"/>
      <c r="J36" s="1913"/>
      <c r="K36" s="3464"/>
      <c r="L36" s="3464"/>
      <c r="M36" s="1219" t="s">
        <v>355</v>
      </c>
      <c r="N36" s="3464"/>
      <c r="O36" s="3464"/>
      <c r="P36" s="1911"/>
      <c r="V36" s="1911"/>
    </row>
    <row r="37" spans="1:26" ht="16.5" customHeight="1" thickBot="1">
      <c r="A37" s="1213" t="s">
        <v>348</v>
      </c>
      <c r="B37" s="305"/>
      <c r="C37" s="292"/>
      <c r="D37" s="292"/>
      <c r="E37" s="293"/>
      <c r="F37" s="309"/>
      <c r="G37" s="309"/>
      <c r="H37" s="309"/>
      <c r="I37" s="309"/>
      <c r="J37" s="1913"/>
      <c r="K37" s="3465"/>
      <c r="L37" s="3465"/>
      <c r="M37" s="1220"/>
      <c r="N37" s="3465"/>
      <c r="O37" s="3465"/>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3" t="str">
        <f>MID(A44,3,LEN(A44)-2)</f>
        <v>抵押价格</v>
      </c>
      <c r="L39" s="3504"/>
      <c r="M39" s="3504"/>
      <c r="N39" s="3505"/>
      <c r="O39" s="1340" t="e">
        <f ca="1">C44</f>
        <v>#REF!</v>
      </c>
      <c r="P39" s="1911"/>
      <c r="V39" s="1911"/>
    </row>
    <row r="40" spans="1:26" ht="19.5" thickBot="1">
      <c r="A40" s="104" t="s">
        <v>863</v>
      </c>
      <c r="B40" s="309"/>
      <c r="C40" s="309"/>
      <c r="D40" s="309"/>
      <c r="E40" s="309"/>
      <c r="F40" s="309"/>
      <c r="G40" s="309"/>
      <c r="H40" s="309"/>
      <c r="I40" s="309"/>
      <c r="J40" s="1913"/>
      <c r="K40" s="3503" t="str">
        <f t="shared" ref="K40:K41" si="0">MID(A45,3,LEN(A45)-2)</f>
        <v/>
      </c>
      <c r="L40" s="3504"/>
      <c r="M40" s="3504"/>
      <c r="N40" s="3505"/>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3" t="str">
        <f t="shared" si="0"/>
        <v/>
      </c>
      <c r="L41" s="3504"/>
      <c r="M41" s="3504"/>
      <c r="N41" s="3505"/>
      <c r="O41" s="1340" t="str">
        <f>C46</f>
        <v>——</v>
      </c>
      <c r="P41" s="1911"/>
      <c r="V41" s="1911"/>
    </row>
    <row r="42" spans="1:26" ht="29.25">
      <c r="A42" s="3447" t="s">
        <v>2055</v>
      </c>
      <c r="B42" s="3448"/>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58" t="s">
        <v>2709</v>
      </c>
      <c r="B43" s="3459"/>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47" t="str">
        <f>IF(OR(项目基本情况!E8="抵押价格",项目基本情况!E8="已注销及未注销"),"3.抵押价格","——")</f>
        <v>3.抵押价格</v>
      </c>
      <c r="B44" s="3448"/>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3" t="str">
        <f>IF(项目基本情况!E8="已注销及未注销","4.抵押担保权已注销时的抵押价格",IF(项目基本情况!E8="已注销","3.抵押担保权已注销时的抵押价格","——"))</f>
        <v>——</v>
      </c>
      <c r="B45" s="345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97" t="s">
        <v>374</v>
      </c>
      <c r="B63" s="3498"/>
      <c r="C63" s="3499"/>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5" t="s">
        <v>378</v>
      </c>
      <c r="B64" s="3456"/>
      <c r="C64" s="3456"/>
      <c r="D64" s="3456"/>
      <c r="E64" s="3456"/>
      <c r="F64" s="3456"/>
      <c r="G64" s="3457"/>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1" t="s">
        <v>386</v>
      </c>
      <c r="B66" s="3452"/>
      <c r="C66" s="3452"/>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12" t="s">
        <v>385</v>
      </c>
      <c r="M66" s="3513"/>
      <c r="N66" s="2312"/>
      <c r="O66" s="2313"/>
      <c r="P66" s="2314"/>
      <c r="Q66" s="1911"/>
      <c r="R66" s="1911"/>
      <c r="S66" s="1911"/>
      <c r="T66" s="1911"/>
      <c r="U66" s="1911"/>
      <c r="V66" s="1911"/>
    </row>
    <row r="67" spans="1:22" ht="25.5" customHeight="1">
      <c r="A67" s="350" t="s">
        <v>389</v>
      </c>
      <c r="B67" s="3442" t="s">
        <v>390</v>
      </c>
      <c r="C67" s="3442"/>
      <c r="D67" s="351">
        <v>0</v>
      </c>
      <c r="E67" s="41" t="s">
        <v>391</v>
      </c>
      <c r="F67" s="62" t="s">
        <v>21</v>
      </c>
      <c r="G67" s="3500"/>
      <c r="H67" s="3006" t="s">
        <v>2961</v>
      </c>
      <c r="I67" s="3008"/>
      <c r="J67" s="1918"/>
      <c r="K67" s="3287">
        <v>2</v>
      </c>
      <c r="L67" s="3506" t="s">
        <v>388</v>
      </c>
      <c r="M67" s="3506"/>
      <c r="N67" s="1278">
        <f>'数据-取费表'!B2</f>
        <v>44258</v>
      </c>
      <c r="O67" s="1278"/>
      <c r="P67" s="1278"/>
      <c r="Q67" s="1911"/>
      <c r="R67" s="1911"/>
      <c r="S67" s="1911"/>
      <c r="T67" s="1911"/>
      <c r="U67" s="1911"/>
      <c r="V67" s="1911"/>
    </row>
    <row r="68" spans="1:22" ht="25.5" customHeight="1">
      <c r="A68" s="352"/>
      <c r="B68" s="3442" t="s">
        <v>393</v>
      </c>
      <c r="C68" s="3442"/>
      <c r="D68" s="353"/>
      <c r="E68" s="77"/>
      <c r="F68" s="354"/>
      <c r="G68" s="3501"/>
      <c r="H68" s="3007" t="s">
        <v>2962</v>
      </c>
      <c r="I68" s="3008"/>
      <c r="J68" s="1918"/>
      <c r="K68" s="3287">
        <v>3</v>
      </c>
      <c r="L68" s="3506" t="s">
        <v>392</v>
      </c>
      <c r="M68" s="3506"/>
      <c r="N68" s="1246" t="e">
        <f ca="1">C42</f>
        <v>#REF!</v>
      </c>
      <c r="O68" s="1246"/>
      <c r="P68" s="1246"/>
      <c r="Q68" s="1911"/>
      <c r="R68" s="1911"/>
      <c r="S68" s="1911"/>
      <c r="T68" s="1911"/>
      <c r="U68" s="1911"/>
      <c r="V68" s="1911"/>
    </row>
    <row r="69" spans="1:22" ht="23.45" customHeight="1">
      <c r="A69" s="355"/>
      <c r="B69" s="3442" t="s">
        <v>394</v>
      </c>
      <c r="C69" s="3442"/>
      <c r="D69" s="356"/>
      <c r="E69" s="73"/>
      <c r="F69" s="354"/>
      <c r="G69" s="3502"/>
      <c r="H69" s="3007" t="s">
        <v>2963</v>
      </c>
      <c r="I69" s="3008"/>
      <c r="J69" s="1918"/>
      <c r="K69" s="3289">
        <v>4</v>
      </c>
      <c r="L69" s="3516" t="s">
        <v>2857</v>
      </c>
      <c r="M69" s="3517"/>
      <c r="N69" s="1248" t="e">
        <f ca="1">C44</f>
        <v>#REF!</v>
      </c>
      <c r="O69" s="1248"/>
      <c r="P69" s="1248"/>
      <c r="Q69" s="1911"/>
      <c r="R69" s="1911"/>
      <c r="S69" s="1911"/>
      <c r="T69" s="1911"/>
      <c r="U69" s="1911"/>
      <c r="V69" s="1911"/>
    </row>
    <row r="70" spans="1:22" ht="24" customHeight="1">
      <c r="A70" s="357" t="s">
        <v>395</v>
      </c>
      <c r="B70" s="3442" t="s">
        <v>396</v>
      </c>
      <c r="C70" s="3442"/>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3" t="s">
        <v>2992</v>
      </c>
      <c r="C71" s="3444"/>
      <c r="D71" s="356">
        <f>ROUND(D63*'数据-取费表'!B41/(1+'数据-取费表'!C42),0)</f>
        <v>0</v>
      </c>
      <c r="E71" s="17" t="s">
        <v>397</v>
      </c>
      <c r="F71" s="358">
        <f>'数据-取费表'!B41</f>
        <v>5.5000000000000007E-2</v>
      </c>
      <c r="G71" s="359"/>
      <c r="H71" s="309"/>
      <c r="I71" s="1245"/>
      <c r="J71" s="1918"/>
      <c r="K71" s="3291" t="s">
        <v>398</v>
      </c>
      <c r="L71" s="3518" t="s">
        <v>399</v>
      </c>
      <c r="M71" s="3518"/>
      <c r="N71" s="3291" t="s">
        <v>400</v>
      </c>
      <c r="O71" s="3291" t="s">
        <v>401</v>
      </c>
      <c r="P71" s="3291" t="s">
        <v>402</v>
      </c>
      <c r="Q71" s="1911"/>
      <c r="R71" s="1911"/>
      <c r="S71" s="1911"/>
      <c r="T71" s="1911"/>
      <c r="U71" s="1911"/>
      <c r="V71" s="1911"/>
    </row>
    <row r="72" spans="1:22" ht="12" customHeight="1">
      <c r="A72" s="357" t="s">
        <v>405</v>
      </c>
      <c r="B72" s="3443" t="s">
        <v>2993</v>
      </c>
      <c r="C72" s="3444"/>
      <c r="D72" s="356">
        <f>C86</f>
        <v>0</v>
      </c>
      <c r="E72" s="73" t="s">
        <v>406</v>
      </c>
      <c r="F72" s="358">
        <f>'数据-取费表'!B41</f>
        <v>5.5000000000000007E-2</v>
      </c>
      <c r="G72" s="359"/>
      <c r="H72" s="1251"/>
      <c r="I72" s="1245"/>
      <c r="J72" s="1918"/>
      <c r="K72" s="3287">
        <v>1</v>
      </c>
      <c r="L72" s="3493" t="s">
        <v>404</v>
      </c>
      <c r="M72" s="3493"/>
      <c r="N72" s="1249">
        <f>D66</f>
        <v>0</v>
      </c>
      <c r="O72" s="3286" t="str">
        <f>E66</f>
        <v>销售额×税（费）率</v>
      </c>
      <c r="P72" s="1250">
        <f>F66</f>
        <v>5.5000000000000007E-2</v>
      </c>
      <c r="Q72" s="1911"/>
      <c r="R72" s="1911"/>
      <c r="S72" s="1911"/>
      <c r="T72" s="1911"/>
      <c r="U72" s="1911"/>
      <c r="V72" s="1911"/>
    </row>
    <row r="73" spans="1:22" ht="24" customHeight="1">
      <c r="A73" s="3488" t="s">
        <v>408</v>
      </c>
      <c r="B73" s="3452"/>
      <c r="C73" s="3452"/>
      <c r="D73" s="360">
        <f>IF(H73="个人住宅",0,ROUND(D63*I73,0))</f>
        <v>0</v>
      </c>
      <c r="E73" s="17" t="s">
        <v>409</v>
      </c>
      <c r="F73" s="358">
        <f>IF(H73="正常",I73,"免征")</f>
        <v>5.0000000000000001E-4</v>
      </c>
      <c r="G73" s="359"/>
      <c r="H73" s="189" t="s">
        <v>3127</v>
      </c>
      <c r="I73" s="358">
        <f>'数据-取费表'!B49</f>
        <v>5.0000000000000001E-4</v>
      </c>
      <c r="J73" s="1918"/>
      <c r="K73" s="3287">
        <v>2</v>
      </c>
      <c r="L73" s="3493" t="s">
        <v>407</v>
      </c>
      <c r="M73" s="3493"/>
      <c r="N73" s="1249">
        <f t="shared" ref="N73:P74" si="1">D73</f>
        <v>0</v>
      </c>
      <c r="O73" s="3286" t="str">
        <f t="shared" si="1"/>
        <v>销售额×税（费）率</v>
      </c>
      <c r="P73" s="1250">
        <f t="shared" si="1"/>
        <v>5.0000000000000001E-4</v>
      </c>
      <c r="Q73" s="1911"/>
      <c r="R73" s="1911"/>
      <c r="S73" s="1911"/>
      <c r="T73" s="1911"/>
      <c r="U73" s="1911"/>
      <c r="V73" s="1911"/>
    </row>
    <row r="74" spans="1:22" ht="24.75">
      <c r="A74" s="3488" t="s">
        <v>411</v>
      </c>
      <c r="B74" s="3452"/>
      <c r="C74" s="3452"/>
      <c r="D74" s="360">
        <f>IF(H74="个人住宅",D75,D76)</f>
        <v>0</v>
      </c>
      <c r="E74" s="17" t="s">
        <v>412</v>
      </c>
      <c r="F74" s="358" t="str">
        <f>IF(H74="正常",F76,"免征")</f>
        <v>——</v>
      </c>
      <c r="G74" s="970" t="s">
        <v>387</v>
      </c>
      <c r="H74" s="361" t="s">
        <v>3127</v>
      </c>
      <c r="I74" s="42"/>
      <c r="J74" s="1918"/>
      <c r="K74" s="3287">
        <v>3</v>
      </c>
      <c r="L74" s="3493" t="s">
        <v>410</v>
      </c>
      <c r="M74" s="3493"/>
      <c r="N74" s="1249">
        <f t="shared" si="1"/>
        <v>0</v>
      </c>
      <c r="O74" s="3286" t="str">
        <f t="shared" si="1"/>
        <v>增值额×税（费）率</v>
      </c>
      <c r="P74" s="1252" t="str">
        <f t="shared" si="1"/>
        <v>——</v>
      </c>
      <c r="Q74" s="1911"/>
      <c r="R74" s="1911"/>
      <c r="S74" s="1911"/>
      <c r="T74" s="1911"/>
      <c r="U74" s="1911"/>
      <c r="V74" s="1911"/>
    </row>
    <row r="75" spans="1:22" ht="12.75">
      <c r="A75" s="357" t="s">
        <v>414</v>
      </c>
      <c r="B75" s="3440" t="s">
        <v>415</v>
      </c>
      <c r="C75" s="3476"/>
      <c r="D75" s="362">
        <v>0</v>
      </c>
      <c r="E75" s="41" t="s">
        <v>416</v>
      </c>
      <c r="F75" s="363"/>
      <c r="G75" s="359"/>
      <c r="H75" s="42"/>
      <c r="I75" s="42"/>
      <c r="J75" s="1918"/>
      <c r="K75" s="3287" t="str">
        <f>IF(H77="非个人房产","",4)</f>
        <v/>
      </c>
      <c r="L75" s="3493" t="str">
        <f>IF(H77="非个人房产","——","个人所得税")</f>
        <v>——</v>
      </c>
      <c r="M75" s="3493"/>
      <c r="N75" s="1253" t="str">
        <f>D77</f>
        <v>——</v>
      </c>
      <c r="O75" s="1786" t="str">
        <f>E77</f>
        <v>——</v>
      </c>
      <c r="P75" s="1254" t="str">
        <f>F77</f>
        <v>——</v>
      </c>
      <c r="Q75" s="1911"/>
      <c r="R75" s="1911"/>
      <c r="S75" s="1911"/>
      <c r="T75" s="1911"/>
      <c r="U75" s="1911"/>
      <c r="V75" s="1911"/>
    </row>
    <row r="76" spans="1:22" ht="24.75">
      <c r="A76" s="357" t="s">
        <v>395</v>
      </c>
      <c r="B76" s="3440" t="s">
        <v>418</v>
      </c>
      <c r="C76" s="3441"/>
      <c r="D76" s="360">
        <f>IF(H76="转让取得",C99,C115)</f>
        <v>0</v>
      </c>
      <c r="E76" s="17" t="s">
        <v>419</v>
      </c>
      <c r="F76" s="53" t="s">
        <v>21</v>
      </c>
      <c r="G76" s="359"/>
      <c r="H76" s="361" t="s">
        <v>3167</v>
      </c>
      <c r="I76" s="42"/>
      <c r="J76" s="1918"/>
      <c r="K76" s="3287" t="str">
        <f>IF(项目基本情况!K6="上海银行",IF(K75="",4,K75+1),"")</f>
        <v/>
      </c>
      <c r="L76" s="3508" t="str">
        <f>IF(项目基本情况!K6="上海银行","其他处置费用","")</f>
        <v/>
      </c>
      <c r="M76" s="3509"/>
      <c r="N76" s="1249" t="str">
        <f>IF(项目基本情况!K6="上海银行",N89,"")</f>
        <v/>
      </c>
      <c r="O76" s="3510" t="str">
        <f>IF(项目基本情况!K6="上海银行","包含处置中涉及的律师、诉讼、拍卖、评估等费用","")</f>
        <v/>
      </c>
      <c r="P76" s="3511"/>
      <c r="Q76" s="1911"/>
      <c r="R76" s="1911"/>
      <c r="S76" s="1911"/>
      <c r="T76" s="1911"/>
      <c r="U76" s="1911"/>
      <c r="V76" s="1911"/>
    </row>
    <row r="77" spans="1:22" ht="24.75" thickBot="1">
      <c r="A77" s="3495" t="s">
        <v>421</v>
      </c>
      <c r="B77" s="3496"/>
      <c r="C77" s="349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4">
        <f>IF(AND(K75="",K76=""),4,IF(项目基本情况!K6="上海银行",K76+1,K75+1))</f>
        <v>4</v>
      </c>
      <c r="L77" s="3493"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4"/>
      <c r="L78" s="3493"/>
      <c r="M78" s="2763" t="s">
        <v>420</v>
      </c>
      <c r="N78" s="1255"/>
      <c r="O78" s="1256" t="str">
        <f>NUMBERSTRING(INT(O77*10000),2)&amp;"元整"</f>
        <v>零元整</v>
      </c>
      <c r="P78" s="1257"/>
      <c r="Q78" s="1911"/>
      <c r="R78" s="1911"/>
      <c r="S78" s="1911"/>
      <c r="T78" s="1911"/>
      <c r="U78" s="1911"/>
      <c r="V78" s="1911"/>
    </row>
    <row r="79" spans="1:22" ht="13.5" thickBot="1">
      <c r="A79" s="3460" t="s">
        <v>422</v>
      </c>
      <c r="B79" s="3460"/>
      <c r="C79" s="3460"/>
      <c r="D79" s="3460"/>
      <c r="E79" s="3460"/>
      <c r="F79" s="42"/>
      <c r="G79" s="42"/>
      <c r="H79" s="990"/>
      <c r="I79" s="309"/>
      <c r="J79" s="1918"/>
      <c r="K79" s="3514">
        <f>K77+1</f>
        <v>5</v>
      </c>
      <c r="L79" s="3493" t="s">
        <v>2859</v>
      </c>
      <c r="M79" s="2763" t="s">
        <v>417</v>
      </c>
      <c r="N79" s="1255"/>
      <c r="O79" s="1256" t="e">
        <f ca="1">N69-O77</f>
        <v>#REF!</v>
      </c>
      <c r="P79" s="1257"/>
      <c r="Q79" s="1911"/>
      <c r="R79" s="1911"/>
      <c r="S79" s="1911"/>
      <c r="T79" s="1911"/>
      <c r="U79" s="1911"/>
      <c r="V79" s="1911"/>
    </row>
    <row r="80" spans="1:22" ht="12.75">
      <c r="A80" s="3461" t="s">
        <v>423</v>
      </c>
      <c r="B80" s="3462"/>
      <c r="C80" s="3281"/>
      <c r="D80" s="3281" t="s">
        <v>424</v>
      </c>
      <c r="E80" s="364" t="s">
        <v>425</v>
      </c>
      <c r="F80" s="42"/>
      <c r="G80" s="42"/>
      <c r="H80" s="990"/>
      <c r="I80" s="309"/>
      <c r="J80" s="1911"/>
      <c r="K80" s="3515"/>
      <c r="L80" s="3493"/>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91" t="s">
        <v>2860</v>
      </c>
      <c r="M81" s="3492"/>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07"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07"/>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507"/>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507"/>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07"/>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6" t="s">
        <v>432</v>
      </c>
      <c r="B88" s="3487"/>
      <c r="C88" s="3487"/>
      <c r="D88" s="3487"/>
      <c r="E88" s="3487"/>
      <c r="F88" s="3487"/>
      <c r="G88" s="3487"/>
      <c r="H88" s="3487"/>
      <c r="I88" s="1268"/>
      <c r="J88" s="1919"/>
      <c r="K88" s="3507"/>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1" t="s">
        <v>423</v>
      </c>
      <c r="B89" s="3462"/>
      <c r="C89" s="3281"/>
      <c r="D89" s="3281" t="s">
        <v>424</v>
      </c>
      <c r="E89" s="385" t="s">
        <v>433</v>
      </c>
      <c r="F89" s="386"/>
      <c r="G89" s="386"/>
      <c r="H89" s="387"/>
      <c r="I89" s="1269"/>
      <c r="J89" s="1921"/>
      <c r="K89" s="3507"/>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3" t="s">
        <v>441</v>
      </c>
      <c r="F94" s="3442"/>
      <c r="G94" s="3442"/>
      <c r="H94" s="3485"/>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77" t="s">
        <v>2412</v>
      </c>
      <c r="F96" s="3478"/>
      <c r="G96" s="3478"/>
      <c r="H96" s="3479"/>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6" t="s">
        <v>448</v>
      </c>
      <c r="B101" s="3487"/>
      <c r="C101" s="3487"/>
      <c r="D101" s="3487"/>
      <c r="E101" s="3487"/>
      <c r="F101" s="3487"/>
      <c r="G101" s="3487"/>
      <c r="H101" s="3487"/>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1" t="s">
        <v>423</v>
      </c>
      <c r="B102" s="3462"/>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18172.240000000002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18172.240000000002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538</v>
      </c>
      <c r="D107" s="400">
        <f>'数据-取费表'!B48+'数据-取费表'!B49</f>
        <v>3.0499999999999999E-2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37" t="s">
        <v>2956</v>
      </c>
      <c r="H108" s="3438"/>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0" t="s">
        <v>456</v>
      </c>
      <c r="F109" s="3478"/>
      <c r="G109" s="3478"/>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0" t="s">
        <v>458</v>
      </c>
      <c r="F110" s="3478"/>
      <c r="G110" s="3478"/>
      <c r="H110" s="3479"/>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77" t="s">
        <v>2412</v>
      </c>
      <c r="F111" s="3478"/>
      <c r="G111" s="3478"/>
      <c r="H111" s="3479"/>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0" t="s">
        <v>2435</v>
      </c>
      <c r="F112" s="3478"/>
      <c r="G112" s="3478"/>
      <c r="H112" s="3479"/>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-18172</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58" zoomScale="70" zoomScaleNormal="100" zoomScaleSheetLayoutView="70" zoomScalePageLayoutView="80" workbookViewId="0">
      <selection activeCell="M115" sqref="M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1" t="str">
        <f>项目基本情况!K2</f>
        <v>出让国有建设用地使用权</v>
      </c>
      <c r="B2" s="3482"/>
      <c r="C2" s="3483"/>
      <c r="D2" s="3483"/>
      <c r="E2" s="3483"/>
      <c r="F2" s="3483"/>
      <c r="G2" s="3482"/>
      <c r="H2" s="3482"/>
      <c r="I2" s="3484"/>
      <c r="J2" s="1912"/>
      <c r="K2" s="1911"/>
      <c r="L2" s="1911"/>
      <c r="M2" s="1911"/>
      <c r="N2" s="1911"/>
      <c r="O2" s="1911"/>
      <c r="P2" s="1911"/>
      <c r="Q2" s="1911"/>
      <c r="R2" s="1911"/>
      <c r="S2" s="1911"/>
      <c r="T2" s="1911"/>
      <c r="U2" s="1911"/>
      <c r="V2" s="1911"/>
    </row>
    <row r="3" spans="1:22" ht="14.25">
      <c r="A3" s="3474" t="s">
        <v>298</v>
      </c>
      <c r="B3" s="3475"/>
      <c r="C3" s="3475"/>
      <c r="D3" s="3475"/>
      <c r="E3" s="3475"/>
      <c r="F3" s="3475"/>
      <c r="G3" s="3475"/>
      <c r="H3" s="3475"/>
      <c r="I3" s="3475"/>
      <c r="J3" s="1912"/>
      <c r="K3" s="1911"/>
      <c r="L3" s="1911"/>
      <c r="M3" s="1911"/>
      <c r="N3" s="1911"/>
      <c r="O3" s="1911"/>
      <c r="P3" s="1911"/>
      <c r="Q3" s="1911"/>
      <c r="R3" s="1911"/>
      <c r="S3" s="1911"/>
      <c r="T3" s="1911"/>
      <c r="U3" s="1911"/>
      <c r="V3" s="1911"/>
    </row>
    <row r="4" spans="1:22" ht="14.25">
      <c r="A4" s="256" t="s">
        <v>299</v>
      </c>
      <c r="B4" s="257" t="s">
        <v>300</v>
      </c>
      <c r="C4" s="258"/>
      <c r="D4" s="258"/>
      <c r="E4" s="3440" t="s">
        <v>301</v>
      </c>
      <c r="F4" s="3441"/>
      <c r="G4" s="3441"/>
      <c r="H4" s="3441"/>
      <c r="I4" s="3476"/>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39" t="s">
        <v>302</v>
      </c>
      <c r="B5" s="3468">
        <v>25</v>
      </c>
      <c r="C5" s="3466"/>
      <c r="D5" s="3470"/>
      <c r="E5" s="259" t="s">
        <v>303</v>
      </c>
      <c r="F5" s="260"/>
      <c r="G5" s="260"/>
      <c r="H5" s="260"/>
      <c r="I5" s="261"/>
      <c r="J5" s="1912"/>
      <c r="K5" s="1911"/>
      <c r="L5" s="1911"/>
      <c r="M5" s="1911"/>
      <c r="N5" s="1911"/>
      <c r="O5" s="1911"/>
      <c r="P5" s="1911"/>
      <c r="Q5" s="1911"/>
      <c r="R5" s="1911"/>
      <c r="S5" s="1911"/>
      <c r="T5" s="1911"/>
      <c r="U5" s="1911"/>
      <c r="V5" s="1911"/>
    </row>
    <row r="6" spans="1:22" ht="14.25">
      <c r="A6" s="3439"/>
      <c r="B6" s="3468"/>
      <c r="C6" s="3469"/>
      <c r="D6" s="3470"/>
      <c r="E6" s="259" t="s">
        <v>304</v>
      </c>
      <c r="F6" s="260"/>
      <c r="G6" s="260"/>
      <c r="H6" s="260"/>
      <c r="I6" s="261"/>
      <c r="J6" s="1912"/>
      <c r="K6" s="1911"/>
      <c r="L6" s="1911"/>
      <c r="M6" s="1911"/>
      <c r="N6" s="1911"/>
      <c r="O6" s="1911"/>
      <c r="P6" s="1911"/>
      <c r="Q6" s="1911"/>
      <c r="R6" s="1911"/>
      <c r="S6" s="1911"/>
      <c r="T6" s="1911"/>
      <c r="U6" s="1911"/>
      <c r="V6" s="1911"/>
    </row>
    <row r="7" spans="1:22" ht="14.25">
      <c r="A7" s="3439"/>
      <c r="B7" s="3468"/>
      <c r="C7" s="3467"/>
      <c r="D7" s="3470"/>
      <c r="E7" s="259" t="s">
        <v>305</v>
      </c>
      <c r="F7" s="260"/>
      <c r="G7" s="260"/>
      <c r="H7" s="260"/>
      <c r="I7" s="261"/>
      <c r="J7" s="1912"/>
      <c r="K7" s="1911"/>
      <c r="L7" s="1911"/>
      <c r="M7" s="1911"/>
      <c r="N7" s="1911"/>
      <c r="O7" s="1911"/>
      <c r="P7" s="1911"/>
      <c r="Q7" s="1911"/>
      <c r="R7" s="1911"/>
      <c r="S7" s="1911"/>
      <c r="T7" s="1911"/>
      <c r="U7" s="1911"/>
      <c r="V7" s="1911"/>
    </row>
    <row r="8" spans="1:22" ht="14.25">
      <c r="A8" s="3439" t="s">
        <v>306</v>
      </c>
      <c r="B8" s="3468">
        <v>15</v>
      </c>
      <c r="C8" s="3466"/>
      <c r="D8" s="3470"/>
      <c r="E8" s="259" t="s">
        <v>307</v>
      </c>
      <c r="F8" s="260"/>
      <c r="G8" s="260"/>
      <c r="H8" s="260"/>
      <c r="I8" s="261"/>
      <c r="J8" s="1912"/>
      <c r="K8" s="1911"/>
      <c r="L8" s="1911"/>
      <c r="M8" s="1911"/>
      <c r="N8" s="1911"/>
      <c r="O8" s="1911"/>
      <c r="P8" s="1911"/>
      <c r="Q8" s="1911"/>
      <c r="R8" s="1911"/>
      <c r="S8" s="1911"/>
      <c r="T8" s="1911"/>
      <c r="U8" s="1911"/>
      <c r="V8" s="1911"/>
    </row>
    <row r="9" spans="1:22" ht="14.25">
      <c r="A9" s="3439"/>
      <c r="B9" s="3468"/>
      <c r="C9" s="3467"/>
      <c r="D9" s="3470"/>
      <c r="E9" s="259" t="s">
        <v>308</v>
      </c>
      <c r="F9" s="260"/>
      <c r="G9" s="260"/>
      <c r="H9" s="260"/>
      <c r="I9" s="261"/>
      <c r="J9" s="1912"/>
      <c r="K9" s="1911"/>
      <c r="L9" s="1911"/>
      <c r="M9" s="1911"/>
      <c r="N9" s="1911"/>
      <c r="O9" s="1911"/>
      <c r="P9" s="1911"/>
      <c r="Q9" s="1911"/>
      <c r="R9" s="1911"/>
      <c r="S9" s="1911"/>
      <c r="T9" s="1911"/>
      <c r="U9" s="1911"/>
      <c r="V9" s="1911"/>
    </row>
    <row r="10" spans="1:22" ht="14.25">
      <c r="A10" s="3439" t="s">
        <v>309</v>
      </c>
      <c r="B10" s="3468">
        <v>15</v>
      </c>
      <c r="C10" s="3466"/>
      <c r="D10" s="347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9"/>
      <c r="B11" s="3468"/>
      <c r="C11" s="3467"/>
      <c r="D11" s="347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9" t="s">
        <v>312</v>
      </c>
      <c r="B12" s="3468">
        <v>15</v>
      </c>
      <c r="C12" s="3466"/>
      <c r="D12" s="347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9"/>
      <c r="B13" s="3468"/>
      <c r="C13" s="3467"/>
      <c r="D13" s="347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9" t="s">
        <v>315</v>
      </c>
      <c r="B14" s="3468">
        <v>30</v>
      </c>
      <c r="C14" s="3466"/>
      <c r="D14" s="347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9"/>
      <c r="B15" s="3468"/>
      <c r="C15" s="3469"/>
      <c r="D15" s="347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9"/>
      <c r="B16" s="3468"/>
      <c r="C16" s="3467"/>
      <c r="D16" s="347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1" t="s">
        <v>2958</v>
      </c>
      <c r="F18" s="3472"/>
      <c r="G18" s="3472"/>
      <c r="H18" s="3472"/>
      <c r="I18" s="3472"/>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6"/>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3" t="s">
        <v>2960</v>
      </c>
      <c r="B31" s="3473"/>
      <c r="C31" s="3473"/>
      <c r="D31" s="3473"/>
      <c r="E31" s="3473"/>
      <c r="F31" s="3473"/>
      <c r="G31" s="3473"/>
      <c r="H31" s="3473"/>
      <c r="I31" s="3473"/>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5"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89"/>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0"/>
      <c r="F35" s="299" t="s">
        <v>342</v>
      </c>
      <c r="G35" s="969"/>
      <c r="H35" s="968" t="s">
        <v>343</v>
      </c>
      <c r="I35" s="309"/>
      <c r="J35" s="1911"/>
      <c r="K35" s="3463" t="s">
        <v>350</v>
      </c>
      <c r="L35" s="3463" t="s">
        <v>351</v>
      </c>
      <c r="M35" s="1217" t="s">
        <v>352</v>
      </c>
      <c r="N35" s="3463" t="s">
        <v>353</v>
      </c>
      <c r="O35" s="3463" t="s">
        <v>354</v>
      </c>
      <c r="P35" s="1911"/>
      <c r="V35" s="1911"/>
    </row>
    <row r="36" spans="1:26" ht="16.5" customHeight="1">
      <c r="A36" s="301" t="s">
        <v>344</v>
      </c>
      <c r="B36" s="302" t="s">
        <v>333</v>
      </c>
      <c r="C36" s="303" t="s">
        <v>345</v>
      </c>
      <c r="D36" s="303" t="s">
        <v>346</v>
      </c>
      <c r="E36" s="304" t="s">
        <v>347</v>
      </c>
      <c r="F36" s="309"/>
      <c r="G36" s="309"/>
      <c r="H36" s="309"/>
      <c r="I36" s="309"/>
      <c r="J36" s="1913"/>
      <c r="K36" s="3464"/>
      <c r="L36" s="3464"/>
      <c r="M36" s="1219" t="s">
        <v>355</v>
      </c>
      <c r="N36" s="3464"/>
      <c r="O36" s="3464"/>
      <c r="P36" s="1911"/>
      <c r="V36" s="1911"/>
    </row>
    <row r="37" spans="1:26" ht="16.5" customHeight="1" thickBot="1">
      <c r="A37" s="1213" t="s">
        <v>348</v>
      </c>
      <c r="B37" s="305"/>
      <c r="C37" s="292"/>
      <c r="D37" s="292"/>
      <c r="E37" s="293"/>
      <c r="F37" s="309"/>
      <c r="G37" s="309"/>
      <c r="H37" s="309"/>
      <c r="I37" s="309"/>
      <c r="J37" s="1913"/>
      <c r="K37" s="3465"/>
      <c r="L37" s="3465"/>
      <c r="M37" s="1220"/>
      <c r="N37" s="3465"/>
      <c r="O37" s="3465"/>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3" t="str">
        <f>MID(A44,3,LEN(A44)-2)</f>
        <v>抵押价格</v>
      </c>
      <c r="L39" s="3504"/>
      <c r="M39" s="3504"/>
      <c r="N39" s="3505"/>
      <c r="O39" s="1340" t="e">
        <f ca="1">C44</f>
        <v>#REF!</v>
      </c>
      <c r="P39" s="1911"/>
      <c r="V39" s="1911"/>
    </row>
    <row r="40" spans="1:26" ht="19.5" thickBot="1">
      <c r="A40" s="104" t="s">
        <v>863</v>
      </c>
      <c r="B40" s="309"/>
      <c r="C40" s="309"/>
      <c r="D40" s="309"/>
      <c r="E40" s="309"/>
      <c r="F40" s="309"/>
      <c r="G40" s="309"/>
      <c r="H40" s="309"/>
      <c r="I40" s="309"/>
      <c r="J40" s="1913"/>
      <c r="K40" s="3503" t="str">
        <f t="shared" ref="K40:K41" si="0">MID(A45,3,LEN(A45)-2)</f>
        <v/>
      </c>
      <c r="L40" s="3504"/>
      <c r="M40" s="3504"/>
      <c r="N40" s="3505"/>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3" t="str">
        <f t="shared" si="0"/>
        <v/>
      </c>
      <c r="L41" s="3504"/>
      <c r="M41" s="3504"/>
      <c r="N41" s="3505"/>
      <c r="O41" s="1340" t="str">
        <f>C46</f>
        <v>——</v>
      </c>
      <c r="P41" s="1911"/>
      <c r="V41" s="1911"/>
    </row>
    <row r="42" spans="1:26" ht="29.25">
      <c r="A42" s="3447" t="s">
        <v>2055</v>
      </c>
      <c r="B42" s="3448"/>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58" t="s">
        <v>2709</v>
      </c>
      <c r="B43" s="3459"/>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47" t="str">
        <f>IF(OR(项目基本情况!E8="抵押价格",项目基本情况!E8="已注销及未注销"),"3.抵押价格","——")</f>
        <v>3.抵押价格</v>
      </c>
      <c r="B44" s="3448"/>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3" t="str">
        <f>IF(项目基本情况!E8="已注销及未注销","4.抵押担保权已注销时的抵押价格",IF(项目基本情况!E8="已注销","3.抵押担保权已注销时的抵押价格","——"))</f>
        <v>——</v>
      </c>
      <c r="B45" s="345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97" t="s">
        <v>374</v>
      </c>
      <c r="B63" s="3498"/>
      <c r="C63" s="3499"/>
      <c r="D63" s="339">
        <f ca="1">系统读取表!D16</f>
        <v>32352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5" t="s">
        <v>378</v>
      </c>
      <c r="B64" s="3456"/>
      <c r="C64" s="3456"/>
      <c r="D64" s="3456"/>
      <c r="E64" s="3456"/>
      <c r="F64" s="3456"/>
      <c r="G64" s="3457"/>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1" t="s">
        <v>386</v>
      </c>
      <c r="B66" s="3452"/>
      <c r="C66" s="3452"/>
      <c r="D66" s="259">
        <f ca="1">IF(H66="情况1",0,IF(H66="情况2",D70,IF(H66="情况3",D71,IF(H66="情况4",D72))))</f>
        <v>1695</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12" t="s">
        <v>385</v>
      </c>
      <c r="M66" s="3513"/>
      <c r="N66" s="2312"/>
      <c r="O66" s="2313"/>
      <c r="P66" s="2314"/>
      <c r="Q66" s="1911"/>
      <c r="R66" s="1911"/>
      <c r="S66" s="1911"/>
      <c r="T66" s="1911"/>
      <c r="U66" s="1911"/>
      <c r="V66" s="1911"/>
    </row>
    <row r="67" spans="1:22" ht="25.5" customHeight="1">
      <c r="A67" s="350" t="s">
        <v>389</v>
      </c>
      <c r="B67" s="3442" t="s">
        <v>390</v>
      </c>
      <c r="C67" s="3442"/>
      <c r="D67" s="351">
        <v>0</v>
      </c>
      <c r="E67" s="41" t="s">
        <v>391</v>
      </c>
      <c r="F67" s="62" t="s">
        <v>21</v>
      </c>
      <c r="G67" s="3500"/>
      <c r="H67" s="3006" t="s">
        <v>2961</v>
      </c>
      <c r="I67" s="3008"/>
      <c r="J67" s="1918"/>
      <c r="K67" s="3287">
        <v>2</v>
      </c>
      <c r="L67" s="3506" t="s">
        <v>388</v>
      </c>
      <c r="M67" s="3506"/>
      <c r="N67" s="1278">
        <f>'数据-取费表'!B2</f>
        <v>44258</v>
      </c>
      <c r="O67" s="1278"/>
      <c r="P67" s="1278"/>
      <c r="Q67" s="1911"/>
      <c r="R67" s="1911"/>
      <c r="S67" s="1911"/>
      <c r="T67" s="1911"/>
      <c r="U67" s="1911"/>
      <c r="V67" s="1911"/>
    </row>
    <row r="68" spans="1:22" ht="25.5" customHeight="1">
      <c r="A68" s="352"/>
      <c r="B68" s="3442" t="s">
        <v>393</v>
      </c>
      <c r="C68" s="3442"/>
      <c r="D68" s="353"/>
      <c r="E68" s="77"/>
      <c r="F68" s="354"/>
      <c r="G68" s="3501"/>
      <c r="H68" s="3007" t="s">
        <v>2962</v>
      </c>
      <c r="I68" s="3008"/>
      <c r="J68" s="1918"/>
      <c r="K68" s="3287">
        <v>3</v>
      </c>
      <c r="L68" s="3506" t="s">
        <v>392</v>
      </c>
      <c r="M68" s="3506"/>
      <c r="N68" s="1246" t="e">
        <f ca="1">C42</f>
        <v>#REF!</v>
      </c>
      <c r="O68" s="1246"/>
      <c r="P68" s="1246"/>
      <c r="Q68" s="1911"/>
      <c r="R68" s="1911"/>
      <c r="S68" s="1911"/>
      <c r="T68" s="1911"/>
      <c r="U68" s="1911"/>
      <c r="V68" s="1911"/>
    </row>
    <row r="69" spans="1:22" ht="23.45" customHeight="1">
      <c r="A69" s="355"/>
      <c r="B69" s="3442" t="s">
        <v>394</v>
      </c>
      <c r="C69" s="3442"/>
      <c r="D69" s="356"/>
      <c r="E69" s="73"/>
      <c r="F69" s="354"/>
      <c r="G69" s="3502"/>
      <c r="H69" s="3007" t="s">
        <v>2963</v>
      </c>
      <c r="I69" s="3008"/>
      <c r="J69" s="1918"/>
      <c r="K69" s="3289">
        <v>4</v>
      </c>
      <c r="L69" s="3516" t="s">
        <v>2857</v>
      </c>
      <c r="M69" s="3517"/>
      <c r="N69" s="1248" t="e">
        <f ca="1">C44</f>
        <v>#REF!</v>
      </c>
      <c r="O69" s="1248"/>
      <c r="P69" s="1248"/>
      <c r="Q69" s="1911"/>
      <c r="R69" s="1911"/>
      <c r="S69" s="1911"/>
      <c r="T69" s="1911"/>
      <c r="U69" s="1911"/>
      <c r="V69" s="1911"/>
    </row>
    <row r="70" spans="1:22" ht="24" customHeight="1">
      <c r="A70" s="357" t="s">
        <v>395</v>
      </c>
      <c r="B70" s="3442" t="s">
        <v>396</v>
      </c>
      <c r="C70" s="3442"/>
      <c r="D70" s="356">
        <f ca="1">ROUND(D63*'数据-取费表'!B41/(1+'数据-取费表'!C42),0)</f>
        <v>1695</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3" t="s">
        <v>2992</v>
      </c>
      <c r="C71" s="3444"/>
      <c r="D71" s="356">
        <f ca="1">ROUND(D63*'数据-取费表'!B41/(1+'数据-取费表'!C42),0)</f>
        <v>1695</v>
      </c>
      <c r="E71" s="17" t="s">
        <v>397</v>
      </c>
      <c r="F71" s="358">
        <f>'数据-取费表'!B41</f>
        <v>5.5000000000000007E-2</v>
      </c>
      <c r="G71" s="359"/>
      <c r="H71" s="309"/>
      <c r="I71" s="1245"/>
      <c r="J71" s="1918"/>
      <c r="K71" s="3291" t="s">
        <v>398</v>
      </c>
      <c r="L71" s="3518" t="s">
        <v>399</v>
      </c>
      <c r="M71" s="3518"/>
      <c r="N71" s="3291" t="s">
        <v>400</v>
      </c>
      <c r="O71" s="3291" t="s">
        <v>401</v>
      </c>
      <c r="P71" s="3291" t="s">
        <v>402</v>
      </c>
      <c r="Q71" s="1911"/>
      <c r="R71" s="1911"/>
      <c r="S71" s="1911"/>
      <c r="T71" s="1911"/>
      <c r="U71" s="1911"/>
      <c r="V71" s="1911"/>
    </row>
    <row r="72" spans="1:22" ht="12" customHeight="1">
      <c r="A72" s="357" t="s">
        <v>405</v>
      </c>
      <c r="B72" s="3443" t="s">
        <v>2993</v>
      </c>
      <c r="C72" s="3444"/>
      <c r="D72" s="356">
        <f ca="1">C86</f>
        <v>1695</v>
      </c>
      <c r="E72" s="73" t="s">
        <v>406</v>
      </c>
      <c r="F72" s="358">
        <f>'数据-取费表'!B41</f>
        <v>5.5000000000000007E-2</v>
      </c>
      <c r="G72" s="359"/>
      <c r="H72" s="1251"/>
      <c r="I72" s="1245"/>
      <c r="J72" s="1918"/>
      <c r="K72" s="3287">
        <v>1</v>
      </c>
      <c r="L72" s="3493" t="s">
        <v>404</v>
      </c>
      <c r="M72" s="3493"/>
      <c r="N72" s="1249">
        <f ca="1">D66</f>
        <v>1695</v>
      </c>
      <c r="O72" s="3286" t="str">
        <f>E66</f>
        <v>销售额×税（费）率</v>
      </c>
      <c r="P72" s="1250">
        <f>F66</f>
        <v>5.5000000000000007E-2</v>
      </c>
      <c r="Q72" s="1911"/>
      <c r="R72" s="1911"/>
      <c r="S72" s="1911"/>
      <c r="T72" s="1911"/>
      <c r="U72" s="1911"/>
      <c r="V72" s="1911"/>
    </row>
    <row r="73" spans="1:22" ht="24" customHeight="1">
      <c r="A73" s="3488" t="s">
        <v>408</v>
      </c>
      <c r="B73" s="3452"/>
      <c r="C73" s="3452"/>
      <c r="D73" s="360">
        <f ca="1">IF(H73="个人住宅",0,ROUND(D63*I73,0))</f>
        <v>16</v>
      </c>
      <c r="E73" s="17" t="s">
        <v>409</v>
      </c>
      <c r="F73" s="358">
        <f>IF(H73="正常",I73,"免征")</f>
        <v>5.0000000000000001E-4</v>
      </c>
      <c r="G73" s="359"/>
      <c r="H73" s="189" t="s">
        <v>3127</v>
      </c>
      <c r="I73" s="358">
        <f>'数据-取费表'!B49</f>
        <v>5.0000000000000001E-4</v>
      </c>
      <c r="J73" s="1918"/>
      <c r="K73" s="3287">
        <v>2</v>
      </c>
      <c r="L73" s="3493" t="s">
        <v>407</v>
      </c>
      <c r="M73" s="3493"/>
      <c r="N73" s="1249">
        <f t="shared" ref="N73:P74" ca="1" si="1">D73</f>
        <v>16</v>
      </c>
      <c r="O73" s="3286" t="str">
        <f t="shared" si="1"/>
        <v>销售额×税（费）率</v>
      </c>
      <c r="P73" s="1250">
        <f t="shared" si="1"/>
        <v>5.0000000000000001E-4</v>
      </c>
      <c r="Q73" s="1911"/>
      <c r="R73" s="1911"/>
      <c r="S73" s="1911"/>
      <c r="T73" s="1911"/>
      <c r="U73" s="1911"/>
      <c r="V73" s="1911"/>
    </row>
    <row r="74" spans="1:22" ht="24.75">
      <c r="A74" s="3488" t="s">
        <v>411</v>
      </c>
      <c r="B74" s="3452"/>
      <c r="C74" s="3452"/>
      <c r="D74" s="360">
        <f ca="1">IF(H74="个人住宅",D75,D76)</f>
        <v>3812</v>
      </c>
      <c r="E74" s="17" t="s">
        <v>412</v>
      </c>
      <c r="F74" s="358" t="str">
        <f>IF(H74="正常",F76,"免征")</f>
        <v>——</v>
      </c>
      <c r="G74" s="970" t="s">
        <v>387</v>
      </c>
      <c r="H74" s="361" t="s">
        <v>3127</v>
      </c>
      <c r="I74" s="42"/>
      <c r="J74" s="1918"/>
      <c r="K74" s="3287">
        <v>3</v>
      </c>
      <c r="L74" s="3493" t="s">
        <v>410</v>
      </c>
      <c r="M74" s="3493"/>
      <c r="N74" s="1249">
        <f t="shared" ca="1" si="1"/>
        <v>3812</v>
      </c>
      <c r="O74" s="3286" t="str">
        <f t="shared" si="1"/>
        <v>增值额×税（费）率</v>
      </c>
      <c r="P74" s="1252" t="str">
        <f t="shared" si="1"/>
        <v>——</v>
      </c>
      <c r="Q74" s="1911"/>
      <c r="R74" s="1911"/>
      <c r="S74" s="1911"/>
      <c r="T74" s="1911"/>
      <c r="U74" s="1911"/>
      <c r="V74" s="1911"/>
    </row>
    <row r="75" spans="1:22" ht="12.75">
      <c r="A75" s="357" t="s">
        <v>414</v>
      </c>
      <c r="B75" s="3440" t="s">
        <v>415</v>
      </c>
      <c r="C75" s="3476"/>
      <c r="D75" s="362">
        <v>0</v>
      </c>
      <c r="E75" s="41" t="s">
        <v>416</v>
      </c>
      <c r="F75" s="363"/>
      <c r="G75" s="359"/>
      <c r="H75" s="42"/>
      <c r="I75" s="42"/>
      <c r="J75" s="1918"/>
      <c r="K75" s="3287" t="str">
        <f>IF(H77="非个人房产","",4)</f>
        <v/>
      </c>
      <c r="L75" s="3493" t="str">
        <f>IF(H77="非个人房产","——","个人所得税")</f>
        <v>——</v>
      </c>
      <c r="M75" s="3493"/>
      <c r="N75" s="1253" t="str">
        <f>D77</f>
        <v>——</v>
      </c>
      <c r="O75" s="1786" t="str">
        <f>E77</f>
        <v>——</v>
      </c>
      <c r="P75" s="1254" t="str">
        <f>F77</f>
        <v>——</v>
      </c>
      <c r="Q75" s="1911"/>
      <c r="R75" s="1911"/>
      <c r="S75" s="1911"/>
      <c r="T75" s="1911"/>
      <c r="U75" s="1911"/>
      <c r="V75" s="1911"/>
    </row>
    <row r="76" spans="1:22" ht="24.75">
      <c r="A76" s="357" t="s">
        <v>395</v>
      </c>
      <c r="B76" s="3440" t="s">
        <v>418</v>
      </c>
      <c r="C76" s="3441"/>
      <c r="D76" s="360">
        <f ca="1">IF(H76="转让取得",C99,C115)</f>
        <v>3812</v>
      </c>
      <c r="E76" s="17" t="s">
        <v>419</v>
      </c>
      <c r="F76" s="53" t="s">
        <v>21</v>
      </c>
      <c r="G76" s="359"/>
      <c r="H76" s="361" t="s">
        <v>3167</v>
      </c>
      <c r="I76" s="42"/>
      <c r="J76" s="1918"/>
      <c r="K76" s="3287" t="str">
        <f>IF(项目基本情况!K6="上海银行",IF(K75="",4,K75+1),"")</f>
        <v/>
      </c>
      <c r="L76" s="3508" t="str">
        <f>IF(项目基本情况!K6="上海银行","其他处置费用","")</f>
        <v/>
      </c>
      <c r="M76" s="3509"/>
      <c r="N76" s="1249" t="str">
        <f>IF(项目基本情况!K6="上海银行",N89,"")</f>
        <v/>
      </c>
      <c r="O76" s="3510" t="str">
        <f>IF(项目基本情况!K6="上海银行","包含处置中涉及的律师、诉讼、拍卖、评估等费用","")</f>
        <v/>
      </c>
      <c r="P76" s="3511"/>
      <c r="Q76" s="1911"/>
      <c r="R76" s="1911"/>
      <c r="S76" s="1911"/>
      <c r="T76" s="1911"/>
      <c r="U76" s="1911"/>
      <c r="V76" s="1911"/>
    </row>
    <row r="77" spans="1:22" ht="24.75" thickBot="1">
      <c r="A77" s="3495" t="s">
        <v>421</v>
      </c>
      <c r="B77" s="3496"/>
      <c r="C77" s="349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4">
        <f>IF(AND(K75="",K76=""),4,IF(项目基本情况!K6="上海银行",K76+1,K75+1))</f>
        <v>4</v>
      </c>
      <c r="L77" s="3493" t="s">
        <v>2858</v>
      </c>
      <c r="M77" s="2763" t="s">
        <v>417</v>
      </c>
      <c r="N77" s="1255"/>
      <c r="O77" s="1256">
        <f ca="1">SUMIF(N72:N76,"&lt;9e307")</f>
        <v>5523</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4"/>
      <c r="L78" s="3493"/>
      <c r="M78" s="2763" t="s">
        <v>420</v>
      </c>
      <c r="N78" s="1255"/>
      <c r="O78" s="1256" t="str">
        <f ca="1">NUMBERSTRING(INT(O77*10000),2)&amp;"元整"</f>
        <v>伍仟伍佰贰拾叁万元整</v>
      </c>
      <c r="P78" s="1257"/>
      <c r="Q78" s="1911"/>
      <c r="R78" s="1911"/>
      <c r="S78" s="1911"/>
      <c r="T78" s="1911"/>
      <c r="U78" s="1911"/>
      <c r="V78" s="1911"/>
    </row>
    <row r="79" spans="1:22" ht="13.5" thickBot="1">
      <c r="A79" s="3460" t="s">
        <v>422</v>
      </c>
      <c r="B79" s="3460"/>
      <c r="C79" s="3460"/>
      <c r="D79" s="3460"/>
      <c r="E79" s="3460"/>
      <c r="F79" s="42"/>
      <c r="G79" s="42"/>
      <c r="H79" s="990"/>
      <c r="I79" s="309"/>
      <c r="J79" s="1918"/>
      <c r="K79" s="3514">
        <f>K77+1</f>
        <v>5</v>
      </c>
      <c r="L79" s="3493" t="s">
        <v>2859</v>
      </c>
      <c r="M79" s="2763" t="s">
        <v>417</v>
      </c>
      <c r="N79" s="1255"/>
      <c r="O79" s="1256" t="e">
        <f ca="1">N69-O77</f>
        <v>#REF!</v>
      </c>
      <c r="P79" s="1257"/>
      <c r="Q79" s="1911"/>
      <c r="R79" s="1911"/>
      <c r="S79" s="1911"/>
      <c r="T79" s="1911"/>
      <c r="U79" s="1911"/>
      <c r="V79" s="1911"/>
    </row>
    <row r="80" spans="1:22" ht="12.75">
      <c r="A80" s="3461" t="s">
        <v>423</v>
      </c>
      <c r="B80" s="3462"/>
      <c r="C80" s="3281"/>
      <c r="D80" s="3281" t="s">
        <v>424</v>
      </c>
      <c r="E80" s="364" t="s">
        <v>425</v>
      </c>
      <c r="F80" s="42"/>
      <c r="G80" s="42"/>
      <c r="H80" s="990"/>
      <c r="I80" s="309"/>
      <c r="J80" s="1911"/>
      <c r="K80" s="3515"/>
      <c r="L80" s="3493"/>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 ca="1">ROUND((C82+C83)/(1+'数据-取费表'!C42),0)</f>
        <v>30811</v>
      </c>
      <c r="D81" s="367"/>
      <c r="E81" s="368"/>
      <c r="F81" s="42"/>
      <c r="G81" s="42"/>
      <c r="H81" s="990"/>
      <c r="I81" s="309"/>
      <c r="J81" s="1911"/>
      <c r="K81" s="3287">
        <f>K79+1</f>
        <v>6</v>
      </c>
      <c r="L81" s="3491" t="s">
        <v>2860</v>
      </c>
      <c r="M81" s="3492"/>
      <c r="N81" s="1259"/>
      <c r="O81" s="1260" t="e">
        <f ca="1">ROUND(O79*10000/'数据-汇总表'!E3,0)</f>
        <v>#REF!</v>
      </c>
      <c r="P81" s="1261"/>
      <c r="Q81" s="1911"/>
      <c r="R81" s="1911"/>
      <c r="S81" s="1911"/>
      <c r="T81" s="1911"/>
      <c r="U81" s="1911"/>
      <c r="V81" s="1911"/>
    </row>
    <row r="82" spans="1:26" ht="13.5" thickTop="1">
      <c r="A82" s="369" t="s">
        <v>1814</v>
      </c>
      <c r="B82" s="370" t="s">
        <v>427</v>
      </c>
      <c r="C82" s="371">
        <f ca="1">D63</f>
        <v>32352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07"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07"/>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 ca="1">C81-C84</f>
        <v>30811</v>
      </c>
      <c r="D85" s="372" t="s">
        <v>19</v>
      </c>
      <c r="E85" s="373"/>
      <c r="F85" s="42"/>
      <c r="G85" s="42"/>
      <c r="H85" s="990"/>
      <c r="I85" s="309"/>
      <c r="J85" s="1911"/>
      <c r="K85" s="3507"/>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 ca="1">IF(C85&lt;=0,0,ROUND(C85*D86,0))</f>
        <v>1695</v>
      </c>
      <c r="D86" s="383">
        <f>'数据-取费表'!B41</f>
        <v>5.5000000000000007E-2</v>
      </c>
      <c r="E86" s="384"/>
      <c r="F86" s="42"/>
      <c r="G86" s="42"/>
      <c r="H86" s="990"/>
      <c r="I86" s="309"/>
      <c r="J86" s="1911"/>
      <c r="K86" s="3507"/>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07"/>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6" t="s">
        <v>432</v>
      </c>
      <c r="B88" s="3487"/>
      <c r="C88" s="3487"/>
      <c r="D88" s="3487"/>
      <c r="E88" s="3487"/>
      <c r="F88" s="3487"/>
      <c r="G88" s="3487"/>
      <c r="H88" s="3487"/>
      <c r="I88" s="1268"/>
      <c r="J88" s="1919"/>
      <c r="K88" s="3507"/>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1" t="s">
        <v>423</v>
      </c>
      <c r="B89" s="3462"/>
      <c r="C89" s="3281"/>
      <c r="D89" s="3281" t="s">
        <v>424</v>
      </c>
      <c r="E89" s="385" t="s">
        <v>433</v>
      </c>
      <c r="F89" s="386"/>
      <c r="G89" s="386"/>
      <c r="H89" s="387"/>
      <c r="I89" s="1269"/>
      <c r="J89" s="1921"/>
      <c r="K89" s="3507"/>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30811</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154</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3" t="s">
        <v>441</v>
      </c>
      <c r="F94" s="3442"/>
      <c r="G94" s="3442"/>
      <c r="H94" s="3485"/>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154</v>
      </c>
      <c r="D96" s="400">
        <f>'数据-取费表'!B43</f>
        <v>5.000000000000001E-3</v>
      </c>
      <c r="E96" s="3477" t="s">
        <v>2412</v>
      </c>
      <c r="F96" s="3478"/>
      <c r="G96" s="3478"/>
      <c r="H96" s="3479"/>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30657</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199.07142857142858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18340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6" t="s">
        <v>448</v>
      </c>
      <c r="B101" s="3487"/>
      <c r="C101" s="3487"/>
      <c r="D101" s="3487"/>
      <c r="E101" s="3487"/>
      <c r="F101" s="3487"/>
      <c r="G101" s="3487"/>
      <c r="H101" s="3487"/>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1" t="s">
        <v>423</v>
      </c>
      <c r="B102" s="3462"/>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30811</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18915.64</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18761.64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555</v>
      </c>
      <c r="D107" s="400">
        <f>'数据-取费表'!B48+'数据-取费表'!B49</f>
        <v>3.0499999999999999E-2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37" t="s">
        <v>2956</v>
      </c>
      <c r="H108" s="3438"/>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0" t="s">
        <v>456</v>
      </c>
      <c r="F109" s="3478"/>
      <c r="G109" s="3478"/>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0" t="s">
        <v>458</v>
      </c>
      <c r="F110" s="3478"/>
      <c r="G110" s="3478"/>
      <c r="H110" s="3479"/>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154</v>
      </c>
      <c r="D111" s="400">
        <f>'数据-取费表'!B43</f>
        <v>5.000000000000001E-3</v>
      </c>
      <c r="E111" s="3477" t="s">
        <v>2412</v>
      </c>
      <c r="F111" s="3478"/>
      <c r="G111" s="3478"/>
      <c r="H111" s="3479"/>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0" t="s">
        <v>2435</v>
      </c>
      <c r="F112" s="3478"/>
      <c r="G112" s="3478"/>
      <c r="H112" s="3479"/>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11895</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0.62884470205607634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3812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6" t="str">
        <f>项目基本情况!B1</f>
        <v>出让国有建设用地使用权抵押价格预评估</v>
      </c>
      <c r="C37" s="3346"/>
      <c r="D37" s="3346"/>
      <c r="E37" s="3346"/>
      <c r="F37" s="3346"/>
      <c r="G37" s="3346"/>
      <c r="H37" s="3346"/>
      <c r="I37" s="3346"/>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55" zoomScale="70" zoomScaleNormal="100" zoomScaleSheetLayoutView="70" zoomScalePageLayoutView="80" workbookViewId="0">
      <selection activeCell="M116" sqref="M1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1" t="str">
        <f>项目基本情况!K2</f>
        <v>出让国有建设用地使用权</v>
      </c>
      <c r="B2" s="3482"/>
      <c r="C2" s="3483"/>
      <c r="D2" s="3483"/>
      <c r="E2" s="3483"/>
      <c r="F2" s="3483"/>
      <c r="G2" s="3482"/>
      <c r="H2" s="3482"/>
      <c r="I2" s="3484"/>
      <c r="J2" s="1912"/>
      <c r="K2" s="1911"/>
      <c r="L2" s="1911"/>
      <c r="M2" s="1911"/>
      <c r="N2" s="1911"/>
      <c r="O2" s="1911"/>
      <c r="P2" s="1911"/>
      <c r="Q2" s="1911"/>
      <c r="R2" s="1911"/>
      <c r="S2" s="1911"/>
      <c r="T2" s="1911"/>
      <c r="U2" s="1911"/>
      <c r="V2" s="1911"/>
    </row>
    <row r="3" spans="1:22" ht="14.25">
      <c r="A3" s="3474" t="s">
        <v>298</v>
      </c>
      <c r="B3" s="3475"/>
      <c r="C3" s="3475"/>
      <c r="D3" s="3475"/>
      <c r="E3" s="3475"/>
      <c r="F3" s="3475"/>
      <c r="G3" s="3475"/>
      <c r="H3" s="3475"/>
      <c r="I3" s="3475"/>
      <c r="J3" s="1912"/>
      <c r="K3" s="1911"/>
      <c r="L3" s="1911"/>
      <c r="M3" s="1911"/>
      <c r="N3" s="1911"/>
      <c r="O3" s="1911"/>
      <c r="P3" s="1911"/>
      <c r="Q3" s="1911"/>
      <c r="R3" s="1911"/>
      <c r="S3" s="1911"/>
      <c r="T3" s="1911"/>
      <c r="U3" s="1911"/>
      <c r="V3" s="1911"/>
    </row>
    <row r="4" spans="1:22" ht="14.25">
      <c r="A4" s="256" t="s">
        <v>299</v>
      </c>
      <c r="B4" s="257" t="s">
        <v>300</v>
      </c>
      <c r="C4" s="258"/>
      <c r="D4" s="258"/>
      <c r="E4" s="3440" t="s">
        <v>301</v>
      </c>
      <c r="F4" s="3441"/>
      <c r="G4" s="3441"/>
      <c r="H4" s="3441"/>
      <c r="I4" s="3476"/>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39" t="s">
        <v>302</v>
      </c>
      <c r="B5" s="3468">
        <v>25</v>
      </c>
      <c r="C5" s="3466"/>
      <c r="D5" s="3470"/>
      <c r="E5" s="259" t="s">
        <v>303</v>
      </c>
      <c r="F5" s="260"/>
      <c r="G5" s="260"/>
      <c r="H5" s="260"/>
      <c r="I5" s="261"/>
      <c r="J5" s="1912"/>
      <c r="K5" s="1911"/>
      <c r="L5" s="1911"/>
      <c r="M5" s="1911"/>
      <c r="N5" s="1911"/>
      <c r="O5" s="1911"/>
      <c r="P5" s="1911"/>
      <c r="Q5" s="1911"/>
      <c r="R5" s="1911"/>
      <c r="S5" s="1911"/>
      <c r="T5" s="1911"/>
      <c r="U5" s="1911"/>
      <c r="V5" s="1911"/>
    </row>
    <row r="6" spans="1:22" ht="14.25">
      <c r="A6" s="3439"/>
      <c r="B6" s="3468"/>
      <c r="C6" s="3469"/>
      <c r="D6" s="3470"/>
      <c r="E6" s="259" t="s">
        <v>304</v>
      </c>
      <c r="F6" s="260"/>
      <c r="G6" s="260"/>
      <c r="H6" s="260"/>
      <c r="I6" s="261"/>
      <c r="J6" s="1912"/>
      <c r="K6" s="1911"/>
      <c r="L6" s="1911"/>
      <c r="M6" s="1911"/>
      <c r="N6" s="1911"/>
      <c r="O6" s="1911"/>
      <c r="P6" s="1911"/>
      <c r="Q6" s="1911"/>
      <c r="R6" s="1911"/>
      <c r="S6" s="1911"/>
      <c r="T6" s="1911"/>
      <c r="U6" s="1911"/>
      <c r="V6" s="1911"/>
    </row>
    <row r="7" spans="1:22" ht="14.25">
      <c r="A7" s="3439"/>
      <c r="B7" s="3468"/>
      <c r="C7" s="3467"/>
      <c r="D7" s="3470"/>
      <c r="E7" s="259" t="s">
        <v>305</v>
      </c>
      <c r="F7" s="260"/>
      <c r="G7" s="260"/>
      <c r="H7" s="260"/>
      <c r="I7" s="261"/>
      <c r="J7" s="1912"/>
      <c r="K7" s="1911"/>
      <c r="L7" s="1911"/>
      <c r="M7" s="1911"/>
      <c r="N7" s="1911"/>
      <c r="O7" s="1911"/>
      <c r="P7" s="1911"/>
      <c r="Q7" s="1911"/>
      <c r="R7" s="1911"/>
      <c r="S7" s="1911"/>
      <c r="T7" s="1911"/>
      <c r="U7" s="1911"/>
      <c r="V7" s="1911"/>
    </row>
    <row r="8" spans="1:22" ht="14.25">
      <c r="A8" s="3439" t="s">
        <v>306</v>
      </c>
      <c r="B8" s="3468">
        <v>15</v>
      </c>
      <c r="C8" s="3466"/>
      <c r="D8" s="3470"/>
      <c r="E8" s="259" t="s">
        <v>307</v>
      </c>
      <c r="F8" s="260"/>
      <c r="G8" s="260"/>
      <c r="H8" s="260"/>
      <c r="I8" s="261"/>
      <c r="J8" s="1912"/>
      <c r="K8" s="1911"/>
      <c r="L8" s="1911"/>
      <c r="M8" s="1911"/>
      <c r="N8" s="1911"/>
      <c r="O8" s="1911"/>
      <c r="P8" s="1911"/>
      <c r="Q8" s="1911"/>
      <c r="R8" s="1911"/>
      <c r="S8" s="1911"/>
      <c r="T8" s="1911"/>
      <c r="U8" s="1911"/>
      <c r="V8" s="1911"/>
    </row>
    <row r="9" spans="1:22" ht="14.25">
      <c r="A9" s="3439"/>
      <c r="B9" s="3468"/>
      <c r="C9" s="3467"/>
      <c r="D9" s="3470"/>
      <c r="E9" s="259" t="s">
        <v>308</v>
      </c>
      <c r="F9" s="260"/>
      <c r="G9" s="260"/>
      <c r="H9" s="260"/>
      <c r="I9" s="261"/>
      <c r="J9" s="1912"/>
      <c r="K9" s="1911"/>
      <c r="L9" s="1911"/>
      <c r="M9" s="1911"/>
      <c r="N9" s="1911"/>
      <c r="O9" s="1911"/>
      <c r="P9" s="1911"/>
      <c r="Q9" s="1911"/>
      <c r="R9" s="1911"/>
      <c r="S9" s="1911"/>
      <c r="T9" s="1911"/>
      <c r="U9" s="1911"/>
      <c r="V9" s="1911"/>
    </row>
    <row r="10" spans="1:22" ht="14.25">
      <c r="A10" s="3439" t="s">
        <v>309</v>
      </c>
      <c r="B10" s="3468">
        <v>15</v>
      </c>
      <c r="C10" s="3466"/>
      <c r="D10" s="347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39"/>
      <c r="B11" s="3468"/>
      <c r="C11" s="3467"/>
      <c r="D11" s="347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39" t="s">
        <v>312</v>
      </c>
      <c r="B12" s="3468">
        <v>15</v>
      </c>
      <c r="C12" s="3466"/>
      <c r="D12" s="347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39"/>
      <c r="B13" s="3468"/>
      <c r="C13" s="3467"/>
      <c r="D13" s="347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39" t="s">
        <v>315</v>
      </c>
      <c r="B14" s="3468">
        <v>30</v>
      </c>
      <c r="C14" s="3466"/>
      <c r="D14" s="347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39"/>
      <c r="B15" s="3468"/>
      <c r="C15" s="3469"/>
      <c r="D15" s="347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39"/>
      <c r="B16" s="3468"/>
      <c r="C16" s="3467"/>
      <c r="D16" s="347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1" t="s">
        <v>2958</v>
      </c>
      <c r="F18" s="3472"/>
      <c r="G18" s="3472"/>
      <c r="H18" s="3472"/>
      <c r="I18" s="3472"/>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6"/>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3" t="s">
        <v>2960</v>
      </c>
      <c r="B31" s="3473"/>
      <c r="C31" s="3473"/>
      <c r="D31" s="3473"/>
      <c r="E31" s="3473"/>
      <c r="F31" s="3473"/>
      <c r="G31" s="3473"/>
      <c r="H31" s="3473"/>
      <c r="I31" s="3473"/>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5"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89"/>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0"/>
      <c r="F35" s="299" t="s">
        <v>342</v>
      </c>
      <c r="G35" s="969"/>
      <c r="H35" s="968" t="s">
        <v>343</v>
      </c>
      <c r="I35" s="309"/>
      <c r="J35" s="1911"/>
      <c r="K35" s="3463" t="s">
        <v>350</v>
      </c>
      <c r="L35" s="3463" t="s">
        <v>351</v>
      </c>
      <c r="M35" s="1217" t="s">
        <v>352</v>
      </c>
      <c r="N35" s="3463" t="s">
        <v>353</v>
      </c>
      <c r="O35" s="3463" t="s">
        <v>354</v>
      </c>
      <c r="P35" s="1911"/>
      <c r="V35" s="1911"/>
    </row>
    <row r="36" spans="1:26" ht="16.5" customHeight="1">
      <c r="A36" s="301" t="s">
        <v>344</v>
      </c>
      <c r="B36" s="302" t="s">
        <v>333</v>
      </c>
      <c r="C36" s="303" t="s">
        <v>334</v>
      </c>
      <c r="D36" s="303" t="s">
        <v>346</v>
      </c>
      <c r="E36" s="304" t="s">
        <v>347</v>
      </c>
      <c r="F36" s="309"/>
      <c r="G36" s="309"/>
      <c r="H36" s="309"/>
      <c r="I36" s="309"/>
      <c r="J36" s="1913"/>
      <c r="K36" s="3464"/>
      <c r="L36" s="3464"/>
      <c r="M36" s="1219" t="s">
        <v>355</v>
      </c>
      <c r="N36" s="3464"/>
      <c r="O36" s="3464"/>
      <c r="P36" s="1911"/>
      <c r="V36" s="1911"/>
    </row>
    <row r="37" spans="1:26" ht="16.5" customHeight="1" thickBot="1">
      <c r="A37" s="1213" t="s">
        <v>348</v>
      </c>
      <c r="B37" s="305"/>
      <c r="C37" s="292"/>
      <c r="D37" s="292"/>
      <c r="E37" s="293"/>
      <c r="F37" s="309"/>
      <c r="G37" s="309"/>
      <c r="H37" s="309"/>
      <c r="I37" s="309"/>
      <c r="J37" s="1913"/>
      <c r="K37" s="3465"/>
      <c r="L37" s="3465"/>
      <c r="M37" s="1220"/>
      <c r="N37" s="3465"/>
      <c r="O37" s="3465"/>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3" t="str">
        <f>MID(A44,3,LEN(A44)-2)</f>
        <v>抵押价格</v>
      </c>
      <c r="L39" s="3504"/>
      <c r="M39" s="3504"/>
      <c r="N39" s="3505"/>
      <c r="O39" s="1340" t="e">
        <f ca="1">C44</f>
        <v>#REF!</v>
      </c>
      <c r="P39" s="1911"/>
      <c r="V39" s="1911"/>
    </row>
    <row r="40" spans="1:26" ht="19.5" thickBot="1">
      <c r="A40" s="104" t="s">
        <v>863</v>
      </c>
      <c r="B40" s="309"/>
      <c r="C40" s="309"/>
      <c r="D40" s="309"/>
      <c r="E40" s="309"/>
      <c r="F40" s="309"/>
      <c r="G40" s="309"/>
      <c r="H40" s="309"/>
      <c r="I40" s="309"/>
      <c r="J40" s="1913"/>
      <c r="K40" s="3503" t="str">
        <f t="shared" ref="K40:K41" si="0">MID(A45,3,LEN(A45)-2)</f>
        <v/>
      </c>
      <c r="L40" s="3504"/>
      <c r="M40" s="3504"/>
      <c r="N40" s="3505"/>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3" t="str">
        <f t="shared" si="0"/>
        <v/>
      </c>
      <c r="L41" s="3504"/>
      <c r="M41" s="3504"/>
      <c r="N41" s="3505"/>
      <c r="O41" s="1340" t="str">
        <f>C46</f>
        <v>——</v>
      </c>
      <c r="P41" s="1911"/>
      <c r="V41" s="1911"/>
    </row>
    <row r="42" spans="1:26" ht="29.25">
      <c r="A42" s="3447" t="s">
        <v>2055</v>
      </c>
      <c r="B42" s="3448"/>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58" t="s">
        <v>2709</v>
      </c>
      <c r="B43" s="3459"/>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47" t="str">
        <f>IF(OR(项目基本情况!E8="抵押价格",项目基本情况!E8="已注销及未注销"),"3.抵押价格","——")</f>
        <v>3.抵押价格</v>
      </c>
      <c r="B44" s="3448"/>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3" t="str">
        <f>IF(项目基本情况!E8="已注销及未注销","4.抵押担保权已注销时的抵押价格",IF(项目基本情况!E8="已注销","3.抵押担保权已注销时的抵押价格","——"))</f>
        <v>——</v>
      </c>
      <c r="B45" s="345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97" t="s">
        <v>374</v>
      </c>
      <c r="B63" s="3498"/>
      <c r="C63" s="3499"/>
      <c r="D63" s="339">
        <f ca="1">系统读取表!D17</f>
        <v>21342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5" t="s">
        <v>378</v>
      </c>
      <c r="B64" s="3456"/>
      <c r="C64" s="3456"/>
      <c r="D64" s="3456"/>
      <c r="E64" s="3456"/>
      <c r="F64" s="3456"/>
      <c r="G64" s="3457"/>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1" t="s">
        <v>386</v>
      </c>
      <c r="B66" s="3452"/>
      <c r="C66" s="3452"/>
      <c r="D66" s="259">
        <f ca="1">IF(H66="情况1",0,IF(H66="情况2",D70,IF(H66="情况3",D71,IF(H66="情况4",D72))))</f>
        <v>1118</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512" t="s">
        <v>385</v>
      </c>
      <c r="M66" s="3513"/>
      <c r="N66" s="2312"/>
      <c r="O66" s="2313"/>
      <c r="P66" s="2314"/>
      <c r="Q66" s="1911"/>
      <c r="R66" s="1911"/>
      <c r="S66" s="1911"/>
      <c r="T66" s="1911"/>
      <c r="U66" s="1911"/>
      <c r="V66" s="1911"/>
    </row>
    <row r="67" spans="1:22" ht="25.5" customHeight="1">
      <c r="A67" s="350" t="s">
        <v>389</v>
      </c>
      <c r="B67" s="3442" t="s">
        <v>390</v>
      </c>
      <c r="C67" s="3442"/>
      <c r="D67" s="351">
        <v>0</v>
      </c>
      <c r="E67" s="41" t="s">
        <v>391</v>
      </c>
      <c r="F67" s="62" t="s">
        <v>21</v>
      </c>
      <c r="G67" s="3500"/>
      <c r="H67" s="3006" t="s">
        <v>2961</v>
      </c>
      <c r="I67" s="3008"/>
      <c r="J67" s="1918"/>
      <c r="K67" s="3303">
        <v>2</v>
      </c>
      <c r="L67" s="3506" t="s">
        <v>388</v>
      </c>
      <c r="M67" s="3506"/>
      <c r="N67" s="1278">
        <f>'数据-取费表'!B2</f>
        <v>44258</v>
      </c>
      <c r="O67" s="1278"/>
      <c r="P67" s="1278"/>
      <c r="Q67" s="1911"/>
      <c r="R67" s="1911"/>
      <c r="S67" s="1911"/>
      <c r="T67" s="1911"/>
      <c r="U67" s="1911"/>
      <c r="V67" s="1911"/>
    </row>
    <row r="68" spans="1:22" ht="25.5" customHeight="1">
      <c r="A68" s="352"/>
      <c r="B68" s="3442" t="s">
        <v>393</v>
      </c>
      <c r="C68" s="3442"/>
      <c r="D68" s="353"/>
      <c r="E68" s="77"/>
      <c r="F68" s="354"/>
      <c r="G68" s="3501"/>
      <c r="H68" s="3007" t="s">
        <v>2962</v>
      </c>
      <c r="I68" s="3008"/>
      <c r="J68" s="1918"/>
      <c r="K68" s="3303">
        <v>3</v>
      </c>
      <c r="L68" s="3506" t="s">
        <v>392</v>
      </c>
      <c r="M68" s="3506"/>
      <c r="N68" s="1246" t="e">
        <f ca="1">C42</f>
        <v>#REF!</v>
      </c>
      <c r="O68" s="1246"/>
      <c r="P68" s="1246"/>
      <c r="Q68" s="1911"/>
      <c r="R68" s="1911"/>
      <c r="S68" s="1911"/>
      <c r="T68" s="1911"/>
      <c r="U68" s="1911"/>
      <c r="V68" s="1911"/>
    </row>
    <row r="69" spans="1:22" ht="23.45" customHeight="1">
      <c r="A69" s="355"/>
      <c r="B69" s="3442" t="s">
        <v>394</v>
      </c>
      <c r="C69" s="3442"/>
      <c r="D69" s="356"/>
      <c r="E69" s="73"/>
      <c r="F69" s="354"/>
      <c r="G69" s="3502"/>
      <c r="H69" s="3007" t="s">
        <v>2963</v>
      </c>
      <c r="I69" s="3008"/>
      <c r="J69" s="1918"/>
      <c r="K69" s="3295">
        <v>4</v>
      </c>
      <c r="L69" s="3516" t="s">
        <v>2857</v>
      </c>
      <c r="M69" s="3517"/>
      <c r="N69" s="1248" t="e">
        <f ca="1">C44</f>
        <v>#REF!</v>
      </c>
      <c r="O69" s="1248"/>
      <c r="P69" s="1248"/>
      <c r="Q69" s="1911"/>
      <c r="R69" s="1911"/>
      <c r="S69" s="1911"/>
      <c r="T69" s="1911"/>
      <c r="U69" s="1911"/>
      <c r="V69" s="1911"/>
    </row>
    <row r="70" spans="1:22" ht="24" customHeight="1">
      <c r="A70" s="357" t="s">
        <v>395</v>
      </c>
      <c r="B70" s="3442" t="s">
        <v>396</v>
      </c>
      <c r="C70" s="3442"/>
      <c r="D70" s="356">
        <f ca="1">ROUND(D63*'数据-取费表'!B41/(1+'数据-取费表'!C42),0)</f>
        <v>1118</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3" t="s">
        <v>2992</v>
      </c>
      <c r="C71" s="3444"/>
      <c r="D71" s="356">
        <f ca="1">ROUND(D63*'数据-取费表'!B41/(1+'数据-取费表'!C42),0)</f>
        <v>1118</v>
      </c>
      <c r="E71" s="17" t="s">
        <v>397</v>
      </c>
      <c r="F71" s="358">
        <f>'数据-取费表'!B41</f>
        <v>5.5000000000000007E-2</v>
      </c>
      <c r="G71" s="359"/>
      <c r="H71" s="309"/>
      <c r="I71" s="1245"/>
      <c r="J71" s="1918"/>
      <c r="K71" s="3298" t="s">
        <v>398</v>
      </c>
      <c r="L71" s="3518" t="s">
        <v>399</v>
      </c>
      <c r="M71" s="3518"/>
      <c r="N71" s="3298" t="s">
        <v>400</v>
      </c>
      <c r="O71" s="3298" t="s">
        <v>401</v>
      </c>
      <c r="P71" s="3298" t="s">
        <v>402</v>
      </c>
      <c r="Q71" s="1911"/>
      <c r="R71" s="1911"/>
      <c r="S71" s="1911"/>
      <c r="T71" s="1911"/>
      <c r="U71" s="1911"/>
      <c r="V71" s="1911"/>
    </row>
    <row r="72" spans="1:22" ht="12" customHeight="1">
      <c r="A72" s="357" t="s">
        <v>405</v>
      </c>
      <c r="B72" s="3443" t="s">
        <v>2993</v>
      </c>
      <c r="C72" s="3444"/>
      <c r="D72" s="356">
        <f ca="1">C86</f>
        <v>1118</v>
      </c>
      <c r="E72" s="73" t="s">
        <v>406</v>
      </c>
      <c r="F72" s="358">
        <f>'数据-取费表'!B41</f>
        <v>5.5000000000000007E-2</v>
      </c>
      <c r="G72" s="359"/>
      <c r="H72" s="1251"/>
      <c r="I72" s="1245"/>
      <c r="J72" s="1918"/>
      <c r="K72" s="3303">
        <v>1</v>
      </c>
      <c r="L72" s="3493" t="s">
        <v>404</v>
      </c>
      <c r="M72" s="3493"/>
      <c r="N72" s="1249">
        <f ca="1">D66</f>
        <v>1118</v>
      </c>
      <c r="O72" s="3297" t="str">
        <f>E66</f>
        <v>销售额×税（费）率</v>
      </c>
      <c r="P72" s="1250">
        <f>F66</f>
        <v>5.5000000000000007E-2</v>
      </c>
      <c r="Q72" s="1911"/>
      <c r="R72" s="1911"/>
      <c r="S72" s="1911"/>
      <c r="T72" s="1911"/>
      <c r="U72" s="1911"/>
      <c r="V72" s="1911"/>
    </row>
    <row r="73" spans="1:22" ht="24" customHeight="1">
      <c r="A73" s="3488" t="s">
        <v>408</v>
      </c>
      <c r="B73" s="3452"/>
      <c r="C73" s="3452"/>
      <c r="D73" s="360">
        <f ca="1">IF(H73="个人住宅",0,ROUND(D63*I73,0))</f>
        <v>11</v>
      </c>
      <c r="E73" s="17" t="s">
        <v>409</v>
      </c>
      <c r="F73" s="358">
        <f>IF(H73="正常",I73,"免征")</f>
        <v>5.0000000000000001E-4</v>
      </c>
      <c r="G73" s="359"/>
      <c r="H73" s="189" t="s">
        <v>3127</v>
      </c>
      <c r="I73" s="358">
        <f>'数据-取费表'!B49</f>
        <v>5.0000000000000001E-4</v>
      </c>
      <c r="J73" s="1918"/>
      <c r="K73" s="3303">
        <v>2</v>
      </c>
      <c r="L73" s="3493" t="s">
        <v>407</v>
      </c>
      <c r="M73" s="3493"/>
      <c r="N73" s="1249">
        <f t="shared" ref="N73:P74" ca="1" si="1">D73</f>
        <v>11</v>
      </c>
      <c r="O73" s="3297" t="str">
        <f t="shared" si="1"/>
        <v>销售额×税（费）率</v>
      </c>
      <c r="P73" s="1250">
        <f t="shared" si="1"/>
        <v>5.0000000000000001E-4</v>
      </c>
      <c r="Q73" s="1911"/>
      <c r="R73" s="1911"/>
      <c r="S73" s="1911"/>
      <c r="T73" s="1911"/>
      <c r="U73" s="1911"/>
      <c r="V73" s="1911"/>
    </row>
    <row r="74" spans="1:22" ht="24.75">
      <c r="A74" s="3488" t="s">
        <v>411</v>
      </c>
      <c r="B74" s="3452"/>
      <c r="C74" s="3452"/>
      <c r="D74" s="360">
        <f ca="1">IF(H74="个人住宅",D75,D76)</f>
        <v>2401</v>
      </c>
      <c r="E74" s="17" t="s">
        <v>412</v>
      </c>
      <c r="F74" s="358" t="str">
        <f>IF(H74="正常",F76,"免征")</f>
        <v>——</v>
      </c>
      <c r="G74" s="970" t="s">
        <v>387</v>
      </c>
      <c r="H74" s="361" t="s">
        <v>3127</v>
      </c>
      <c r="I74" s="42"/>
      <c r="J74" s="1918"/>
      <c r="K74" s="3303">
        <v>3</v>
      </c>
      <c r="L74" s="3493" t="s">
        <v>410</v>
      </c>
      <c r="M74" s="3493"/>
      <c r="N74" s="1249">
        <f t="shared" ca="1" si="1"/>
        <v>2401</v>
      </c>
      <c r="O74" s="3297" t="str">
        <f t="shared" si="1"/>
        <v>增值额×税（费）率</v>
      </c>
      <c r="P74" s="1252" t="str">
        <f t="shared" si="1"/>
        <v>——</v>
      </c>
      <c r="Q74" s="1911"/>
      <c r="R74" s="1911"/>
      <c r="S74" s="1911"/>
      <c r="T74" s="1911"/>
      <c r="U74" s="1911"/>
      <c r="V74" s="1911"/>
    </row>
    <row r="75" spans="1:22" ht="12.75">
      <c r="A75" s="357" t="s">
        <v>414</v>
      </c>
      <c r="B75" s="3440" t="s">
        <v>415</v>
      </c>
      <c r="C75" s="3476"/>
      <c r="D75" s="362">
        <v>0</v>
      </c>
      <c r="E75" s="41" t="s">
        <v>416</v>
      </c>
      <c r="F75" s="363"/>
      <c r="G75" s="359"/>
      <c r="H75" s="42"/>
      <c r="I75" s="42"/>
      <c r="J75" s="1918"/>
      <c r="K75" s="3303" t="str">
        <f>IF(H77="非个人房产","",4)</f>
        <v/>
      </c>
      <c r="L75" s="3493" t="str">
        <f>IF(H77="非个人房产","——","个人所得税")</f>
        <v>——</v>
      </c>
      <c r="M75" s="3493"/>
      <c r="N75" s="1253" t="str">
        <f>D77</f>
        <v>——</v>
      </c>
      <c r="O75" s="1786" t="str">
        <f>E77</f>
        <v>——</v>
      </c>
      <c r="P75" s="1254" t="str">
        <f>F77</f>
        <v>——</v>
      </c>
      <c r="Q75" s="1911"/>
      <c r="R75" s="1911"/>
      <c r="S75" s="1911"/>
      <c r="T75" s="1911"/>
      <c r="U75" s="1911"/>
      <c r="V75" s="1911"/>
    </row>
    <row r="76" spans="1:22" ht="24.75">
      <c r="A76" s="357" t="s">
        <v>395</v>
      </c>
      <c r="B76" s="3440" t="s">
        <v>418</v>
      </c>
      <c r="C76" s="3441"/>
      <c r="D76" s="360">
        <f ca="1">IF(H76="转让取得",C99,C115)</f>
        <v>2401</v>
      </c>
      <c r="E76" s="17" t="s">
        <v>419</v>
      </c>
      <c r="F76" s="53" t="s">
        <v>21</v>
      </c>
      <c r="G76" s="359"/>
      <c r="H76" s="361" t="s">
        <v>3167</v>
      </c>
      <c r="I76" s="42"/>
      <c r="J76" s="1918"/>
      <c r="K76" s="3303" t="str">
        <f>IF(项目基本情况!K6="上海银行",IF(K75="",4,K75+1),"")</f>
        <v/>
      </c>
      <c r="L76" s="3508" t="str">
        <f>IF(项目基本情况!K6="上海银行","其他处置费用","")</f>
        <v/>
      </c>
      <c r="M76" s="3509"/>
      <c r="N76" s="1249" t="str">
        <f>IF(项目基本情况!K6="上海银行",N89,"")</f>
        <v/>
      </c>
      <c r="O76" s="3510" t="str">
        <f>IF(项目基本情况!K6="上海银行","包含处置中涉及的律师、诉讼、拍卖、评估等费用","")</f>
        <v/>
      </c>
      <c r="P76" s="3511"/>
      <c r="Q76" s="1911"/>
      <c r="R76" s="1911"/>
      <c r="S76" s="1911"/>
      <c r="T76" s="1911"/>
      <c r="U76" s="1911"/>
      <c r="V76" s="1911"/>
    </row>
    <row r="77" spans="1:22" ht="24.75" thickBot="1">
      <c r="A77" s="3495" t="s">
        <v>421</v>
      </c>
      <c r="B77" s="3496"/>
      <c r="C77" s="349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4">
        <f>IF(AND(K75="",K76=""),4,IF(项目基本情况!K6="上海银行",K76+1,K75+1))</f>
        <v>4</v>
      </c>
      <c r="L77" s="3493" t="s">
        <v>2858</v>
      </c>
      <c r="M77" s="2763" t="s">
        <v>417</v>
      </c>
      <c r="N77" s="1255"/>
      <c r="O77" s="1256">
        <f ca="1">SUMIF(N72:N76,"&lt;9e307")</f>
        <v>3530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4"/>
      <c r="L78" s="3493"/>
      <c r="M78" s="2763" t="s">
        <v>420</v>
      </c>
      <c r="N78" s="1255"/>
      <c r="O78" s="1256" t="str">
        <f ca="1">NUMBERSTRING(INT(O77*10000),2)&amp;"元整"</f>
        <v>叁仟伍佰叁拾万元整</v>
      </c>
      <c r="P78" s="1257"/>
      <c r="Q78" s="1911"/>
      <c r="R78" s="1911"/>
      <c r="S78" s="1911"/>
      <c r="T78" s="1911"/>
      <c r="U78" s="1911"/>
      <c r="V78" s="1911"/>
    </row>
    <row r="79" spans="1:22" ht="13.5" thickBot="1">
      <c r="A79" s="3460" t="s">
        <v>422</v>
      </c>
      <c r="B79" s="3460"/>
      <c r="C79" s="3460"/>
      <c r="D79" s="3460"/>
      <c r="E79" s="3460"/>
      <c r="F79" s="42"/>
      <c r="G79" s="42"/>
      <c r="H79" s="990"/>
      <c r="I79" s="309"/>
      <c r="J79" s="1918"/>
      <c r="K79" s="3514">
        <f>K77+1</f>
        <v>5</v>
      </c>
      <c r="L79" s="3493" t="s">
        <v>2859</v>
      </c>
      <c r="M79" s="2763" t="s">
        <v>417</v>
      </c>
      <c r="N79" s="1255"/>
      <c r="O79" s="1256" t="e">
        <f ca="1">N69-O77</f>
        <v>#REF!</v>
      </c>
      <c r="P79" s="1257"/>
      <c r="Q79" s="1911"/>
      <c r="R79" s="1911"/>
      <c r="S79" s="1911"/>
      <c r="T79" s="1911"/>
      <c r="U79" s="1911"/>
      <c r="V79" s="1911"/>
    </row>
    <row r="80" spans="1:22" ht="12.75">
      <c r="A80" s="3461" t="s">
        <v>423</v>
      </c>
      <c r="B80" s="3462"/>
      <c r="C80" s="3301"/>
      <c r="D80" s="3301" t="s">
        <v>424</v>
      </c>
      <c r="E80" s="364" t="s">
        <v>425</v>
      </c>
      <c r="F80" s="42"/>
      <c r="G80" s="42"/>
      <c r="H80" s="990"/>
      <c r="I80" s="309"/>
      <c r="J80" s="1911"/>
      <c r="K80" s="3515"/>
      <c r="L80" s="3493"/>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 ca="1">ROUND((C82+C83)/(1+'数据-取费表'!C42),0)</f>
        <v>20326</v>
      </c>
      <c r="D81" s="367"/>
      <c r="E81" s="368"/>
      <c r="F81" s="42"/>
      <c r="G81" s="42"/>
      <c r="H81" s="990"/>
      <c r="I81" s="309"/>
      <c r="J81" s="1911"/>
      <c r="K81" s="3303">
        <f>K79+1</f>
        <v>6</v>
      </c>
      <c r="L81" s="3491" t="s">
        <v>2860</v>
      </c>
      <c r="M81" s="3492"/>
      <c r="N81" s="1259"/>
      <c r="O81" s="1260" t="e">
        <f ca="1">ROUND(O79*10000/'数据-汇总表'!E3,0)</f>
        <v>#REF!</v>
      </c>
      <c r="P81" s="1261"/>
      <c r="Q81" s="1911"/>
      <c r="R81" s="1911"/>
      <c r="S81" s="1911"/>
      <c r="T81" s="1911"/>
      <c r="U81" s="1911"/>
      <c r="V81" s="1911"/>
    </row>
    <row r="82" spans="1:26" ht="13.5" thickTop="1">
      <c r="A82" s="369" t="s">
        <v>1814</v>
      </c>
      <c r="B82" s="370" t="s">
        <v>427</v>
      </c>
      <c r="C82" s="371">
        <f ca="1">D63</f>
        <v>21342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07" t="s">
        <v>2848</v>
      </c>
      <c r="L83" s="3302"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07"/>
      <c r="L84" s="3302"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 ca="1">C81-C84</f>
        <v>20326</v>
      </c>
      <c r="D85" s="372" t="s">
        <v>19</v>
      </c>
      <c r="E85" s="373"/>
      <c r="F85" s="42"/>
      <c r="G85" s="42"/>
      <c r="H85" s="990"/>
      <c r="I85" s="309"/>
      <c r="J85" s="1911"/>
      <c r="K85" s="3507"/>
      <c r="L85" s="3302"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 ca="1">IF(C85&lt;=0,0,ROUND(C85*D86,0))</f>
        <v>1118</v>
      </c>
      <c r="D86" s="383">
        <f>'数据-取费表'!B41</f>
        <v>5.5000000000000007E-2</v>
      </c>
      <c r="E86" s="384"/>
      <c r="F86" s="42"/>
      <c r="G86" s="42"/>
      <c r="H86" s="990"/>
      <c r="I86" s="309"/>
      <c r="J86" s="1911"/>
      <c r="K86" s="3507"/>
      <c r="L86" s="3302"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07"/>
      <c r="L87" s="3302"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6" t="s">
        <v>432</v>
      </c>
      <c r="B88" s="3487"/>
      <c r="C88" s="3487"/>
      <c r="D88" s="3487"/>
      <c r="E88" s="3487"/>
      <c r="F88" s="3487"/>
      <c r="G88" s="3487"/>
      <c r="H88" s="3487"/>
      <c r="I88" s="1268"/>
      <c r="J88" s="1919"/>
      <c r="K88" s="3507"/>
      <c r="L88" s="3302"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1" t="s">
        <v>423</v>
      </c>
      <c r="B89" s="3462"/>
      <c r="C89" s="3301"/>
      <c r="D89" s="3301" t="s">
        <v>424</v>
      </c>
      <c r="E89" s="385" t="s">
        <v>433</v>
      </c>
      <c r="F89" s="386"/>
      <c r="G89" s="386"/>
      <c r="H89" s="387"/>
      <c r="I89" s="1269"/>
      <c r="J89" s="1921"/>
      <c r="K89" s="3507"/>
      <c r="L89" s="3302"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20326</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102</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3" t="s">
        <v>441</v>
      </c>
      <c r="F94" s="3442"/>
      <c r="G94" s="3442"/>
      <c r="H94" s="3485"/>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102</v>
      </c>
      <c r="D96" s="400">
        <f>'数据-取费表'!B43</f>
        <v>5.000000000000001E-3</v>
      </c>
      <c r="E96" s="3477" t="s">
        <v>2412</v>
      </c>
      <c r="F96" s="3478"/>
      <c r="G96" s="3478"/>
      <c r="H96" s="3479"/>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20224</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198.27450980392157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12099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6" t="s">
        <v>448</v>
      </c>
      <c r="B101" s="3487"/>
      <c r="C101" s="3487"/>
      <c r="D101" s="3487"/>
      <c r="E101" s="3487"/>
      <c r="F101" s="3487"/>
      <c r="G101" s="3487"/>
      <c r="H101" s="3487"/>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1" t="s">
        <v>423</v>
      </c>
      <c r="B102" s="3462"/>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20326</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12731.84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12629.84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374</v>
      </c>
      <c r="D107" s="400">
        <f>'数据-取费表'!B48+'数据-取费表'!B49</f>
        <v>3.0499999999999999E-2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437" t="s">
        <v>2956</v>
      </c>
      <c r="H108" s="3438"/>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0" t="s">
        <v>456</v>
      </c>
      <c r="F109" s="3478"/>
      <c r="G109" s="3478"/>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0" t="s">
        <v>458</v>
      </c>
      <c r="F110" s="3478"/>
      <c r="G110" s="3478"/>
      <c r="H110" s="3479"/>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102</v>
      </c>
      <c r="D111" s="400">
        <f>'数据-取费表'!B43</f>
        <v>5.000000000000001E-3</v>
      </c>
      <c r="E111" s="3477" t="s">
        <v>2412</v>
      </c>
      <c r="F111" s="3478"/>
      <c r="G111" s="3478"/>
      <c r="H111" s="3479"/>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0" t="s">
        <v>2435</v>
      </c>
      <c r="F112" s="3478"/>
      <c r="G112" s="3478"/>
      <c r="H112" s="3479"/>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7594</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0.59645738557820394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2401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L27" sqref="L2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8" t="s">
        <v>516</v>
      </c>
      <c r="D6" s="3529"/>
      <c r="E6" s="3528" t="s">
        <v>517</v>
      </c>
      <c r="F6" s="3529"/>
      <c r="G6" s="3528" t="s">
        <v>518</v>
      </c>
      <c r="H6" s="3529"/>
      <c r="I6" s="3528" t="s">
        <v>519</v>
      </c>
      <c r="J6" s="3529"/>
      <c r="K6" s="508" t="s">
        <v>520</v>
      </c>
      <c r="L6" s="2015"/>
      <c r="M6" s="2014"/>
      <c r="N6" s="2014"/>
      <c r="O6" s="2016"/>
      <c r="P6" s="3530" t="s">
        <v>521</v>
      </c>
      <c r="Q6" s="3531"/>
      <c r="R6" s="3536" t="s">
        <v>517</v>
      </c>
      <c r="S6" s="3537"/>
      <c r="T6" s="3536" t="s">
        <v>518</v>
      </c>
      <c r="U6" s="3537"/>
      <c r="V6" s="3523" t="s">
        <v>519</v>
      </c>
      <c r="W6" s="3523"/>
      <c r="X6" s="1501"/>
      <c r="Y6" s="3536" t="s">
        <v>521</v>
      </c>
      <c r="Z6" s="3537"/>
      <c r="AA6" s="3525" t="s">
        <v>517</v>
      </c>
      <c r="AB6" s="3526" t="s">
        <v>518</v>
      </c>
      <c r="AC6" s="3525" t="s">
        <v>519</v>
      </c>
    </row>
    <row r="7" spans="1:30" ht="20.25">
      <c r="A7" s="509"/>
      <c r="B7" s="510"/>
      <c r="C7" s="3544" t="s">
        <v>2891</v>
      </c>
      <c r="D7" s="3545"/>
      <c r="E7" s="3544" t="str">
        <f>土地案例!A36</f>
        <v>锦江镇官厅村</v>
      </c>
      <c r="F7" s="3545"/>
      <c r="G7" s="3544" t="str">
        <f>土地案例!A45</f>
        <v>彭山区锦江乡</v>
      </c>
      <c r="H7" s="3545"/>
      <c r="I7" s="3544" t="str">
        <f>土地案例!A63</f>
        <v>彭山区锦江乡</v>
      </c>
      <c r="J7" s="3545"/>
      <c r="K7" s="508"/>
      <c r="L7" s="2015"/>
      <c r="M7" s="2014"/>
      <c r="N7" s="2014"/>
      <c r="O7" s="2016"/>
      <c r="P7" s="3532"/>
      <c r="Q7" s="3533"/>
      <c r="R7" s="3538"/>
      <c r="S7" s="3539"/>
      <c r="T7" s="3538"/>
      <c r="U7" s="3539"/>
      <c r="V7" s="3523"/>
      <c r="W7" s="3523"/>
      <c r="X7" s="1501"/>
      <c r="Y7" s="3538"/>
      <c r="Z7" s="3539"/>
      <c r="AA7" s="3526"/>
      <c r="AB7" s="3526"/>
      <c r="AC7" s="3526"/>
    </row>
    <row r="8" spans="1:30" ht="21" thickBot="1">
      <c r="A8" s="509"/>
      <c r="B8" s="510"/>
      <c r="C8" s="3546" t="s">
        <v>2895</v>
      </c>
      <c r="D8" s="3547"/>
      <c r="E8" s="3546" t="s">
        <v>2895</v>
      </c>
      <c r="F8" s="3547"/>
      <c r="G8" s="3542" t="s">
        <v>2895</v>
      </c>
      <c r="H8" s="3543"/>
      <c r="I8" s="3542" t="s">
        <v>2895</v>
      </c>
      <c r="J8" s="3543"/>
      <c r="K8" s="508" t="s">
        <v>522</v>
      </c>
      <c r="L8" s="2015"/>
      <c r="M8" s="2014"/>
      <c r="N8" s="2014"/>
      <c r="O8" s="2016"/>
      <c r="P8" s="3534"/>
      <c r="Q8" s="3535"/>
      <c r="R8" s="3538"/>
      <c r="S8" s="3539"/>
      <c r="T8" s="3540"/>
      <c r="U8" s="3541"/>
      <c r="V8" s="3523"/>
      <c r="W8" s="3523"/>
      <c r="X8" s="1501"/>
      <c r="Y8" s="3540"/>
      <c r="Z8" s="3541"/>
      <c r="AA8" s="3527"/>
      <c r="AB8" s="3527"/>
      <c r="AC8" s="3527"/>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53" t="s">
        <v>524</v>
      </c>
      <c r="Q9" s="3555"/>
      <c r="R9" s="1502" t="s">
        <v>8</v>
      </c>
      <c r="S9" s="1503">
        <f t="shared" ref="S9:S17" si="0">F9</f>
        <v>98.5</v>
      </c>
      <c r="T9" s="1502" t="s">
        <v>8</v>
      </c>
      <c r="U9" s="1503">
        <f t="shared" ref="U9:U17" si="1">H9</f>
        <v>97.5</v>
      </c>
      <c r="V9" s="1502" t="s">
        <v>8</v>
      </c>
      <c r="W9" s="1503">
        <f t="shared" ref="W9:W17" si="2">J9</f>
        <v>96</v>
      </c>
      <c r="X9" s="1504"/>
      <c r="Y9" s="3553" t="s">
        <v>524</v>
      </c>
      <c r="Z9" s="3554"/>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53" t="s">
        <v>527</v>
      </c>
      <c r="Q10" s="3554"/>
      <c r="R10" s="1502" t="s">
        <v>8</v>
      </c>
      <c r="S10" s="1503">
        <f t="shared" si="0"/>
        <v>100</v>
      </c>
      <c r="T10" s="1502" t="s">
        <v>8</v>
      </c>
      <c r="U10" s="1503">
        <f t="shared" si="1"/>
        <v>100</v>
      </c>
      <c r="V10" s="1502" t="s">
        <v>8</v>
      </c>
      <c r="W10" s="1503">
        <f t="shared" si="2"/>
        <v>100</v>
      </c>
      <c r="X10" s="1504"/>
      <c r="Y10" s="3553" t="s">
        <v>527</v>
      </c>
      <c r="Z10" s="3554"/>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2" t="s">
        <v>529</v>
      </c>
      <c r="Q11" s="1133" t="str">
        <f t="shared" ref="Q11:Q17" si="6">B11</f>
        <v>用途</v>
      </c>
      <c r="R11" s="1502" t="s">
        <v>8</v>
      </c>
      <c r="S11" s="1503">
        <f t="shared" si="0"/>
        <v>100</v>
      </c>
      <c r="T11" s="1502" t="s">
        <v>8</v>
      </c>
      <c r="U11" s="1503">
        <f t="shared" si="1"/>
        <v>100</v>
      </c>
      <c r="V11" s="1502" t="s">
        <v>8</v>
      </c>
      <c r="W11" s="1503">
        <f t="shared" si="2"/>
        <v>100</v>
      </c>
      <c r="X11" s="1504"/>
      <c r="Y11" s="3468"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2"/>
      <c r="Q12" s="1133" t="str">
        <f t="shared" si="6"/>
        <v>土地使用年限（年）</v>
      </c>
      <c r="R12" s="1502" t="s">
        <v>8</v>
      </c>
      <c r="S12" s="1503">
        <f t="shared" si="0"/>
        <v>100</v>
      </c>
      <c r="T12" s="1502" t="s">
        <v>8</v>
      </c>
      <c r="U12" s="1503">
        <f t="shared" si="1"/>
        <v>100</v>
      </c>
      <c r="V12" s="1502" t="s">
        <v>8</v>
      </c>
      <c r="W12" s="1503">
        <f t="shared" si="2"/>
        <v>100</v>
      </c>
      <c r="X12" s="1504"/>
      <c r="Y12" s="3468"/>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529">
        <v>1</v>
      </c>
      <c r="L13" s="2022"/>
      <c r="M13" s="2014"/>
      <c r="N13" s="2014"/>
      <c r="O13" s="2023"/>
      <c r="P13" s="3522"/>
      <c r="Q13" s="1133" t="str">
        <f t="shared" si="6"/>
        <v>容积率</v>
      </c>
      <c r="R13" s="1502" t="s">
        <v>8</v>
      </c>
      <c r="S13" s="1503">
        <f t="shared" si="0"/>
        <v>100</v>
      </c>
      <c r="T13" s="1502" t="s">
        <v>8</v>
      </c>
      <c r="U13" s="1503">
        <f t="shared" si="1"/>
        <v>100</v>
      </c>
      <c r="V13" s="1502" t="s">
        <v>8</v>
      </c>
      <c r="W13" s="1503">
        <f t="shared" si="2"/>
        <v>101</v>
      </c>
      <c r="X13" s="1504"/>
      <c r="Y13" s="3468"/>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22"/>
      <c r="Q14" s="1133" t="str">
        <f t="shared" si="6"/>
        <v>配建</v>
      </c>
      <c r="R14" s="1502" t="s">
        <v>8</v>
      </c>
      <c r="S14" s="1503">
        <f t="shared" si="0"/>
        <v>100</v>
      </c>
      <c r="T14" s="1502" t="s">
        <v>8</v>
      </c>
      <c r="U14" s="1503">
        <f t="shared" si="1"/>
        <v>100</v>
      </c>
      <c r="V14" s="1502" t="s">
        <v>8</v>
      </c>
      <c r="W14" s="1503">
        <f t="shared" si="2"/>
        <v>100</v>
      </c>
      <c r="X14" s="1504"/>
      <c r="Y14" s="3468"/>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2"/>
      <c r="Q15" s="1133">
        <f t="shared" si="6"/>
        <v>111</v>
      </c>
      <c r="R15" s="1502" t="s">
        <v>8</v>
      </c>
      <c r="S15" s="1503">
        <f t="shared" si="0"/>
        <v>100</v>
      </c>
      <c r="T15" s="1502" t="s">
        <v>8</v>
      </c>
      <c r="U15" s="1503">
        <f t="shared" si="1"/>
        <v>100</v>
      </c>
      <c r="V15" s="1502" t="s">
        <v>8</v>
      </c>
      <c r="W15" s="1503">
        <f t="shared" si="2"/>
        <v>100</v>
      </c>
      <c r="X15" s="1504"/>
      <c r="Y15" s="3468"/>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2"/>
      <c r="Q16" s="1133">
        <f t="shared" si="6"/>
        <v>111</v>
      </c>
      <c r="R16" s="1502" t="s">
        <v>8</v>
      </c>
      <c r="S16" s="1503">
        <f t="shared" si="0"/>
        <v>100</v>
      </c>
      <c r="T16" s="1502" t="s">
        <v>8</v>
      </c>
      <c r="U16" s="1503">
        <f t="shared" si="1"/>
        <v>100</v>
      </c>
      <c r="V16" s="1502" t="s">
        <v>8</v>
      </c>
      <c r="W16" s="1503">
        <f t="shared" si="2"/>
        <v>100</v>
      </c>
      <c r="X16" s="1504"/>
      <c r="Y16" s="3468"/>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56" t="s">
        <v>534</v>
      </c>
      <c r="Q17" s="1506" t="str">
        <f t="shared" si="6"/>
        <v>居住社区成熟度</v>
      </c>
      <c r="R17" s="1507" t="s">
        <v>8</v>
      </c>
      <c r="S17" s="1508">
        <f t="shared" si="0"/>
        <v>100</v>
      </c>
      <c r="T17" s="1507" t="s">
        <v>8</v>
      </c>
      <c r="U17" s="1508">
        <f t="shared" si="1"/>
        <v>100</v>
      </c>
      <c r="V17" s="1507" t="s">
        <v>8</v>
      </c>
      <c r="W17" s="1508">
        <f t="shared" si="2"/>
        <v>100</v>
      </c>
      <c r="X17" s="1501"/>
      <c r="Y17" s="3556"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57"/>
      <c r="Q18" s="1506"/>
      <c r="R18" s="1507"/>
      <c r="S18" s="1508"/>
      <c r="T18" s="1507"/>
      <c r="U18" s="1508"/>
      <c r="V18" s="1507"/>
      <c r="W18" s="1508"/>
      <c r="X18" s="1501"/>
      <c r="Y18" s="3557"/>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57"/>
      <c r="Q19" s="1506" t="str">
        <f>B19</f>
        <v>商业繁华度</v>
      </c>
      <c r="R19" s="1507" t="s">
        <v>8</v>
      </c>
      <c r="S19" s="1508">
        <f>F19</f>
        <v>100</v>
      </c>
      <c r="T19" s="1507" t="s">
        <v>8</v>
      </c>
      <c r="U19" s="1508">
        <f>H19</f>
        <v>100</v>
      </c>
      <c r="V19" s="1507" t="s">
        <v>8</v>
      </c>
      <c r="W19" s="1508">
        <f>J19</f>
        <v>100</v>
      </c>
      <c r="X19" s="1501"/>
      <c r="Y19" s="3557"/>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57"/>
      <c r="Q20" s="1506"/>
      <c r="R20" s="1507"/>
      <c r="S20" s="1508"/>
      <c r="T20" s="1507"/>
      <c r="U20" s="1508"/>
      <c r="V20" s="1507"/>
      <c r="W20" s="1508"/>
      <c r="X20" s="1501"/>
      <c r="Y20" s="3557"/>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57"/>
      <c r="Q21" s="1506" t="str">
        <f>B21</f>
        <v>办公集聚程度</v>
      </c>
      <c r="R21" s="1507" t="s">
        <v>8</v>
      </c>
      <c r="S21" s="1508">
        <f>F21</f>
        <v>100</v>
      </c>
      <c r="T21" s="1507" t="s">
        <v>8</v>
      </c>
      <c r="U21" s="1508">
        <f>H21</f>
        <v>100</v>
      </c>
      <c r="V21" s="1507" t="s">
        <v>8</v>
      </c>
      <c r="W21" s="1508">
        <f>J21</f>
        <v>100</v>
      </c>
      <c r="X21" s="1501"/>
      <c r="Y21" s="355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57"/>
      <c r="Q22" s="1506"/>
      <c r="R22" s="1507"/>
      <c r="S22" s="1508"/>
      <c r="T22" s="1507"/>
      <c r="U22" s="1508"/>
      <c r="V22" s="1507"/>
      <c r="W22" s="1508"/>
      <c r="X22" s="1501"/>
      <c r="Y22" s="3557"/>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57"/>
      <c r="Q23" s="1506" t="str">
        <f>B23</f>
        <v>交通便捷度</v>
      </c>
      <c r="R23" s="1507" t="s">
        <v>8</v>
      </c>
      <c r="S23" s="1508">
        <f>F23</f>
        <v>100</v>
      </c>
      <c r="T23" s="1507" t="s">
        <v>8</v>
      </c>
      <c r="U23" s="1508">
        <f>H23</f>
        <v>100</v>
      </c>
      <c r="V23" s="1507" t="s">
        <v>8</v>
      </c>
      <c r="W23" s="1508">
        <f>J23</f>
        <v>100</v>
      </c>
      <c r="X23" s="1501"/>
      <c r="Y23" s="3557"/>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57"/>
      <c r="Q24" s="1506"/>
      <c r="R24" s="1507"/>
      <c r="S24" s="1508"/>
      <c r="T24" s="1507"/>
      <c r="U24" s="1508"/>
      <c r="V24" s="1507"/>
      <c r="W24" s="1508"/>
      <c r="X24" s="1501"/>
      <c r="Y24" s="355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57"/>
      <c r="Q25" s="1506" t="str">
        <f t="shared" ref="Q25:Q39" si="8">B25</f>
        <v>区域土地利用方向</v>
      </c>
      <c r="R25" s="1507" t="s">
        <v>8</v>
      </c>
      <c r="S25" s="1508">
        <f>F25</f>
        <v>100</v>
      </c>
      <c r="T25" s="1507" t="s">
        <v>8</v>
      </c>
      <c r="U25" s="1508">
        <f>H25</f>
        <v>100</v>
      </c>
      <c r="V25" s="1507" t="s">
        <v>8</v>
      </c>
      <c r="W25" s="1508">
        <f>J25</f>
        <v>100</v>
      </c>
      <c r="X25" s="1501"/>
      <c r="Y25" s="3557"/>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57"/>
      <c r="Q26" s="1506"/>
      <c r="R26" s="1507"/>
      <c r="S26" s="1508"/>
      <c r="T26" s="1507"/>
      <c r="U26" s="1508"/>
      <c r="V26" s="1507"/>
      <c r="W26" s="1508"/>
      <c r="X26" s="1501"/>
      <c r="Y26" s="3557"/>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57"/>
      <c r="Q27" s="1506" t="str">
        <f t="shared" si="8"/>
        <v>自然及人文环境状况</v>
      </c>
      <c r="R27" s="1507" t="s">
        <v>8</v>
      </c>
      <c r="S27" s="1508">
        <f>F27</f>
        <v>100</v>
      </c>
      <c r="T27" s="1507" t="s">
        <v>8</v>
      </c>
      <c r="U27" s="1508">
        <f>H27</f>
        <v>100</v>
      </c>
      <c r="V27" s="1507" t="s">
        <v>8</v>
      </c>
      <c r="W27" s="1508">
        <f>J27</f>
        <v>100</v>
      </c>
      <c r="X27" s="1501"/>
      <c r="Y27" s="3557"/>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57"/>
      <c r="Q28" s="1506"/>
      <c r="R28" s="1507"/>
      <c r="S28" s="1508"/>
      <c r="T28" s="1507"/>
      <c r="U28" s="1508"/>
      <c r="V28" s="1507"/>
      <c r="W28" s="1508"/>
      <c r="X28" s="1501"/>
      <c r="Y28" s="3557"/>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57"/>
      <c r="Q29" s="1133" t="str">
        <f t="shared" si="8"/>
        <v>公共配套设施</v>
      </c>
      <c r="R29" s="1502" t="s">
        <v>8</v>
      </c>
      <c r="S29" s="1503">
        <f>F29</f>
        <v>100</v>
      </c>
      <c r="T29" s="1502" t="s">
        <v>8</v>
      </c>
      <c r="U29" s="1503">
        <f>H29</f>
        <v>100</v>
      </c>
      <c r="V29" s="1502" t="s">
        <v>8</v>
      </c>
      <c r="W29" s="1503">
        <f>J29</f>
        <v>100</v>
      </c>
      <c r="X29" s="1504"/>
      <c r="Y29" s="3557"/>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57"/>
      <c r="Q30" s="1133"/>
      <c r="R30" s="1502"/>
      <c r="S30" s="1503"/>
      <c r="T30" s="1502"/>
      <c r="U30" s="1503"/>
      <c r="V30" s="1502"/>
      <c r="W30" s="1503"/>
      <c r="X30" s="1504"/>
      <c r="Y30" s="3557"/>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57"/>
      <c r="Q31" s="2428" t="str">
        <f t="shared" ref="Q31" si="9">B31</f>
        <v>基础设施水平</v>
      </c>
      <c r="R31" s="1502" t="s">
        <v>8</v>
      </c>
      <c r="S31" s="1503">
        <f>F31</f>
        <v>100</v>
      </c>
      <c r="T31" s="1502" t="s">
        <v>8</v>
      </c>
      <c r="U31" s="1503">
        <f>H31</f>
        <v>100</v>
      </c>
      <c r="V31" s="1502" t="s">
        <v>8</v>
      </c>
      <c r="W31" s="1503">
        <f>J31</f>
        <v>100</v>
      </c>
      <c r="X31" s="1504"/>
      <c r="Y31" s="3557"/>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57"/>
      <c r="Q32" s="2428"/>
      <c r="R32" s="1502"/>
      <c r="S32" s="1503"/>
      <c r="T32" s="1502"/>
      <c r="U32" s="1503"/>
      <c r="V32" s="1502"/>
      <c r="W32" s="1503"/>
      <c r="X32" s="1504"/>
      <c r="Y32" s="3557"/>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5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5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57"/>
      <c r="Q34" s="1506" t="str">
        <f t="shared" si="8"/>
        <v>毗邻道路的类型与等级</v>
      </c>
      <c r="R34" s="1507" t="s">
        <v>8</v>
      </c>
      <c r="S34" s="1508">
        <f t="shared" si="10"/>
        <v>100</v>
      </c>
      <c r="T34" s="1507" t="s">
        <v>8</v>
      </c>
      <c r="U34" s="1508">
        <f t="shared" si="11"/>
        <v>100</v>
      </c>
      <c r="V34" s="1507" t="s">
        <v>8</v>
      </c>
      <c r="W34" s="1508">
        <f t="shared" si="12"/>
        <v>100</v>
      </c>
      <c r="X34" s="1501"/>
      <c r="Y34" s="355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57"/>
      <c r="Q35" s="1506"/>
      <c r="R35" s="1507"/>
      <c r="S35" s="1508"/>
      <c r="T35" s="1507"/>
      <c r="U35" s="1508"/>
      <c r="V35" s="1507"/>
      <c r="W35" s="1508"/>
      <c r="X35" s="1501"/>
      <c r="Y35" s="355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57"/>
      <c r="Q36" s="1506" t="str">
        <f t="shared" si="8"/>
        <v>土地级别</v>
      </c>
      <c r="R36" s="1507" t="s">
        <v>8</v>
      </c>
      <c r="S36" s="1508">
        <f t="shared" si="10"/>
        <v>100</v>
      </c>
      <c r="T36" s="1507" t="s">
        <v>8</v>
      </c>
      <c r="U36" s="1508">
        <f t="shared" si="11"/>
        <v>100</v>
      </c>
      <c r="V36" s="1507" t="s">
        <v>8</v>
      </c>
      <c r="W36" s="1508">
        <f t="shared" si="12"/>
        <v>100</v>
      </c>
      <c r="X36" s="1501"/>
      <c r="Y36" s="355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57"/>
      <c r="Q37" s="1506">
        <f t="shared" si="8"/>
        <v>111</v>
      </c>
      <c r="R37" s="1507" t="s">
        <v>8</v>
      </c>
      <c r="S37" s="1508">
        <f t="shared" si="10"/>
        <v>100</v>
      </c>
      <c r="T37" s="1507" t="s">
        <v>8</v>
      </c>
      <c r="U37" s="1508">
        <f t="shared" si="11"/>
        <v>100</v>
      </c>
      <c r="V37" s="1507" t="s">
        <v>8</v>
      </c>
      <c r="W37" s="1508">
        <f t="shared" si="12"/>
        <v>100</v>
      </c>
      <c r="X37" s="1501"/>
      <c r="Y37" s="355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58" t="s">
        <v>544</v>
      </c>
      <c r="Q38" s="1506">
        <f t="shared" si="8"/>
        <v>111</v>
      </c>
      <c r="R38" s="1507" t="s">
        <v>8</v>
      </c>
      <c r="S38" s="1508">
        <f t="shared" si="10"/>
        <v>100</v>
      </c>
      <c r="T38" s="1507" t="s">
        <v>8</v>
      </c>
      <c r="U38" s="1508">
        <f t="shared" si="11"/>
        <v>100</v>
      </c>
      <c r="V38" s="1507" t="s">
        <v>8</v>
      </c>
      <c r="W38" s="1508">
        <f t="shared" si="12"/>
        <v>100</v>
      </c>
      <c r="X38" s="1501"/>
      <c r="Y38" s="3559"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59"/>
      <c r="Q39" s="1506">
        <f t="shared" si="8"/>
        <v>111</v>
      </c>
      <c r="R39" s="1511" t="s">
        <v>8</v>
      </c>
      <c r="S39" s="1512">
        <f t="shared" si="10"/>
        <v>100</v>
      </c>
      <c r="T39" s="1511" t="s">
        <v>8</v>
      </c>
      <c r="U39" s="1512">
        <f t="shared" si="11"/>
        <v>100</v>
      </c>
      <c r="V39" s="1511" t="s">
        <v>8</v>
      </c>
      <c r="W39" s="1512">
        <f t="shared" si="12"/>
        <v>100</v>
      </c>
      <c r="X39" s="1513"/>
      <c r="Y39" s="3559"/>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59"/>
      <c r="Q40" s="1506" t="str">
        <f>B40</f>
        <v>宗地面积</v>
      </c>
      <c r="R40" s="1507" t="s">
        <v>8</v>
      </c>
      <c r="S40" s="1508">
        <f t="shared" si="10"/>
        <v>98</v>
      </c>
      <c r="T40" s="1507" t="s">
        <v>8</v>
      </c>
      <c r="U40" s="1508">
        <f t="shared" si="11"/>
        <v>95</v>
      </c>
      <c r="V40" s="1507" t="s">
        <v>8</v>
      </c>
      <c r="W40" s="1508">
        <f t="shared" si="12"/>
        <v>101</v>
      </c>
      <c r="X40" s="1501"/>
      <c r="Y40" s="3559"/>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59"/>
      <c r="Q41" s="1506" t="str">
        <f t="shared" ref="Q41:Q47" si="14">B41</f>
        <v>宗地形状</v>
      </c>
      <c r="R41" s="1507" t="s">
        <v>8</v>
      </c>
      <c r="S41" s="1508">
        <f t="shared" si="10"/>
        <v>100</v>
      </c>
      <c r="T41" s="1507" t="s">
        <v>8</v>
      </c>
      <c r="U41" s="1508">
        <f t="shared" si="11"/>
        <v>100</v>
      </c>
      <c r="V41" s="1507" t="s">
        <v>8</v>
      </c>
      <c r="W41" s="1508">
        <f t="shared" si="12"/>
        <v>100</v>
      </c>
      <c r="X41" s="1501"/>
      <c r="Y41" s="355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59"/>
      <c r="Q42" s="1506" t="str">
        <f t="shared" si="14"/>
        <v>临街宽度及深度</v>
      </c>
      <c r="R42" s="1507" t="s">
        <v>8</v>
      </c>
      <c r="S42" s="1508">
        <f t="shared" si="10"/>
        <v>100</v>
      </c>
      <c r="T42" s="1507" t="s">
        <v>8</v>
      </c>
      <c r="U42" s="1508">
        <f t="shared" si="11"/>
        <v>100</v>
      </c>
      <c r="V42" s="1507" t="s">
        <v>8</v>
      </c>
      <c r="W42" s="1508">
        <f t="shared" si="12"/>
        <v>100</v>
      </c>
      <c r="X42" s="1501"/>
      <c r="Y42" s="3559"/>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59"/>
      <c r="Q43" s="1506" t="str">
        <f t="shared" si="14"/>
        <v>宗地开发程度</v>
      </c>
      <c r="R43" s="1502" t="s">
        <v>8</v>
      </c>
      <c r="S43" s="1503">
        <f t="shared" si="10"/>
        <v>100</v>
      </c>
      <c r="T43" s="1502" t="s">
        <v>8</v>
      </c>
      <c r="U43" s="1503">
        <f t="shared" si="11"/>
        <v>100</v>
      </c>
      <c r="V43" s="1502" t="s">
        <v>8</v>
      </c>
      <c r="W43" s="1503">
        <f t="shared" si="12"/>
        <v>100</v>
      </c>
      <c r="X43" s="1504"/>
      <c r="Y43" s="3559"/>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59" t="s">
        <v>544</v>
      </c>
      <c r="Q44" s="1506" t="str">
        <f t="shared" si="14"/>
        <v>工程地质条件</v>
      </c>
      <c r="R44" s="1507" t="s">
        <v>8</v>
      </c>
      <c r="S44" s="1508">
        <f t="shared" si="10"/>
        <v>100</v>
      </c>
      <c r="T44" s="1507" t="s">
        <v>8</v>
      </c>
      <c r="U44" s="1508">
        <f t="shared" si="11"/>
        <v>100</v>
      </c>
      <c r="V44" s="1507" t="s">
        <v>8</v>
      </c>
      <c r="W44" s="1508">
        <f t="shared" si="12"/>
        <v>100</v>
      </c>
      <c r="X44" s="1501"/>
      <c r="Y44" s="355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59"/>
      <c r="Q45" s="1506">
        <f t="shared" si="14"/>
        <v>111</v>
      </c>
      <c r="R45" s="1507" t="s">
        <v>8</v>
      </c>
      <c r="S45" s="1508">
        <f t="shared" si="10"/>
        <v>100</v>
      </c>
      <c r="T45" s="1507" t="s">
        <v>8</v>
      </c>
      <c r="U45" s="1508">
        <f t="shared" si="11"/>
        <v>100</v>
      </c>
      <c r="V45" s="1507" t="s">
        <v>8</v>
      </c>
      <c r="W45" s="1508">
        <f t="shared" si="12"/>
        <v>100</v>
      </c>
      <c r="X45" s="1501"/>
      <c r="Y45" s="355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59"/>
      <c r="Q46" s="1506">
        <f t="shared" si="14"/>
        <v>111</v>
      </c>
      <c r="R46" s="1507" t="s">
        <v>8</v>
      </c>
      <c r="S46" s="1508">
        <f t="shared" si="10"/>
        <v>100</v>
      </c>
      <c r="T46" s="1507" t="s">
        <v>8</v>
      </c>
      <c r="U46" s="1508">
        <f t="shared" si="11"/>
        <v>100</v>
      </c>
      <c r="V46" s="1507" t="s">
        <v>8</v>
      </c>
      <c r="W46" s="1508">
        <f t="shared" si="12"/>
        <v>100</v>
      </c>
      <c r="X46" s="1501"/>
      <c r="Y46" s="355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59"/>
      <c r="Q47" s="1506">
        <f t="shared" si="14"/>
        <v>111</v>
      </c>
      <c r="R47" s="1511" t="s">
        <v>8</v>
      </c>
      <c r="S47" s="1512">
        <f t="shared" si="10"/>
        <v>100</v>
      </c>
      <c r="T47" s="1511" t="s">
        <v>8</v>
      </c>
      <c r="U47" s="1512">
        <f t="shared" si="11"/>
        <v>100</v>
      </c>
      <c r="V47" s="1511" t="s">
        <v>8</v>
      </c>
      <c r="W47" s="1512">
        <f t="shared" si="12"/>
        <v>100</v>
      </c>
      <c r="X47" s="1513"/>
      <c r="Y47" s="3559"/>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22" t="str">
        <f>A48</f>
        <v>成交单价</v>
      </c>
      <c r="Q48" s="3522"/>
      <c r="R48" s="3523">
        <f>E48</f>
        <v>1870</v>
      </c>
      <c r="S48" s="3523"/>
      <c r="T48" s="3523">
        <f>G48</f>
        <v>1702</v>
      </c>
      <c r="U48" s="3523"/>
      <c r="V48" s="3523">
        <f>I48</f>
        <v>1877</v>
      </c>
      <c r="W48" s="3523"/>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22" t="str">
        <f>A49</f>
        <v>比较价格（元/平方米）</v>
      </c>
      <c r="Q49" s="3522"/>
      <c r="R49" s="3524">
        <f>ROUND(PRODUCT(R48,AA9:AA47),0)</f>
        <v>1937</v>
      </c>
      <c r="S49" s="3524"/>
      <c r="T49" s="3524">
        <f>ROUND(PRODUCT(T48,AB9:AB47),0)</f>
        <v>1838</v>
      </c>
      <c r="U49" s="3524"/>
      <c r="V49" s="3524">
        <f>ROUND(PRODUCT(V48,AC9:AC47),0)</f>
        <v>1917</v>
      </c>
      <c r="W49" s="3524"/>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19" t="str">
        <f>A50</f>
        <v>估价对象XX用房的比较价格（楼面单价，元/平方米）</v>
      </c>
      <c r="Q50" s="3520"/>
      <c r="R50" s="3521">
        <f>ROUND(IF(D49="简单平均",AVERAGE(R49:W49),R49*F49+T49*H49+V49*J49),0)</f>
        <v>1897</v>
      </c>
      <c r="S50" s="3521"/>
      <c r="T50" s="3521"/>
      <c r="U50" s="3521"/>
      <c r="V50" s="3521"/>
      <c r="W50" s="3521"/>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48" t="s">
        <v>2268</v>
      </c>
      <c r="H57" s="3549"/>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50"/>
      <c r="H58" s="3551"/>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52"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52"/>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52"/>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52"/>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H34" workbookViewId="0">
      <selection activeCell="A71" sqref="A71:XFD71"/>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12" customFormat="1">
      <c r="A10" s="3311" t="s">
        <v>3044</v>
      </c>
      <c r="B10" s="3311" t="s">
        <v>3023</v>
      </c>
      <c r="C10" s="3311" t="s">
        <v>3024</v>
      </c>
      <c r="D10" s="3311">
        <v>21807.34</v>
      </c>
      <c r="E10" s="3311">
        <v>54518.35</v>
      </c>
      <c r="F10" s="3311" t="s">
        <v>3041</v>
      </c>
      <c r="G10" s="3311" t="s">
        <v>3026</v>
      </c>
      <c r="H10" s="3311" t="s">
        <v>3027</v>
      </c>
      <c r="I10" s="3311" t="s">
        <v>3042</v>
      </c>
      <c r="J10" s="3311" t="s">
        <v>3042</v>
      </c>
      <c r="K10" s="3311" t="s">
        <v>2796</v>
      </c>
      <c r="L10" s="3311">
        <v>7065.35</v>
      </c>
      <c r="M10" s="3311">
        <v>1295.96</v>
      </c>
      <c r="N10" s="3311" t="s">
        <v>2796</v>
      </c>
      <c r="O10" s="3311" t="s">
        <v>3045</v>
      </c>
      <c r="P10" s="3311"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c r="A13" s="3310" t="s">
        <v>3040</v>
      </c>
      <c r="B13" s="3310" t="s">
        <v>3023</v>
      </c>
      <c r="C13" s="3310" t="s">
        <v>3024</v>
      </c>
      <c r="D13" s="3310">
        <v>37823.839999999997</v>
      </c>
      <c r="E13" s="3310">
        <v>94559.6</v>
      </c>
      <c r="F13" s="3310" t="s">
        <v>3041</v>
      </c>
      <c r="G13" s="3310" t="s">
        <v>3026</v>
      </c>
      <c r="H13" s="3310" t="s">
        <v>3027</v>
      </c>
      <c r="I13" s="3310" t="s">
        <v>3042</v>
      </c>
      <c r="J13" s="3310" t="s">
        <v>3042</v>
      </c>
      <c r="K13" s="3310" t="s">
        <v>2796</v>
      </c>
      <c r="L13" s="3310">
        <v>12255.84</v>
      </c>
      <c r="M13" s="3310">
        <v>1296.0899999999999</v>
      </c>
      <c r="N13" s="3310" t="s">
        <v>2796</v>
      </c>
      <c r="O13" s="3310" t="s">
        <v>3047</v>
      </c>
      <c r="P13" s="3310"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1" sqref="I41"/>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39612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2911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7278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2.9000000000000001E-2</v>
      </c>
      <c r="D25" s="456" t="s">
        <v>2807</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8.0799999999999997E-2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8.0799999999999997E-2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0.10979999999999999</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0.10979999999999999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0.15440000000000001</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39612</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28" t="s">
        <v>516</v>
      </c>
      <c r="D6" s="3529"/>
      <c r="E6" s="3562" t="s">
        <v>517</v>
      </c>
      <c r="F6" s="3563"/>
      <c r="G6" s="3528" t="s">
        <v>518</v>
      </c>
      <c r="H6" s="3529"/>
      <c r="I6" s="3528" t="s">
        <v>519</v>
      </c>
      <c r="J6" s="3529"/>
      <c r="K6" s="508" t="s">
        <v>520</v>
      </c>
      <c r="L6" s="2015"/>
      <c r="M6" s="2016"/>
      <c r="N6" s="2016"/>
      <c r="O6" s="2016"/>
      <c r="P6" s="3530" t="s">
        <v>521</v>
      </c>
      <c r="Q6" s="3531"/>
      <c r="R6" s="3536" t="s">
        <v>517</v>
      </c>
      <c r="S6" s="3537"/>
      <c r="T6" s="3536" t="s">
        <v>518</v>
      </c>
      <c r="U6" s="3537"/>
      <c r="V6" s="3523" t="s">
        <v>519</v>
      </c>
      <c r="W6" s="3523"/>
      <c r="X6" s="1501"/>
      <c r="Y6" s="3536" t="s">
        <v>521</v>
      </c>
      <c r="Z6" s="3537"/>
      <c r="AA6" s="3525" t="s">
        <v>517</v>
      </c>
      <c r="AB6" s="3526" t="s">
        <v>518</v>
      </c>
      <c r="AC6" s="3525" t="s">
        <v>519</v>
      </c>
    </row>
    <row r="7" spans="1:29" ht="15">
      <c r="A7" s="509"/>
      <c r="B7" s="510"/>
      <c r="C7" s="3544" t="s">
        <v>2891</v>
      </c>
      <c r="D7" s="3545"/>
      <c r="E7" s="3564" t="s">
        <v>2892</v>
      </c>
      <c r="F7" s="3565"/>
      <c r="G7" s="3544" t="s">
        <v>2893</v>
      </c>
      <c r="H7" s="3545"/>
      <c r="I7" s="3544" t="s">
        <v>2894</v>
      </c>
      <c r="J7" s="3545"/>
      <c r="K7" s="508"/>
      <c r="L7" s="2015"/>
      <c r="M7" s="2016"/>
      <c r="N7" s="2016"/>
      <c r="O7" s="2016"/>
      <c r="P7" s="3532"/>
      <c r="Q7" s="3533"/>
      <c r="R7" s="3538"/>
      <c r="S7" s="3539"/>
      <c r="T7" s="3538"/>
      <c r="U7" s="3539"/>
      <c r="V7" s="3523"/>
      <c r="W7" s="3523"/>
      <c r="X7" s="1501"/>
      <c r="Y7" s="3538"/>
      <c r="Z7" s="3539"/>
      <c r="AA7" s="3526"/>
      <c r="AB7" s="3526"/>
      <c r="AC7" s="3526"/>
    </row>
    <row r="8" spans="1:29" ht="15.75" thickBot="1">
      <c r="A8" s="511"/>
      <c r="B8" s="512"/>
      <c r="C8" s="3542" t="s">
        <v>2895</v>
      </c>
      <c r="D8" s="3543"/>
      <c r="E8" s="3560" t="s">
        <v>2895</v>
      </c>
      <c r="F8" s="3561"/>
      <c r="G8" s="3542" t="s">
        <v>2895</v>
      </c>
      <c r="H8" s="3543"/>
      <c r="I8" s="3542" t="s">
        <v>2895</v>
      </c>
      <c r="J8" s="3543"/>
      <c r="K8" s="508" t="s">
        <v>522</v>
      </c>
      <c r="L8" s="2015"/>
      <c r="M8" s="2016"/>
      <c r="N8" s="2016"/>
      <c r="O8" s="2016"/>
      <c r="P8" s="3534"/>
      <c r="Q8" s="3535"/>
      <c r="R8" s="3538"/>
      <c r="S8" s="3539"/>
      <c r="T8" s="3540"/>
      <c r="U8" s="3541"/>
      <c r="V8" s="3523"/>
      <c r="W8" s="3523"/>
      <c r="X8" s="1501"/>
      <c r="Y8" s="3540"/>
      <c r="Z8" s="3541"/>
      <c r="AA8" s="3527"/>
      <c r="AB8" s="3527"/>
      <c r="AC8" s="3527"/>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53" t="s">
        <v>524</v>
      </c>
      <c r="Q9" s="3555"/>
      <c r="R9" s="1502" t="s">
        <v>8</v>
      </c>
      <c r="S9" s="1503">
        <f t="shared" ref="S9:S17" si="0">F9</f>
        <v>0</v>
      </c>
      <c r="T9" s="1502" t="s">
        <v>8</v>
      </c>
      <c r="U9" s="1503">
        <f t="shared" ref="U9:U17" si="1">H9</f>
        <v>0</v>
      </c>
      <c r="V9" s="1502" t="s">
        <v>8</v>
      </c>
      <c r="W9" s="1503">
        <f t="shared" ref="W9:W17" si="2">J9</f>
        <v>0</v>
      </c>
      <c r="X9" s="1504"/>
      <c r="Y9" s="3553" t="s">
        <v>524</v>
      </c>
      <c r="Z9" s="3554"/>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53" t="s">
        <v>527</v>
      </c>
      <c r="Q10" s="3554"/>
      <c r="R10" s="1502" t="s">
        <v>8</v>
      </c>
      <c r="S10" s="1503">
        <f t="shared" si="0"/>
        <v>0</v>
      </c>
      <c r="T10" s="1502" t="s">
        <v>8</v>
      </c>
      <c r="U10" s="1503">
        <f t="shared" si="1"/>
        <v>0</v>
      </c>
      <c r="V10" s="1502" t="s">
        <v>8</v>
      </c>
      <c r="W10" s="1503">
        <f t="shared" si="2"/>
        <v>0</v>
      </c>
      <c r="X10" s="1504"/>
      <c r="Y10" s="3553" t="s">
        <v>527</v>
      </c>
      <c r="Z10" s="3554"/>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2" t="s">
        <v>529</v>
      </c>
      <c r="Q11" s="1133" t="str">
        <f t="shared" ref="Q11:Q17" si="6">B11</f>
        <v>用途</v>
      </c>
      <c r="R11" s="1502" t="s">
        <v>8</v>
      </c>
      <c r="S11" s="1503">
        <f t="shared" si="0"/>
        <v>100</v>
      </c>
      <c r="T11" s="1502" t="s">
        <v>8</v>
      </c>
      <c r="U11" s="1503">
        <f t="shared" si="1"/>
        <v>100</v>
      </c>
      <c r="V11" s="1502" t="s">
        <v>8</v>
      </c>
      <c r="W11" s="1503">
        <f t="shared" si="2"/>
        <v>100</v>
      </c>
      <c r="X11" s="1504"/>
      <c r="Y11" s="3468"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2"/>
      <c r="Q12" s="1133" t="str">
        <f t="shared" si="6"/>
        <v>土地使用年限（年）</v>
      </c>
      <c r="R12" s="1502" t="s">
        <v>8</v>
      </c>
      <c r="S12" s="1503">
        <f t="shared" si="0"/>
        <v>100</v>
      </c>
      <c r="T12" s="1502" t="s">
        <v>8</v>
      </c>
      <c r="U12" s="1503">
        <f t="shared" si="1"/>
        <v>100</v>
      </c>
      <c r="V12" s="1502" t="s">
        <v>8</v>
      </c>
      <c r="W12" s="1503">
        <f t="shared" si="2"/>
        <v>100</v>
      </c>
      <c r="X12" s="1504"/>
      <c r="Y12" s="3468"/>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2"/>
      <c r="Q13" s="1133" t="str">
        <f t="shared" si="6"/>
        <v>容积率</v>
      </c>
      <c r="R13" s="1502" t="s">
        <v>8</v>
      </c>
      <c r="S13" s="1503" t="e">
        <f t="shared" si="0"/>
        <v>#N/A</v>
      </c>
      <c r="T13" s="1502" t="s">
        <v>8</v>
      </c>
      <c r="U13" s="1503" t="e">
        <f t="shared" si="1"/>
        <v>#N/A</v>
      </c>
      <c r="V13" s="1502" t="s">
        <v>8</v>
      </c>
      <c r="W13" s="1503" t="e">
        <f t="shared" si="2"/>
        <v>#N/A</v>
      </c>
      <c r="X13" s="1504"/>
      <c r="Y13" s="3468"/>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2"/>
      <c r="Q14" s="1133">
        <f t="shared" si="6"/>
        <v>111</v>
      </c>
      <c r="R14" s="1502" t="s">
        <v>8</v>
      </c>
      <c r="S14" s="1503">
        <f t="shared" si="0"/>
        <v>100</v>
      </c>
      <c r="T14" s="1502" t="s">
        <v>8</v>
      </c>
      <c r="U14" s="1503">
        <f t="shared" si="1"/>
        <v>100</v>
      </c>
      <c r="V14" s="1502" t="s">
        <v>8</v>
      </c>
      <c r="W14" s="1503">
        <f t="shared" si="2"/>
        <v>100</v>
      </c>
      <c r="X14" s="1504"/>
      <c r="Y14" s="3468"/>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2"/>
      <c r="Q15" s="1133">
        <f t="shared" si="6"/>
        <v>111</v>
      </c>
      <c r="R15" s="1502" t="s">
        <v>8</v>
      </c>
      <c r="S15" s="1503">
        <f t="shared" si="0"/>
        <v>100</v>
      </c>
      <c r="T15" s="1502" t="s">
        <v>8</v>
      </c>
      <c r="U15" s="1503">
        <f t="shared" si="1"/>
        <v>100</v>
      </c>
      <c r="V15" s="1502" t="s">
        <v>8</v>
      </c>
      <c r="W15" s="1503">
        <f t="shared" si="2"/>
        <v>100</v>
      </c>
      <c r="X15" s="1504"/>
      <c r="Y15" s="3468"/>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2"/>
      <c r="Q16" s="1133">
        <f t="shared" si="6"/>
        <v>111</v>
      </c>
      <c r="R16" s="1502" t="s">
        <v>8</v>
      </c>
      <c r="S16" s="1503">
        <f t="shared" si="0"/>
        <v>100</v>
      </c>
      <c r="T16" s="1502" t="s">
        <v>8</v>
      </c>
      <c r="U16" s="1503">
        <f t="shared" si="1"/>
        <v>100</v>
      </c>
      <c r="V16" s="1502" t="s">
        <v>8</v>
      </c>
      <c r="W16" s="1503">
        <f t="shared" si="2"/>
        <v>100</v>
      </c>
      <c r="X16" s="1504"/>
      <c r="Y16" s="3468"/>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56" t="s">
        <v>534</v>
      </c>
      <c r="Q17" s="1506" t="str">
        <f t="shared" si="6"/>
        <v>产业集聚程度</v>
      </c>
      <c r="R17" s="1507" t="s">
        <v>8</v>
      </c>
      <c r="S17" s="1508">
        <f t="shared" si="0"/>
        <v>100</v>
      </c>
      <c r="T17" s="1507" t="s">
        <v>8</v>
      </c>
      <c r="U17" s="1508">
        <f t="shared" si="1"/>
        <v>100</v>
      </c>
      <c r="V17" s="1507" t="s">
        <v>8</v>
      </c>
      <c r="W17" s="1508">
        <f t="shared" si="2"/>
        <v>100</v>
      </c>
      <c r="X17" s="1501"/>
      <c r="Y17" s="355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57"/>
      <c r="Q18" s="1506"/>
      <c r="R18" s="1507"/>
      <c r="S18" s="1508"/>
      <c r="T18" s="1507"/>
      <c r="U18" s="1508"/>
      <c r="V18" s="1507"/>
      <c r="W18" s="1508"/>
      <c r="X18" s="1501"/>
      <c r="Y18" s="355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57"/>
      <c r="Q19" s="1506" t="str">
        <f>B19</f>
        <v>交通便捷度</v>
      </c>
      <c r="R19" s="1507" t="s">
        <v>8</v>
      </c>
      <c r="S19" s="1508">
        <f>F19</f>
        <v>100</v>
      </c>
      <c r="T19" s="1507" t="s">
        <v>8</v>
      </c>
      <c r="U19" s="1508">
        <f>H19</f>
        <v>100</v>
      </c>
      <c r="V19" s="1507" t="s">
        <v>8</v>
      </c>
      <c r="W19" s="1508">
        <f>J19</f>
        <v>100</v>
      </c>
      <c r="X19" s="1501"/>
      <c r="Y19" s="355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57"/>
      <c r="Q20" s="1506"/>
      <c r="R20" s="1507"/>
      <c r="S20" s="1508"/>
      <c r="T20" s="1507"/>
      <c r="U20" s="1508"/>
      <c r="V20" s="1507"/>
      <c r="W20" s="1508"/>
      <c r="X20" s="1501"/>
      <c r="Y20" s="355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57"/>
      <c r="Q21" s="1506" t="str">
        <f t="shared" ref="Q21:Q35" si="8">B21</f>
        <v>区域土地利用方向</v>
      </c>
      <c r="R21" s="1507" t="s">
        <v>8</v>
      </c>
      <c r="S21" s="1508">
        <f>F21</f>
        <v>100</v>
      </c>
      <c r="T21" s="1507" t="s">
        <v>8</v>
      </c>
      <c r="U21" s="1508">
        <f>H21</f>
        <v>100</v>
      </c>
      <c r="V21" s="1507" t="s">
        <v>8</v>
      </c>
      <c r="W21" s="1508">
        <f>J21</f>
        <v>100</v>
      </c>
      <c r="X21" s="1501"/>
      <c r="Y21" s="355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57"/>
      <c r="Q22" s="1506"/>
      <c r="R22" s="1507"/>
      <c r="S22" s="1508"/>
      <c r="T22" s="1507"/>
      <c r="U22" s="1508"/>
      <c r="V22" s="1507"/>
      <c r="W22" s="1508"/>
      <c r="X22" s="1501"/>
      <c r="Y22" s="355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57"/>
      <c r="Q23" s="1506" t="str">
        <f t="shared" si="8"/>
        <v>环境状况</v>
      </c>
      <c r="R23" s="1507" t="s">
        <v>8</v>
      </c>
      <c r="S23" s="1508">
        <f>F23</f>
        <v>100</v>
      </c>
      <c r="T23" s="1507" t="s">
        <v>8</v>
      </c>
      <c r="U23" s="1508">
        <f>H23</f>
        <v>100</v>
      </c>
      <c r="V23" s="1507" t="s">
        <v>8</v>
      </c>
      <c r="W23" s="1508">
        <f>J23</f>
        <v>100</v>
      </c>
      <c r="X23" s="1501"/>
      <c r="Y23" s="355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57"/>
      <c r="Q24" s="1506"/>
      <c r="R24" s="1507"/>
      <c r="S24" s="1508"/>
      <c r="T24" s="1507"/>
      <c r="U24" s="1508"/>
      <c r="V24" s="1507"/>
      <c r="W24" s="1508"/>
      <c r="X24" s="1501"/>
      <c r="Y24" s="3557"/>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57"/>
      <c r="Q25" s="1133" t="str">
        <f t="shared" si="8"/>
        <v>公共配套设施</v>
      </c>
      <c r="R25" s="1502" t="s">
        <v>8</v>
      </c>
      <c r="S25" s="1503">
        <f>F25</f>
        <v>100</v>
      </c>
      <c r="T25" s="1502" t="s">
        <v>8</v>
      </c>
      <c r="U25" s="1503">
        <f>H25</f>
        <v>100</v>
      </c>
      <c r="V25" s="1502" t="s">
        <v>8</v>
      </c>
      <c r="W25" s="1503">
        <f>J25</f>
        <v>100</v>
      </c>
      <c r="X25" s="1504"/>
      <c r="Y25" s="355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57"/>
      <c r="Q26" s="1133"/>
      <c r="R26" s="1502"/>
      <c r="S26" s="1503"/>
      <c r="T26" s="1502"/>
      <c r="U26" s="1503"/>
      <c r="V26" s="1502"/>
      <c r="W26" s="1503"/>
      <c r="X26" s="1504"/>
      <c r="Y26" s="3557"/>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57"/>
      <c r="Q27" s="2428" t="str">
        <f t="shared" ref="Q27" si="9">B27</f>
        <v>基础设施水平</v>
      </c>
      <c r="R27" s="1502" t="s">
        <v>8</v>
      </c>
      <c r="S27" s="1503">
        <f>F27</f>
        <v>100</v>
      </c>
      <c r="T27" s="1502" t="s">
        <v>8</v>
      </c>
      <c r="U27" s="1503">
        <f>H27</f>
        <v>100</v>
      </c>
      <c r="V27" s="1502" t="s">
        <v>8</v>
      </c>
      <c r="W27" s="1503">
        <f>J27</f>
        <v>100</v>
      </c>
      <c r="X27" s="1504"/>
      <c r="Y27" s="355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57"/>
      <c r="Q28" s="2428"/>
      <c r="R28" s="1502"/>
      <c r="S28" s="1503"/>
      <c r="T28" s="1502"/>
      <c r="U28" s="1503"/>
      <c r="V28" s="1502"/>
      <c r="W28" s="1503"/>
      <c r="X28" s="1504"/>
      <c r="Y28" s="355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5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5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57"/>
      <c r="Q30" s="1506" t="str">
        <f t="shared" si="8"/>
        <v>毗邻道路的类型与等级</v>
      </c>
      <c r="R30" s="1507" t="s">
        <v>8</v>
      </c>
      <c r="S30" s="1508">
        <f t="shared" si="10"/>
        <v>100</v>
      </c>
      <c r="T30" s="1507" t="s">
        <v>8</v>
      </c>
      <c r="U30" s="1508">
        <f t="shared" si="11"/>
        <v>100</v>
      </c>
      <c r="V30" s="1507" t="s">
        <v>8</v>
      </c>
      <c r="W30" s="1508">
        <f t="shared" si="12"/>
        <v>100</v>
      </c>
      <c r="X30" s="1501"/>
      <c r="Y30" s="355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57"/>
      <c r="Q31" s="1506"/>
      <c r="R31" s="1507"/>
      <c r="S31" s="1508"/>
      <c r="T31" s="1507"/>
      <c r="U31" s="1508"/>
      <c r="V31" s="1507"/>
      <c r="W31" s="1508"/>
      <c r="X31" s="1501"/>
      <c r="Y31" s="355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57"/>
      <c r="Q32" s="1506" t="str">
        <f t="shared" si="8"/>
        <v>土地级别</v>
      </c>
      <c r="R32" s="1507" t="s">
        <v>8</v>
      </c>
      <c r="S32" s="1508">
        <f t="shared" si="10"/>
        <v>100</v>
      </c>
      <c r="T32" s="1507" t="s">
        <v>8</v>
      </c>
      <c r="U32" s="1508">
        <f t="shared" si="11"/>
        <v>100</v>
      </c>
      <c r="V32" s="1507" t="s">
        <v>8</v>
      </c>
      <c r="W32" s="1508">
        <f t="shared" si="12"/>
        <v>100</v>
      </c>
      <c r="X32" s="1501"/>
      <c r="Y32" s="355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57"/>
      <c r="Q33" s="1506">
        <f t="shared" si="8"/>
        <v>111</v>
      </c>
      <c r="R33" s="1507" t="s">
        <v>8</v>
      </c>
      <c r="S33" s="1508">
        <f t="shared" si="10"/>
        <v>100</v>
      </c>
      <c r="T33" s="1507" t="s">
        <v>8</v>
      </c>
      <c r="U33" s="1508">
        <f t="shared" si="11"/>
        <v>100</v>
      </c>
      <c r="V33" s="1507" t="s">
        <v>8</v>
      </c>
      <c r="W33" s="1508">
        <f t="shared" si="12"/>
        <v>100</v>
      </c>
      <c r="X33" s="1501"/>
      <c r="Y33" s="355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58" t="s">
        <v>544</v>
      </c>
      <c r="Q34" s="1506">
        <f t="shared" si="8"/>
        <v>111</v>
      </c>
      <c r="R34" s="1507" t="s">
        <v>8</v>
      </c>
      <c r="S34" s="1508">
        <f t="shared" si="10"/>
        <v>100</v>
      </c>
      <c r="T34" s="1507" t="s">
        <v>8</v>
      </c>
      <c r="U34" s="1508">
        <f t="shared" si="11"/>
        <v>100</v>
      </c>
      <c r="V34" s="1507" t="s">
        <v>8</v>
      </c>
      <c r="W34" s="1508">
        <f t="shared" si="12"/>
        <v>100</v>
      </c>
      <c r="X34" s="1501"/>
      <c r="Y34" s="355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59"/>
      <c r="Q35" s="1506">
        <f t="shared" si="8"/>
        <v>111</v>
      </c>
      <c r="R35" s="1511" t="s">
        <v>8</v>
      </c>
      <c r="S35" s="1512">
        <f t="shared" si="10"/>
        <v>100</v>
      </c>
      <c r="T35" s="1511" t="s">
        <v>8</v>
      </c>
      <c r="U35" s="1512">
        <f t="shared" si="11"/>
        <v>100</v>
      </c>
      <c r="V35" s="1511" t="s">
        <v>8</v>
      </c>
      <c r="W35" s="1512">
        <f t="shared" si="12"/>
        <v>100</v>
      </c>
      <c r="X35" s="1513"/>
      <c r="Y35" s="3559"/>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59"/>
      <c r="Q36" s="1506" t="str">
        <f>B36</f>
        <v>宗地面积</v>
      </c>
      <c r="R36" s="1507" t="s">
        <v>8</v>
      </c>
      <c r="S36" s="1508" t="e">
        <f t="shared" si="10"/>
        <v>#N/A</v>
      </c>
      <c r="T36" s="1507" t="s">
        <v>8</v>
      </c>
      <c r="U36" s="1508" t="e">
        <f t="shared" si="11"/>
        <v>#N/A</v>
      </c>
      <c r="V36" s="1507" t="s">
        <v>8</v>
      </c>
      <c r="W36" s="1508" t="e">
        <f t="shared" si="12"/>
        <v>#N/A</v>
      </c>
      <c r="X36" s="1501"/>
      <c r="Y36" s="355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59"/>
      <c r="Q37" s="1506" t="str">
        <f t="shared" ref="Q37:Q42" si="14">B37</f>
        <v>宗地形状</v>
      </c>
      <c r="R37" s="1507" t="s">
        <v>8</v>
      </c>
      <c r="S37" s="1508">
        <f t="shared" si="10"/>
        <v>100</v>
      </c>
      <c r="T37" s="1507" t="s">
        <v>8</v>
      </c>
      <c r="U37" s="1508">
        <f t="shared" si="11"/>
        <v>100</v>
      </c>
      <c r="V37" s="1507" t="s">
        <v>8</v>
      </c>
      <c r="W37" s="1508">
        <f t="shared" si="12"/>
        <v>100</v>
      </c>
      <c r="X37" s="1501"/>
      <c r="Y37" s="3559"/>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59"/>
      <c r="Q38" s="1506" t="str">
        <f t="shared" si="14"/>
        <v>宗地开发程度</v>
      </c>
      <c r="R38" s="1502" t="s">
        <v>8</v>
      </c>
      <c r="S38" s="1503">
        <f t="shared" si="10"/>
        <v>100</v>
      </c>
      <c r="T38" s="1502" t="s">
        <v>8</v>
      </c>
      <c r="U38" s="1503">
        <f t="shared" si="11"/>
        <v>100</v>
      </c>
      <c r="V38" s="1502" t="s">
        <v>8</v>
      </c>
      <c r="W38" s="1503">
        <f t="shared" si="12"/>
        <v>100</v>
      </c>
      <c r="X38" s="1504"/>
      <c r="Y38" s="355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9" t="s">
        <v>595</v>
      </c>
      <c r="Q39" s="1506" t="str">
        <f t="shared" si="14"/>
        <v>工程地质条件</v>
      </c>
      <c r="R39" s="1507" t="s">
        <v>8</v>
      </c>
      <c r="S39" s="1508">
        <f t="shared" si="10"/>
        <v>100</v>
      </c>
      <c r="T39" s="1507" t="s">
        <v>8</v>
      </c>
      <c r="U39" s="1508">
        <f t="shared" si="11"/>
        <v>100</v>
      </c>
      <c r="V39" s="1507" t="s">
        <v>8</v>
      </c>
      <c r="W39" s="1508">
        <f t="shared" si="12"/>
        <v>100</v>
      </c>
      <c r="X39" s="1501"/>
      <c r="Y39" s="355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59"/>
      <c r="Q40" s="1506">
        <f t="shared" si="14"/>
        <v>111</v>
      </c>
      <c r="R40" s="1507" t="s">
        <v>8</v>
      </c>
      <c r="S40" s="1508">
        <f t="shared" si="10"/>
        <v>100</v>
      </c>
      <c r="T40" s="1507" t="s">
        <v>8</v>
      </c>
      <c r="U40" s="1508">
        <f t="shared" si="11"/>
        <v>100</v>
      </c>
      <c r="V40" s="1507" t="s">
        <v>8</v>
      </c>
      <c r="W40" s="1508">
        <f t="shared" si="12"/>
        <v>100</v>
      </c>
      <c r="X40" s="1501"/>
      <c r="Y40" s="355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59"/>
      <c r="Q41" s="1506">
        <f t="shared" si="14"/>
        <v>111</v>
      </c>
      <c r="R41" s="1507" t="s">
        <v>8</v>
      </c>
      <c r="S41" s="1508">
        <f t="shared" si="10"/>
        <v>100</v>
      </c>
      <c r="T41" s="1507" t="s">
        <v>8</v>
      </c>
      <c r="U41" s="1508">
        <f t="shared" si="11"/>
        <v>100</v>
      </c>
      <c r="V41" s="1507" t="s">
        <v>8</v>
      </c>
      <c r="W41" s="1508">
        <f t="shared" si="12"/>
        <v>100</v>
      </c>
      <c r="X41" s="1501"/>
      <c r="Y41" s="355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59"/>
      <c r="Q42" s="1506">
        <f t="shared" si="14"/>
        <v>111</v>
      </c>
      <c r="R42" s="1511" t="s">
        <v>8</v>
      </c>
      <c r="S42" s="1512">
        <f t="shared" si="10"/>
        <v>100</v>
      </c>
      <c r="T42" s="1511" t="s">
        <v>8</v>
      </c>
      <c r="U42" s="1512">
        <f t="shared" si="11"/>
        <v>100</v>
      </c>
      <c r="V42" s="1511" t="s">
        <v>8</v>
      </c>
      <c r="W42" s="1512">
        <f t="shared" si="12"/>
        <v>100</v>
      </c>
      <c r="X42" s="1513"/>
      <c r="Y42" s="3559"/>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22" t="str">
        <f>A43</f>
        <v>成交单价</v>
      </c>
      <c r="Q43" s="3522"/>
      <c r="R43" s="3523">
        <f>E43</f>
        <v>0</v>
      </c>
      <c r="S43" s="3523"/>
      <c r="T43" s="3523">
        <f>G43</f>
        <v>0</v>
      </c>
      <c r="U43" s="3523"/>
      <c r="V43" s="3523">
        <f>I43</f>
        <v>0</v>
      </c>
      <c r="W43" s="3523"/>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22" t="str">
        <f>A44</f>
        <v>比较价格（元/平方米）</v>
      </c>
      <c r="Q44" s="3522"/>
      <c r="R44" s="3524" t="e">
        <f>ROUND(PRODUCT(R43,AA9:AA42),0)</f>
        <v>#DIV/0!</v>
      </c>
      <c r="S44" s="3524"/>
      <c r="T44" s="3524" t="e">
        <f>ROUND(PRODUCT(T43,AB9:AB42),0)</f>
        <v>#DIV/0!</v>
      </c>
      <c r="U44" s="3524"/>
      <c r="V44" s="3524" t="e">
        <f>ROUND(PRODUCT(V43,AC9:AC42),0)</f>
        <v>#DIV/0!</v>
      </c>
      <c r="W44" s="3524"/>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19" t="str">
        <f>A45</f>
        <v>估价对象XX用房的比较价格（楼面单价，元/平方米）</v>
      </c>
      <c r="Q45" s="3520"/>
      <c r="R45" s="3571" t="e">
        <f>ROUND(IF(D44="简单平均",AVERAGE(R44:W44),R44*F44+T44*H44+V44*J44),0)</f>
        <v>#DIV/0!</v>
      </c>
      <c r="S45" s="3571"/>
      <c r="T45" s="3571"/>
      <c r="U45" s="3571"/>
      <c r="V45" s="3571"/>
      <c r="W45" s="3571"/>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6" t="s">
        <v>2271</v>
      </c>
      <c r="H52" s="3567"/>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68"/>
      <c r="H53" s="3569"/>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70"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70"/>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70"/>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70"/>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86"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87"/>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73" t="s">
        <v>2761</v>
      </c>
      <c r="X8" s="3574"/>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87"/>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72"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7"/>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7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7"/>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72"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6"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72"/>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88"/>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72"/>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88"/>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89"/>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86" t="s">
        <v>1828</v>
      </c>
      <c r="B16" s="1375" t="s">
        <v>940</v>
      </c>
      <c r="C16" s="1038" t="e">
        <f>ROUND(IF(F17="与级别开发程度一致",0,(G17-E17)/C17),0)</f>
        <v>#DIV/0!</v>
      </c>
      <c r="D16" s="3580" t="s">
        <v>944</v>
      </c>
      <c r="E16" s="3581"/>
      <c r="F16" s="3580" t="s">
        <v>941</v>
      </c>
      <c r="G16" s="3581"/>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90"/>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82"/>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2"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3"/>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3"/>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3"/>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3"/>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4"/>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84"/>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91" t="s">
        <v>1623</v>
      </c>
      <c r="B90" s="3591"/>
      <c r="C90" s="3591"/>
      <c r="D90" s="3591"/>
      <c r="E90" s="3591"/>
      <c r="F90" s="3591"/>
      <c r="G90" s="3591"/>
      <c r="H90" s="3591"/>
      <c r="I90" s="3591"/>
      <c r="J90" s="3591"/>
      <c r="K90" s="2305"/>
      <c r="L90" s="2305"/>
      <c r="M90" s="2305"/>
      <c r="N90" s="2305"/>
    </row>
    <row r="91" spans="1:40">
      <c r="A91" s="3592" t="s">
        <v>1433</v>
      </c>
      <c r="B91" s="3592" t="s">
        <v>1624</v>
      </c>
      <c r="C91" s="1122" t="s">
        <v>1625</v>
      </c>
      <c r="D91" s="1123"/>
      <c r="E91" s="1123"/>
      <c r="F91" s="1123"/>
      <c r="G91" s="1123"/>
      <c r="H91" s="1123"/>
      <c r="I91" s="1123"/>
      <c r="J91" s="1124"/>
      <c r="K91" s="1116"/>
      <c r="L91" s="1116"/>
      <c r="M91" s="1116"/>
      <c r="N91" s="1116"/>
    </row>
    <row r="92" spans="1:40">
      <c r="A92" s="3592"/>
      <c r="B92" s="3592"/>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75"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6"/>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7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5"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6"/>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6"/>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6"/>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6"/>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6"/>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6"/>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6"/>
      <c r="B108" s="3578"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77"/>
      <c r="B109" s="3579"/>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5" t="s">
        <v>1629</v>
      </c>
      <c r="B110" s="3585"/>
      <c r="C110" s="3585"/>
      <c r="D110" s="3585"/>
      <c r="E110" s="3585"/>
      <c r="F110" s="3585"/>
      <c r="G110" s="3585"/>
      <c r="H110" s="3585"/>
      <c r="I110" s="3585"/>
      <c r="J110" s="3585"/>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92" t="s">
        <v>997</v>
      </c>
      <c r="B18" s="1136" t="s">
        <v>1436</v>
      </c>
      <c r="C18" s="1113" t="s">
        <v>1437</v>
      </c>
      <c r="D18" s="1114"/>
      <c r="E18" s="1136">
        <v>1</v>
      </c>
      <c r="F18" s="1115" t="s">
        <v>1438</v>
      </c>
      <c r="G18" s="1116"/>
      <c r="H18" s="1087"/>
      <c r="I18" s="1087"/>
    </row>
    <row r="19" spans="1:9" s="1529" customFormat="1" ht="19.5" customHeight="1">
      <c r="A19" s="3592"/>
      <c r="B19" s="3592" t="s">
        <v>1439</v>
      </c>
      <c r="C19" s="1113" t="s">
        <v>1440</v>
      </c>
      <c r="D19" s="1114"/>
      <c r="E19" s="1136">
        <v>0.9</v>
      </c>
      <c r="F19" s="1115" t="s">
        <v>1441</v>
      </c>
      <c r="G19" s="1116"/>
      <c r="H19" s="1087"/>
      <c r="I19" s="1087"/>
    </row>
    <row r="20" spans="1:9" s="1529" customFormat="1" ht="19.5" customHeight="1">
      <c r="A20" s="3592"/>
      <c r="B20" s="3592"/>
      <c r="C20" s="1113" t="s">
        <v>1442</v>
      </c>
      <c r="D20" s="1114"/>
      <c r="E20" s="1136">
        <v>1.1000000000000001</v>
      </c>
      <c r="F20" s="1115" t="s">
        <v>1443</v>
      </c>
      <c r="G20" s="1116"/>
      <c r="H20" s="1087"/>
      <c r="I20" s="1087"/>
    </row>
    <row r="21" spans="1:9" s="1529" customFormat="1" ht="19.5" customHeight="1">
      <c r="A21" s="3592"/>
      <c r="B21" s="3592"/>
      <c r="C21" s="1113" t="s">
        <v>1444</v>
      </c>
      <c r="D21" s="1114"/>
      <c r="E21" s="1136">
        <v>0.8</v>
      </c>
      <c r="F21" s="1115" t="s">
        <v>1445</v>
      </c>
      <c r="G21" s="1116"/>
      <c r="H21" s="1087"/>
      <c r="I21" s="1087"/>
    </row>
    <row r="22" spans="1:9" s="1529" customFormat="1" ht="19.5" customHeight="1">
      <c r="A22" s="3592"/>
      <c r="B22" s="3592"/>
      <c r="C22" s="1113" t="s">
        <v>1446</v>
      </c>
      <c r="D22" s="1114"/>
      <c r="E22" s="1136">
        <v>0.5</v>
      </c>
      <c r="F22" s="1115"/>
      <c r="G22" s="1116"/>
      <c r="H22" s="1087"/>
      <c r="I22" s="1087"/>
    </row>
    <row r="23" spans="1:9" s="1529" customFormat="1" ht="19.5" customHeight="1">
      <c r="A23" s="3592" t="s">
        <v>1019</v>
      </c>
      <c r="B23" s="1136" t="s">
        <v>1436</v>
      </c>
      <c r="C23" s="1113" t="s">
        <v>1447</v>
      </c>
      <c r="D23" s="1114"/>
      <c r="E23" s="1136">
        <v>1</v>
      </c>
      <c r="F23" s="1115" t="s">
        <v>1448</v>
      </c>
      <c r="G23" s="1116"/>
      <c r="H23" s="1087"/>
      <c r="I23" s="1087"/>
    </row>
    <row r="24" spans="1:9" s="1529" customFormat="1" ht="19.5" customHeight="1">
      <c r="A24" s="3592"/>
      <c r="B24" s="3592" t="s">
        <v>1439</v>
      </c>
      <c r="C24" s="1113" t="s">
        <v>1449</v>
      </c>
      <c r="D24" s="1114"/>
      <c r="E24" s="1136">
        <v>0.5</v>
      </c>
      <c r="F24" s="1115"/>
      <c r="G24" s="1116"/>
      <c r="H24" s="1087"/>
      <c r="I24" s="1087"/>
    </row>
    <row r="25" spans="1:9" s="1529" customFormat="1" ht="19.5" customHeight="1">
      <c r="A25" s="3592"/>
      <c r="B25" s="3592"/>
      <c r="C25" s="1113" t="s">
        <v>1450</v>
      </c>
      <c r="D25" s="1114"/>
      <c r="E25" s="1136">
        <v>1.1000000000000001</v>
      </c>
      <c r="F25" s="1115"/>
      <c r="G25" s="1116"/>
      <c r="H25" s="1087"/>
      <c r="I25" s="1087"/>
    </row>
    <row r="26" spans="1:9" s="1529" customFormat="1" ht="19.5" customHeight="1">
      <c r="A26" s="3592"/>
      <c r="B26" s="3592"/>
      <c r="C26" s="1113" t="s">
        <v>1451</v>
      </c>
      <c r="D26" s="1114"/>
      <c r="E26" s="1136">
        <v>1.1000000000000001</v>
      </c>
      <c r="F26" s="1115"/>
      <c r="G26" s="1116"/>
      <c r="H26" s="1087"/>
      <c r="I26" s="1087"/>
    </row>
    <row r="27" spans="1:9" s="1529" customFormat="1" ht="19.5" customHeight="1">
      <c r="A27" s="3592"/>
      <c r="B27" s="3592"/>
      <c r="C27" s="1113" t="s">
        <v>1452</v>
      </c>
      <c r="D27" s="1114"/>
      <c r="E27" s="1136">
        <v>0.9</v>
      </c>
      <c r="F27" s="1115" t="s">
        <v>1453</v>
      </c>
      <c r="G27" s="1116"/>
      <c r="H27" s="1087"/>
      <c r="I27" s="1087"/>
    </row>
    <row r="28" spans="1:9" s="1529" customFormat="1" ht="19.5" customHeight="1">
      <c r="A28" s="3592"/>
      <c r="B28" s="3592"/>
      <c r="C28" s="1113" t="s">
        <v>1454</v>
      </c>
      <c r="D28" s="1114"/>
      <c r="E28" s="1136">
        <v>0.9</v>
      </c>
      <c r="F28" s="1115" t="s">
        <v>1455</v>
      </c>
      <c r="G28" s="1116"/>
      <c r="H28" s="1087"/>
      <c r="I28" s="1087"/>
    </row>
    <row r="29" spans="1:9" s="1529" customFormat="1" ht="19.5" customHeight="1">
      <c r="A29" s="3592"/>
      <c r="B29" s="3592"/>
      <c r="C29" s="1113" t="s">
        <v>1456</v>
      </c>
      <c r="D29" s="1114"/>
      <c r="E29" s="1136">
        <v>0.9</v>
      </c>
      <c r="F29" s="1115" t="s">
        <v>1457</v>
      </c>
      <c r="G29" s="1116"/>
      <c r="H29" s="1087"/>
      <c r="I29" s="1087"/>
    </row>
    <row r="30" spans="1:9" s="1529" customFormat="1" ht="19.5" customHeight="1">
      <c r="A30" s="3592"/>
      <c r="B30" s="3592"/>
      <c r="C30" s="1113" t="s">
        <v>1458</v>
      </c>
      <c r="D30" s="1114"/>
      <c r="E30" s="1136">
        <v>0.9</v>
      </c>
      <c r="F30" s="1115" t="s">
        <v>1459</v>
      </c>
      <c r="G30" s="1116"/>
      <c r="H30" s="1087"/>
      <c r="I30" s="1087"/>
    </row>
    <row r="31" spans="1:9" s="1529" customFormat="1" ht="19.5" customHeight="1">
      <c r="A31" s="3592"/>
      <c r="B31" s="3592"/>
      <c r="C31" s="1113" t="s">
        <v>1460</v>
      </c>
      <c r="D31" s="1114"/>
      <c r="E31" s="1136">
        <v>0.8</v>
      </c>
      <c r="F31" s="1115" t="s">
        <v>1461</v>
      </c>
      <c r="G31" s="1116"/>
      <c r="H31" s="1087"/>
      <c r="I31" s="1087"/>
    </row>
    <row r="32" spans="1:9" s="1529" customFormat="1" ht="19.5" customHeight="1">
      <c r="A32" s="3592"/>
      <c r="B32" s="3592"/>
      <c r="C32" s="1113" t="s">
        <v>1462</v>
      </c>
      <c r="D32" s="1114"/>
      <c r="E32" s="1136">
        <v>0.8</v>
      </c>
      <c r="F32" s="1115" t="s">
        <v>1463</v>
      </c>
      <c r="G32" s="1116"/>
      <c r="H32" s="1087"/>
      <c r="I32" s="1087"/>
    </row>
    <row r="33" spans="1:9" s="1529" customFormat="1" ht="19.5" customHeight="1">
      <c r="A33" s="3592" t="s">
        <v>1464</v>
      </c>
      <c r="B33" s="1136" t="s">
        <v>1436</v>
      </c>
      <c r="C33" s="1113" t="s">
        <v>1465</v>
      </c>
      <c r="D33" s="1114"/>
      <c r="E33" s="1136">
        <v>1</v>
      </c>
      <c r="F33" s="1115" t="s">
        <v>1466</v>
      </c>
      <c r="G33" s="1116"/>
      <c r="H33" s="1087"/>
      <c r="I33" s="1087"/>
    </row>
    <row r="34" spans="1:9" s="1529" customFormat="1" ht="19.5" customHeight="1">
      <c r="A34" s="3592"/>
      <c r="B34" s="1136" t="s">
        <v>1439</v>
      </c>
      <c r="C34" s="1113" t="s">
        <v>1467</v>
      </c>
      <c r="D34" s="1114"/>
      <c r="E34" s="1136">
        <v>1.5</v>
      </c>
      <c r="F34" s="1115" t="s">
        <v>1468</v>
      </c>
      <c r="G34" s="1116"/>
      <c r="H34" s="1087"/>
      <c r="I34" s="1087"/>
    </row>
    <row r="35" spans="1:9" s="1529" customFormat="1" ht="19.5" customHeight="1">
      <c r="A35" s="3592" t="s">
        <v>1422</v>
      </c>
      <c r="B35" s="1136" t="s">
        <v>1436</v>
      </c>
      <c r="C35" s="1113" t="s">
        <v>1469</v>
      </c>
      <c r="D35" s="1114"/>
      <c r="E35" s="1136">
        <v>1</v>
      </c>
      <c r="F35" s="1115" t="s">
        <v>1470</v>
      </c>
      <c r="G35" s="1116"/>
      <c r="H35" s="1087"/>
      <c r="I35" s="1087"/>
    </row>
    <row r="36" spans="1:9" s="1529" customFormat="1" ht="19.5" customHeight="1">
      <c r="A36" s="3592"/>
      <c r="B36" s="3592" t="s">
        <v>1439</v>
      </c>
      <c r="C36" s="1113" t="s">
        <v>1471</v>
      </c>
      <c r="D36" s="1114"/>
      <c r="E36" s="1136">
        <v>1</v>
      </c>
      <c r="F36" s="1115" t="s">
        <v>1472</v>
      </c>
      <c r="G36" s="1116"/>
      <c r="H36" s="1087"/>
      <c r="I36" s="1087"/>
    </row>
    <row r="37" spans="1:9" s="1529" customFormat="1" ht="19.5" customHeight="1">
      <c r="A37" s="3592"/>
      <c r="B37" s="3592"/>
      <c r="C37" s="1113" t="s">
        <v>1473</v>
      </c>
      <c r="D37" s="1114"/>
      <c r="E37" s="1136">
        <v>1.5</v>
      </c>
      <c r="F37" s="1115" t="s">
        <v>1474</v>
      </c>
      <c r="G37" s="1116"/>
      <c r="H37" s="1087"/>
      <c r="I37" s="1087"/>
    </row>
    <row r="38" spans="1:9" s="1529" customFormat="1" ht="19.5" customHeight="1">
      <c r="A38" s="3592"/>
      <c r="B38" s="3592"/>
      <c r="C38" s="1113" t="s">
        <v>1475</v>
      </c>
      <c r="D38" s="1114"/>
      <c r="E38" s="1136">
        <v>1</v>
      </c>
      <c r="F38" s="1115" t="s">
        <v>1476</v>
      </c>
      <c r="G38" s="1116"/>
      <c r="H38" s="1087"/>
      <c r="I38" s="1087"/>
    </row>
    <row r="39" spans="1:9" s="1529" customFormat="1" ht="19.5" customHeight="1">
      <c r="A39" s="3592"/>
      <c r="B39" s="3592"/>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92" t="s">
        <v>1491</v>
      </c>
      <c r="C61" s="1050" t="s">
        <v>1492</v>
      </c>
      <c r="D61" s="1050" t="s">
        <v>1493</v>
      </c>
      <c r="E61" s="1121">
        <v>0.5</v>
      </c>
      <c r="F61" s="1136">
        <v>80</v>
      </c>
      <c r="H61" s="1087">
        <f>SUMIF(C59:C119,基准地价!C8,E59:E119)</f>
        <v>0</v>
      </c>
    </row>
    <row r="62" spans="1:8" s="1087" customFormat="1" ht="24">
      <c r="A62" s="1136">
        <v>2</v>
      </c>
      <c r="B62" s="3592"/>
      <c r="C62" s="1050" t="s">
        <v>1494</v>
      </c>
      <c r="D62" s="1050" t="s">
        <v>1495</v>
      </c>
      <c r="E62" s="1121">
        <v>0.5</v>
      </c>
      <c r="F62" s="1136">
        <v>80</v>
      </c>
    </row>
    <row r="63" spans="1:8" s="1087" customFormat="1" ht="36">
      <c r="A63" s="1136">
        <v>3</v>
      </c>
      <c r="B63" s="3592"/>
      <c r="C63" s="1050" t="s">
        <v>1496</v>
      </c>
      <c r="D63" s="1050" t="s">
        <v>1497</v>
      </c>
      <c r="E63" s="1121">
        <v>0.5</v>
      </c>
      <c r="F63" s="1136">
        <v>80</v>
      </c>
    </row>
    <row r="64" spans="1:8" s="1087" customFormat="1" ht="36">
      <c r="A64" s="1136">
        <v>4</v>
      </c>
      <c r="B64" s="3592"/>
      <c r="C64" s="1050" t="s">
        <v>1498</v>
      </c>
      <c r="D64" s="1050" t="s">
        <v>1499</v>
      </c>
      <c r="E64" s="1121">
        <v>0.4</v>
      </c>
      <c r="F64" s="1136">
        <v>60</v>
      </c>
    </row>
    <row r="65" spans="1:6" s="1087" customFormat="1" ht="36">
      <c r="A65" s="1136">
        <v>5</v>
      </c>
      <c r="B65" s="3592"/>
      <c r="C65" s="1050" t="s">
        <v>1500</v>
      </c>
      <c r="D65" s="1050" t="s">
        <v>1501</v>
      </c>
      <c r="E65" s="1121">
        <v>0.2</v>
      </c>
      <c r="F65" s="1136">
        <v>30</v>
      </c>
    </row>
    <row r="66" spans="1:6" s="1087" customFormat="1" ht="36">
      <c r="A66" s="1136">
        <v>6</v>
      </c>
      <c r="B66" s="3592"/>
      <c r="C66" s="1050" t="s">
        <v>1502</v>
      </c>
      <c r="D66" s="1050" t="s">
        <v>1503</v>
      </c>
      <c r="E66" s="1121">
        <v>0.3</v>
      </c>
      <c r="F66" s="1136">
        <v>50</v>
      </c>
    </row>
    <row r="67" spans="1:6" s="1087" customFormat="1" ht="36">
      <c r="A67" s="1136">
        <v>7</v>
      </c>
      <c r="B67" s="3592"/>
      <c r="C67" s="1050" t="s">
        <v>1504</v>
      </c>
      <c r="D67" s="1050" t="s">
        <v>1505</v>
      </c>
      <c r="E67" s="1121">
        <v>0.2</v>
      </c>
      <c r="F67" s="1136">
        <v>30</v>
      </c>
    </row>
    <row r="68" spans="1:6" s="1087" customFormat="1" ht="36">
      <c r="A68" s="1136">
        <v>8</v>
      </c>
      <c r="B68" s="3592"/>
      <c r="C68" s="1050" t="s">
        <v>1506</v>
      </c>
      <c r="D68" s="1050" t="s">
        <v>1507</v>
      </c>
      <c r="E68" s="1121">
        <v>0.2</v>
      </c>
      <c r="F68" s="1136">
        <v>30</v>
      </c>
    </row>
    <row r="69" spans="1:6" s="1087" customFormat="1" ht="36">
      <c r="A69" s="1136">
        <v>9</v>
      </c>
      <c r="B69" s="3592"/>
      <c r="C69" s="1050" t="s">
        <v>1508</v>
      </c>
      <c r="D69" s="1050" t="s">
        <v>1509</v>
      </c>
      <c r="E69" s="1121">
        <v>0.2</v>
      </c>
      <c r="F69" s="1136">
        <v>30</v>
      </c>
    </row>
    <row r="70" spans="1:6" s="1087" customFormat="1" ht="48">
      <c r="A70" s="1136">
        <v>10</v>
      </c>
      <c r="B70" s="3592"/>
      <c r="C70" s="1050" t="s">
        <v>1510</v>
      </c>
      <c r="D70" s="1050" t="s">
        <v>1511</v>
      </c>
      <c r="E70" s="1121">
        <v>0.2</v>
      </c>
      <c r="F70" s="1136">
        <v>30</v>
      </c>
    </row>
    <row r="71" spans="1:6" s="1087" customFormat="1" ht="48">
      <c r="A71" s="1136">
        <v>11</v>
      </c>
      <c r="B71" s="3592"/>
      <c r="C71" s="1050" t="s">
        <v>1512</v>
      </c>
      <c r="D71" s="1050" t="s">
        <v>1513</v>
      </c>
      <c r="E71" s="1121">
        <v>0.2</v>
      </c>
      <c r="F71" s="1136">
        <v>30</v>
      </c>
    </row>
    <row r="72" spans="1:6" s="1087" customFormat="1" ht="36">
      <c r="A72" s="1136">
        <v>12</v>
      </c>
      <c r="B72" s="3592"/>
      <c r="C72" s="1050" t="s">
        <v>1514</v>
      </c>
      <c r="D72" s="1050" t="s">
        <v>1515</v>
      </c>
      <c r="E72" s="1121">
        <v>0.5</v>
      </c>
      <c r="F72" s="1136">
        <v>80</v>
      </c>
    </row>
    <row r="73" spans="1:6" s="1087" customFormat="1" ht="24">
      <c r="A73" s="1136">
        <v>13</v>
      </c>
      <c r="B73" s="3592"/>
      <c r="C73" s="1050" t="s">
        <v>1516</v>
      </c>
      <c r="D73" s="1050" t="s">
        <v>1517</v>
      </c>
      <c r="E73" s="1121">
        <v>0.4</v>
      </c>
      <c r="F73" s="1136">
        <v>60</v>
      </c>
    </row>
    <row r="74" spans="1:6" s="1087" customFormat="1" ht="24">
      <c r="A74" s="1136">
        <v>14</v>
      </c>
      <c r="B74" s="3592"/>
      <c r="C74" s="1050" t="s">
        <v>1518</v>
      </c>
      <c r="D74" s="1050" t="s">
        <v>1519</v>
      </c>
      <c r="E74" s="1121">
        <v>0.2</v>
      </c>
      <c r="F74" s="1136">
        <v>30</v>
      </c>
    </row>
    <row r="75" spans="1:6" s="1087" customFormat="1" ht="24">
      <c r="A75" s="1136">
        <v>15</v>
      </c>
      <c r="B75" s="3592"/>
      <c r="C75" s="1050" t="s">
        <v>1520</v>
      </c>
      <c r="D75" s="1050" t="s">
        <v>1521</v>
      </c>
      <c r="E75" s="1121">
        <v>0.2</v>
      </c>
      <c r="F75" s="1136">
        <v>30</v>
      </c>
    </row>
    <row r="76" spans="1:6" s="1087" customFormat="1" ht="24">
      <c r="A76" s="1136">
        <v>16</v>
      </c>
      <c r="B76" s="3592" t="s">
        <v>1522</v>
      </c>
      <c r="C76" s="1050" t="s">
        <v>1523</v>
      </c>
      <c r="D76" s="1050" t="s">
        <v>1524</v>
      </c>
      <c r="E76" s="1121">
        <v>0.5</v>
      </c>
      <c r="F76" s="1136">
        <v>80</v>
      </c>
    </row>
    <row r="77" spans="1:6" s="1087" customFormat="1" ht="24">
      <c r="A77" s="1136">
        <v>17</v>
      </c>
      <c r="B77" s="3592"/>
      <c r="C77" s="1050" t="s">
        <v>1525</v>
      </c>
      <c r="D77" s="1050" t="s">
        <v>1526</v>
      </c>
      <c r="E77" s="1121">
        <v>0.5</v>
      </c>
      <c r="F77" s="1136">
        <v>80</v>
      </c>
    </row>
    <row r="78" spans="1:6" s="1087" customFormat="1" ht="24">
      <c r="A78" s="1136">
        <v>18</v>
      </c>
      <c r="B78" s="3592"/>
      <c r="C78" s="1050" t="s">
        <v>1527</v>
      </c>
      <c r="D78" s="1050" t="s">
        <v>1528</v>
      </c>
      <c r="E78" s="1121">
        <v>0.2</v>
      </c>
      <c r="F78" s="1136">
        <v>30</v>
      </c>
    </row>
    <row r="79" spans="1:6" s="1087" customFormat="1" ht="24">
      <c r="A79" s="1136">
        <v>19</v>
      </c>
      <c r="B79" s="3592"/>
      <c r="C79" s="1050" t="s">
        <v>1529</v>
      </c>
      <c r="D79" s="1050" t="s">
        <v>1530</v>
      </c>
      <c r="E79" s="1121">
        <v>0.5</v>
      </c>
      <c r="F79" s="1136">
        <v>80</v>
      </c>
    </row>
    <row r="80" spans="1:6" s="1087" customFormat="1" ht="36">
      <c r="A80" s="1136">
        <v>20</v>
      </c>
      <c r="B80" s="3592"/>
      <c r="C80" s="1050" t="s">
        <v>1531</v>
      </c>
      <c r="D80" s="1050" t="s">
        <v>1532</v>
      </c>
      <c r="E80" s="1121">
        <v>0.2</v>
      </c>
      <c r="F80" s="1136">
        <v>30</v>
      </c>
    </row>
    <row r="81" spans="1:6" s="1087" customFormat="1" ht="36">
      <c r="A81" s="1136">
        <v>21</v>
      </c>
      <c r="B81" s="3592"/>
      <c r="C81" s="1050" t="s">
        <v>1533</v>
      </c>
      <c r="D81" s="1050" t="s">
        <v>1534</v>
      </c>
      <c r="E81" s="1121">
        <v>0.2</v>
      </c>
      <c r="F81" s="1136">
        <v>30</v>
      </c>
    </row>
    <row r="82" spans="1:6" s="1087" customFormat="1" ht="48">
      <c r="A82" s="1136">
        <v>22</v>
      </c>
      <c r="B82" s="3592"/>
      <c r="C82" s="1050" t="s">
        <v>1535</v>
      </c>
      <c r="D82" s="1050" t="s">
        <v>1536</v>
      </c>
      <c r="E82" s="1121">
        <v>0.2</v>
      </c>
      <c r="F82" s="1136">
        <v>30</v>
      </c>
    </row>
    <row r="83" spans="1:6" s="1087" customFormat="1" ht="48">
      <c r="A83" s="1136">
        <v>23</v>
      </c>
      <c r="B83" s="3592"/>
      <c r="C83" s="1050" t="s">
        <v>1537</v>
      </c>
      <c r="D83" s="1050" t="s">
        <v>1538</v>
      </c>
      <c r="E83" s="1121">
        <v>0.2</v>
      </c>
      <c r="F83" s="1136">
        <v>30</v>
      </c>
    </row>
    <row r="84" spans="1:6" s="1087" customFormat="1" ht="36">
      <c r="A84" s="1136">
        <v>24</v>
      </c>
      <c r="B84" s="3592"/>
      <c r="C84" s="1050" t="s">
        <v>1539</v>
      </c>
      <c r="D84" s="1050" t="s">
        <v>1540</v>
      </c>
      <c r="E84" s="1121">
        <v>0.2</v>
      </c>
      <c r="F84" s="1136">
        <v>30</v>
      </c>
    </row>
    <row r="85" spans="1:6" s="1087" customFormat="1" ht="36">
      <c r="A85" s="1136">
        <v>25</v>
      </c>
      <c r="B85" s="3592"/>
      <c r="C85" s="1050" t="s">
        <v>1541</v>
      </c>
      <c r="D85" s="1050" t="s">
        <v>1542</v>
      </c>
      <c r="E85" s="1121">
        <v>0.5</v>
      </c>
      <c r="F85" s="1136">
        <v>80</v>
      </c>
    </row>
    <row r="86" spans="1:6" s="1087" customFormat="1" ht="36">
      <c r="A86" s="1136">
        <v>26</v>
      </c>
      <c r="B86" s="3592"/>
      <c r="C86" s="1050" t="s">
        <v>1543</v>
      </c>
      <c r="D86" s="1050" t="s">
        <v>1544</v>
      </c>
      <c r="E86" s="1121">
        <v>0.2</v>
      </c>
      <c r="F86" s="1136">
        <v>30</v>
      </c>
    </row>
    <row r="87" spans="1:6" s="1087" customFormat="1" ht="36">
      <c r="A87" s="1136">
        <v>27</v>
      </c>
      <c r="B87" s="3592"/>
      <c r="C87" s="1050" t="s">
        <v>1545</v>
      </c>
      <c r="D87" s="1050" t="s">
        <v>1546</v>
      </c>
      <c r="E87" s="1121">
        <v>0.2</v>
      </c>
      <c r="F87" s="1136">
        <v>30</v>
      </c>
    </row>
    <row r="88" spans="1:6" s="1087" customFormat="1" ht="36">
      <c r="A88" s="1136">
        <v>28</v>
      </c>
      <c r="B88" s="3592"/>
      <c r="C88" s="1050" t="s">
        <v>1547</v>
      </c>
      <c r="D88" s="1050" t="s">
        <v>1548</v>
      </c>
      <c r="E88" s="1121">
        <v>0.2</v>
      </c>
      <c r="F88" s="1136">
        <v>30</v>
      </c>
    </row>
    <row r="89" spans="1:6" s="1087" customFormat="1" ht="24">
      <c r="A89" s="1136">
        <v>29</v>
      </c>
      <c r="B89" s="3592"/>
      <c r="C89" s="1050" t="s">
        <v>1549</v>
      </c>
      <c r="D89" s="1050" t="s">
        <v>1550</v>
      </c>
      <c r="E89" s="1121">
        <v>0.2</v>
      </c>
      <c r="F89" s="1136">
        <v>30</v>
      </c>
    </row>
    <row r="90" spans="1:6" s="1087" customFormat="1" ht="24">
      <c r="A90" s="1136">
        <v>30</v>
      </c>
      <c r="B90" s="3592"/>
      <c r="C90" s="1050" t="s">
        <v>1551</v>
      </c>
      <c r="D90" s="1050" t="s">
        <v>1552</v>
      </c>
      <c r="E90" s="1121">
        <v>0.2</v>
      </c>
      <c r="F90" s="1136">
        <v>30</v>
      </c>
    </row>
    <row r="91" spans="1:6" s="1087" customFormat="1" ht="36">
      <c r="A91" s="1136">
        <v>31</v>
      </c>
      <c r="B91" s="3592"/>
      <c r="C91" s="1050" t="s">
        <v>1553</v>
      </c>
      <c r="D91" s="1050" t="s">
        <v>1554</v>
      </c>
      <c r="E91" s="1121">
        <v>0.2</v>
      </c>
      <c r="F91" s="1136">
        <v>30</v>
      </c>
    </row>
    <row r="92" spans="1:6" s="1087" customFormat="1" ht="24">
      <c r="A92" s="1136">
        <v>32</v>
      </c>
      <c r="B92" s="3592" t="s">
        <v>1555</v>
      </c>
      <c r="C92" s="1136" t="s">
        <v>1556</v>
      </c>
      <c r="D92" s="1050" t="s">
        <v>1557</v>
      </c>
      <c r="E92" s="1121">
        <v>0.2</v>
      </c>
      <c r="F92" s="1136">
        <v>30</v>
      </c>
    </row>
    <row r="93" spans="1:6" s="1087" customFormat="1" ht="36">
      <c r="A93" s="1136">
        <v>33</v>
      </c>
      <c r="B93" s="3592"/>
      <c r="C93" s="1136" t="s">
        <v>1558</v>
      </c>
      <c r="D93" s="1050" t="s">
        <v>1559</v>
      </c>
      <c r="E93" s="1121">
        <v>0.2</v>
      </c>
      <c r="F93" s="1136">
        <v>30</v>
      </c>
    </row>
    <row r="94" spans="1:6" s="1087" customFormat="1" ht="48">
      <c r="A94" s="1136">
        <v>34</v>
      </c>
      <c r="B94" s="3592"/>
      <c r="C94" s="1136" t="s">
        <v>1560</v>
      </c>
      <c r="D94" s="1050" t="s">
        <v>1561</v>
      </c>
      <c r="E94" s="1121">
        <v>0.2</v>
      </c>
      <c r="F94" s="1136">
        <v>30</v>
      </c>
    </row>
    <row r="95" spans="1:6" s="1087" customFormat="1" ht="36">
      <c r="A95" s="1136">
        <v>35</v>
      </c>
      <c r="B95" s="3592"/>
      <c r="C95" s="1136" t="s">
        <v>1562</v>
      </c>
      <c r="D95" s="1050" t="s">
        <v>1563</v>
      </c>
      <c r="E95" s="1121">
        <v>0.2</v>
      </c>
      <c r="F95" s="1136">
        <v>30</v>
      </c>
    </row>
    <row r="96" spans="1:6" s="1087" customFormat="1" ht="48">
      <c r="A96" s="1136">
        <v>36</v>
      </c>
      <c r="B96" s="3592"/>
      <c r="C96" s="1050" t="s">
        <v>1564</v>
      </c>
      <c r="D96" s="1050" t="s">
        <v>1565</v>
      </c>
      <c r="E96" s="1121">
        <v>0.2</v>
      </c>
      <c r="F96" s="1136">
        <v>30</v>
      </c>
    </row>
    <row r="97" spans="1:6" s="1087" customFormat="1" ht="36">
      <c r="A97" s="1136">
        <v>37</v>
      </c>
      <c r="B97" s="3592"/>
      <c r="C97" s="1136" t="s">
        <v>1566</v>
      </c>
      <c r="D97" s="1050" t="s">
        <v>1567</v>
      </c>
      <c r="E97" s="1121">
        <v>0.2</v>
      </c>
      <c r="F97" s="1136">
        <v>30</v>
      </c>
    </row>
    <row r="98" spans="1:6" s="1087" customFormat="1" ht="36">
      <c r="A98" s="1136">
        <v>38</v>
      </c>
      <c r="B98" s="3592"/>
      <c r="C98" s="1136" t="s">
        <v>1568</v>
      </c>
      <c r="D98" s="1050" t="s">
        <v>1569</v>
      </c>
      <c r="E98" s="1121">
        <v>0.2</v>
      </c>
      <c r="F98" s="1136">
        <v>30</v>
      </c>
    </row>
    <row r="99" spans="1:6" s="1087" customFormat="1" ht="36">
      <c r="A99" s="1136">
        <v>39</v>
      </c>
      <c r="B99" s="3592" t="s">
        <v>1570</v>
      </c>
      <c r="C99" s="1136" t="s">
        <v>1571</v>
      </c>
      <c r="D99" s="1050" t="s">
        <v>1572</v>
      </c>
      <c r="E99" s="1121">
        <v>0.3</v>
      </c>
      <c r="F99" s="1136">
        <v>50</v>
      </c>
    </row>
    <row r="100" spans="1:6" s="1087" customFormat="1" ht="24">
      <c r="A100" s="1136">
        <v>40</v>
      </c>
      <c r="B100" s="3592"/>
      <c r="C100" s="1136" t="s">
        <v>1573</v>
      </c>
      <c r="D100" s="1050" t="s">
        <v>1574</v>
      </c>
      <c r="E100" s="1121">
        <v>0.2</v>
      </c>
      <c r="F100" s="1136">
        <v>30</v>
      </c>
    </row>
    <row r="101" spans="1:6" s="1087" customFormat="1" ht="36">
      <c r="A101" s="1136">
        <v>41</v>
      </c>
      <c r="B101" s="3592"/>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92" t="s">
        <v>1585</v>
      </c>
      <c r="C105" s="1136" t="s">
        <v>1586</v>
      </c>
      <c r="D105" s="1050" t="s">
        <v>1587</v>
      </c>
      <c r="E105" s="1121">
        <v>0.2</v>
      </c>
      <c r="F105" s="1136">
        <v>30</v>
      </c>
    </row>
    <row r="106" spans="1:6" s="1087" customFormat="1" ht="36">
      <c r="A106" s="1136">
        <v>46</v>
      </c>
      <c r="B106" s="3592"/>
      <c r="C106" s="1136" t="s">
        <v>1588</v>
      </c>
      <c r="D106" s="1050" t="s">
        <v>1589</v>
      </c>
      <c r="E106" s="1121">
        <v>0.2</v>
      </c>
      <c r="F106" s="1136">
        <v>30</v>
      </c>
    </row>
    <row r="107" spans="1:6" s="1087" customFormat="1" ht="36">
      <c r="A107" s="1136">
        <v>47</v>
      </c>
      <c r="B107" s="3592" t="s">
        <v>1590</v>
      </c>
      <c r="C107" s="1136" t="s">
        <v>1591</v>
      </c>
      <c r="D107" s="1050" t="s">
        <v>1592</v>
      </c>
      <c r="E107" s="1121">
        <v>0.3</v>
      </c>
      <c r="F107" s="1136">
        <v>50</v>
      </c>
    </row>
    <row r="108" spans="1:6" s="1087" customFormat="1" ht="36">
      <c r="A108" s="1136">
        <v>48</v>
      </c>
      <c r="B108" s="3592"/>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92" t="s">
        <v>1601</v>
      </c>
      <c r="C111" s="1136" t="s">
        <v>1602</v>
      </c>
      <c r="D111" s="1050" t="s">
        <v>1603</v>
      </c>
      <c r="E111" s="1121">
        <v>0.2</v>
      </c>
      <c r="F111" s="1136">
        <v>30</v>
      </c>
    </row>
    <row r="112" spans="1:6" s="1087" customFormat="1" ht="24">
      <c r="A112" s="1136">
        <v>52</v>
      </c>
      <c r="B112" s="3592"/>
      <c r="C112" s="1136" t="s">
        <v>1604</v>
      </c>
      <c r="D112" s="1050" t="s">
        <v>1605</v>
      </c>
      <c r="E112" s="1121">
        <v>0.2</v>
      </c>
      <c r="F112" s="1136">
        <v>30</v>
      </c>
    </row>
    <row r="113" spans="1:14" s="1087" customFormat="1" ht="24">
      <c r="A113" s="1136">
        <v>53</v>
      </c>
      <c r="B113" s="3592"/>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92" t="s">
        <v>1614</v>
      </c>
      <c r="C116" s="1136" t="s">
        <v>1615</v>
      </c>
      <c r="D116" s="1050" t="s">
        <v>1616</v>
      </c>
      <c r="E116" s="1121">
        <v>0.2</v>
      </c>
      <c r="F116" s="1136">
        <v>30</v>
      </c>
    </row>
    <row r="117" spans="1:14" ht="36">
      <c r="A117" s="1136">
        <v>57</v>
      </c>
      <c r="B117" s="3592"/>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91" t="s">
        <v>1623</v>
      </c>
      <c r="B121" s="3591"/>
      <c r="C121" s="3591"/>
      <c r="D121" s="3591"/>
      <c r="E121" s="3591"/>
      <c r="F121" s="3591"/>
      <c r="G121" s="3591"/>
      <c r="H121" s="3591"/>
      <c r="I121" s="3591"/>
      <c r="J121" s="359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3" t="s">
        <v>1029</v>
      </c>
      <c r="B1" s="3593"/>
      <c r="C1" s="3593"/>
      <c r="D1" s="3593"/>
      <c r="E1" s="3593"/>
      <c r="F1" s="3593"/>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94" t="s">
        <v>1042</v>
      </c>
      <c r="B2" s="3594"/>
      <c r="C2" s="3594"/>
      <c r="D2" s="3594"/>
      <c r="E2" s="3594"/>
      <c r="F2" s="3594"/>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95"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96"/>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7" t="s">
        <v>2067</v>
      </c>
      <c r="B1" s="3597"/>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5" t="s">
        <v>2555</v>
      </c>
      <c r="C1" s="3605"/>
      <c r="D1" s="3605"/>
      <c r="E1" s="3605"/>
      <c r="F1" s="3605"/>
      <c r="G1" s="3604" t="s">
        <v>2556</v>
      </c>
      <c r="H1" s="3604"/>
      <c r="I1" s="3604"/>
      <c r="J1" s="3604"/>
      <c r="K1" s="3604"/>
      <c r="L1" s="3604"/>
      <c r="N1" s="3604" t="s">
        <v>2557</v>
      </c>
      <c r="O1" s="3604"/>
      <c r="P1" s="3604"/>
      <c r="Q1" s="3604"/>
      <c r="S1" s="3604" t="s">
        <v>2558</v>
      </c>
      <c r="T1" s="3604"/>
      <c r="U1" s="3604"/>
      <c r="V1" s="3604"/>
      <c r="X1" s="3603" t="s">
        <v>2618</v>
      </c>
      <c r="Y1" s="3604"/>
      <c r="Z1" s="3604"/>
      <c r="AA1" s="3604"/>
      <c r="AB1" s="3604"/>
      <c r="AD1" s="3603" t="s">
        <v>2622</v>
      </c>
      <c r="AE1" s="3604"/>
      <c r="AF1" s="3604"/>
      <c r="AG1" s="3604"/>
      <c r="AH1" s="3604"/>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599">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599"/>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599"/>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00"/>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598">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599"/>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599"/>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00"/>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598">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599"/>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599"/>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02"/>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1">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599"/>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599"/>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02"/>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1">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599"/>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599"/>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02"/>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06">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07"/>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07"/>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08"/>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1">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599"/>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599"/>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02"/>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1">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599">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599">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02">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1">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599">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599">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02">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1">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599">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599">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02">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1">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599">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599">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02">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1">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599">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599">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02">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1">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599">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599">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02">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1">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599">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599">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02">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1">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599">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599">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02">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1">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599">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599">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02">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1">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599">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599">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02">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0" t="s">
        <v>2443</v>
      </c>
      <c r="C8" s="1740">
        <f ca="1">ROUND(F8*F10*F9*(1-F11)/10000,0)</f>
        <v>0</v>
      </c>
      <c r="D8" s="1737" t="s">
        <v>2514</v>
      </c>
      <c r="E8" s="61" t="s">
        <v>631</v>
      </c>
      <c r="F8" s="775">
        <f ca="1">INDIRECT("'数据-取费表'!u"&amp;$G$1)</f>
        <v>0</v>
      </c>
      <c r="G8" s="1526"/>
      <c r="H8" s="2357" t="s">
        <v>1814</v>
      </c>
      <c r="I8" s="3610" t="s">
        <v>2443</v>
      </c>
      <c r="J8" s="773">
        <f ca="1">ROUND(M8*M10*M9*(1-M11)/10000,0)</f>
        <v>0</v>
      </c>
      <c r="K8" s="339" t="s">
        <v>2514</v>
      </c>
      <c r="L8" s="774" t="s">
        <v>1728</v>
      </c>
      <c r="M8" s="775">
        <f ca="1">INDIRECT("'数据-取费表'!z"&amp;$G$1)</f>
        <v>0</v>
      </c>
    </row>
    <row r="9" spans="1:25" ht="18" customHeight="1">
      <c r="A9" s="2353"/>
      <c r="B9" s="3611"/>
      <c r="C9" s="1741"/>
      <c r="D9" s="1738"/>
      <c r="E9" s="61" t="s">
        <v>632</v>
      </c>
      <c r="F9" s="775">
        <f ca="1">IF(INDIRECT("'数据-取费表'!ah"&amp;$G$1)="",INDIRECT("'数据-取费表'!k"&amp;$G$1),INDIRECT("'数据-取费表'!ah"&amp;$G$1))</f>
        <v>0</v>
      </c>
      <c r="G9" s="1526"/>
      <c r="H9" s="2342"/>
      <c r="I9" s="3611"/>
      <c r="J9" s="778"/>
      <c r="K9" s="779"/>
      <c r="L9" s="774" t="s">
        <v>1729</v>
      </c>
      <c r="M9" s="775">
        <f ca="1">F9</f>
        <v>0</v>
      </c>
    </row>
    <row r="10" spans="1:25" ht="18" customHeight="1">
      <c r="A10" s="2346"/>
      <c r="B10" s="3612"/>
      <c r="C10" s="1741"/>
      <c r="D10" s="1738"/>
      <c r="E10" s="61" t="s">
        <v>633</v>
      </c>
      <c r="F10" s="775">
        <f ca="1">INDIRECT("'数据-取费表'!ai"&amp;$G$1)</f>
        <v>0</v>
      </c>
      <c r="G10" s="1526"/>
      <c r="H10" s="2342"/>
      <c r="I10" s="3612"/>
      <c r="J10" s="778"/>
      <c r="K10" s="779"/>
      <c r="L10" s="774" t="s">
        <v>1730</v>
      </c>
      <c r="M10" s="775">
        <f ca="1">INDIRECT("'数据-取费表'!ai"&amp;$G$1)</f>
        <v>0</v>
      </c>
    </row>
    <row r="11" spans="1:25" ht="18" customHeight="1">
      <c r="A11" s="776"/>
      <c r="B11" s="3613"/>
      <c r="C11" s="1741"/>
      <c r="D11" s="1738"/>
      <c r="E11" s="61" t="s">
        <v>634</v>
      </c>
      <c r="F11" s="784">
        <f ca="1">INDIRECT("'数据-取费表'!w"&amp;$G$1)</f>
        <v>0</v>
      </c>
      <c r="G11" s="1526"/>
      <c r="H11" s="2358"/>
      <c r="I11" s="3612"/>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09"/>
      <c r="J36" s="1962"/>
      <c r="K36" s="1963"/>
      <c r="L36" s="1962"/>
      <c r="M36" s="1962"/>
    </row>
    <row r="37" spans="1:18" ht="18" customHeight="1">
      <c r="A37" s="804"/>
      <c r="B37" s="783"/>
      <c r="C37" s="69"/>
      <c r="D37" s="805"/>
      <c r="E37" s="774" t="s">
        <v>668</v>
      </c>
      <c r="F37" s="775">
        <f ca="1">INDIRECT("'数据-取费表'!r"&amp;$G$1)</f>
        <v>0</v>
      </c>
      <c r="G37" s="1945"/>
      <c r="H37" s="1948"/>
      <c r="I37" s="3609"/>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14"/>
      <c r="L54" s="3615"/>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0" t="s">
        <v>2443</v>
      </c>
      <c r="C6" s="773">
        <f ca="1">ROUND(F6*F8*F7*(1-F9)/10000,0)</f>
        <v>0</v>
      </c>
      <c r="D6" s="2350" t="s">
        <v>2442</v>
      </c>
      <c r="E6" s="774" t="s">
        <v>1728</v>
      </c>
      <c r="F6" s="775">
        <f ca="1">INDIRECT("'数据-取费表'!u"&amp;$G$1)</f>
        <v>0</v>
      </c>
      <c r="G6" s="1945"/>
      <c r="H6" s="2357" t="s">
        <v>2448</v>
      </c>
      <c r="I6" s="3610" t="s">
        <v>2443</v>
      </c>
      <c r="J6" s="773">
        <f ca="1">ROUND(M6*M8*M7*(1-M9)/10000,0)</f>
        <v>0</v>
      </c>
      <c r="K6" s="339" t="s">
        <v>1727</v>
      </c>
      <c r="L6" s="774" t="s">
        <v>1728</v>
      </c>
      <c r="M6" s="775">
        <f ca="1">INDIRECT("'数据-取费表'!z"&amp;$G$1)</f>
        <v>0</v>
      </c>
    </row>
    <row r="7" spans="1:33" ht="18" customHeight="1">
      <c r="A7" s="2353"/>
      <c r="B7" s="3611"/>
      <c r="C7" s="778"/>
      <c r="D7" s="779"/>
      <c r="E7" s="774" t="s">
        <v>1729</v>
      </c>
      <c r="F7" s="775">
        <f ca="1">IF(INDIRECT("'数据-取费表'!ah"&amp;$G$1)="",INDIRECT("'数据-取费表'!k"&amp;$G$1),INDIRECT("'数据-取费表'!ah"&amp;$G$1))</f>
        <v>0</v>
      </c>
      <c r="G7" s="1945"/>
      <c r="H7" s="2342"/>
      <c r="I7" s="3611"/>
      <c r="J7" s="778"/>
      <c r="K7" s="779"/>
      <c r="L7" s="774" t="s">
        <v>1729</v>
      </c>
      <c r="M7" s="775">
        <f ca="1">F7</f>
        <v>0</v>
      </c>
    </row>
    <row r="8" spans="1:33" ht="18" customHeight="1">
      <c r="A8" s="2346"/>
      <c r="B8" s="3612"/>
      <c r="C8" s="778"/>
      <c r="D8" s="779"/>
      <c r="E8" s="774" t="s">
        <v>1730</v>
      </c>
      <c r="F8" s="775">
        <f ca="1">INDIRECT("'数据-取费表'!ai"&amp;$G$1)</f>
        <v>0</v>
      </c>
      <c r="G8" s="1945"/>
      <c r="H8" s="2342"/>
      <c r="I8" s="3612"/>
      <c r="J8" s="778"/>
      <c r="K8" s="779"/>
      <c r="L8" s="774" t="s">
        <v>1730</v>
      </c>
      <c r="M8" s="775">
        <f ca="1">INDIRECT("'数据-取费表'!ai"&amp;$G$1)</f>
        <v>0</v>
      </c>
    </row>
    <row r="9" spans="1:33" ht="18" customHeight="1">
      <c r="A9" s="776"/>
      <c r="B9" s="3613"/>
      <c r="C9" s="778"/>
      <c r="D9" s="779"/>
      <c r="E9" s="774" t="s">
        <v>1731</v>
      </c>
      <c r="F9" s="784">
        <f ca="1">INDIRECT("'数据-取费表'!w"&amp;$G$1)</f>
        <v>0</v>
      </c>
      <c r="G9" s="1945"/>
      <c r="H9" s="2358"/>
      <c r="I9" s="3612"/>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16" t="s">
        <v>2925</v>
      </c>
      <c r="L53" s="3617"/>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8" t="s">
        <v>2451</v>
      </c>
      <c r="B1" s="3619"/>
      <c r="C1" s="3620"/>
      <c r="D1" s="3621">
        <f>SUM(I10,I15,I20,I21,I23)</f>
        <v>0</v>
      </c>
      <c r="E1" s="3621"/>
      <c r="F1" s="3621"/>
      <c r="G1" s="3621"/>
      <c r="H1" s="3621"/>
      <c r="I1" s="3622"/>
    </row>
    <row r="2" spans="1:9">
      <c r="A2" s="3623" t="s">
        <v>2452</v>
      </c>
      <c r="B2" s="3624" t="s">
        <v>2453</v>
      </c>
      <c r="C2" s="3624"/>
      <c r="D2" s="2360" t="s">
        <v>2454</v>
      </c>
      <c r="E2" s="2360" t="s">
        <v>2455</v>
      </c>
      <c r="F2" s="2360" t="s">
        <v>2456</v>
      </c>
      <c r="G2" s="2360" t="s">
        <v>2457</v>
      </c>
      <c r="H2" s="2360" t="s">
        <v>2458</v>
      </c>
      <c r="I2" s="2361" t="s">
        <v>2459</v>
      </c>
    </row>
    <row r="3" spans="1:9">
      <c r="A3" s="3623"/>
      <c r="B3" s="3624" t="s">
        <v>2460</v>
      </c>
      <c r="C3" s="3624"/>
      <c r="D3" s="2362"/>
      <c r="E3" s="2360"/>
      <c r="F3" s="2363"/>
      <c r="G3" s="2363"/>
      <c r="H3" s="2364"/>
      <c r="I3" s="2365">
        <f>ROUND(D3*E3*F3*G3*H3/10000,0)</f>
        <v>0</v>
      </c>
    </row>
    <row r="4" spans="1:9">
      <c r="A4" s="3623"/>
      <c r="B4" s="3624" t="s">
        <v>2461</v>
      </c>
      <c r="C4" s="3624"/>
      <c r="D4" s="2362"/>
      <c r="E4" s="2360"/>
      <c r="F4" s="2363"/>
      <c r="G4" s="2363"/>
      <c r="H4" s="2364"/>
      <c r="I4" s="2365">
        <f t="shared" ref="I4:I9" si="0">ROUND(D4*E4*F4*G4*H4/10000,0)</f>
        <v>0</v>
      </c>
    </row>
    <row r="5" spans="1:9">
      <c r="A5" s="3623"/>
      <c r="B5" s="3624" t="s">
        <v>2462</v>
      </c>
      <c r="C5" s="3624"/>
      <c r="D5" s="2362"/>
      <c r="E5" s="2360"/>
      <c r="F5" s="2363"/>
      <c r="G5" s="2363"/>
      <c r="H5" s="2364"/>
      <c r="I5" s="2365">
        <f t="shared" si="0"/>
        <v>0</v>
      </c>
    </row>
    <row r="6" spans="1:9">
      <c r="A6" s="3623"/>
      <c r="B6" s="3624" t="s">
        <v>2463</v>
      </c>
      <c r="C6" s="3624"/>
      <c r="D6" s="2362"/>
      <c r="E6" s="2360"/>
      <c r="F6" s="2363"/>
      <c r="G6" s="2363"/>
      <c r="H6" s="2364"/>
      <c r="I6" s="2365">
        <f t="shared" si="0"/>
        <v>0</v>
      </c>
    </row>
    <row r="7" spans="1:9">
      <c r="A7" s="3623"/>
      <c r="B7" s="3624" t="s">
        <v>2464</v>
      </c>
      <c r="C7" s="3624"/>
      <c r="D7" s="2362"/>
      <c r="E7" s="2360"/>
      <c r="F7" s="2363"/>
      <c r="G7" s="2363"/>
      <c r="H7" s="2364"/>
      <c r="I7" s="2365">
        <f t="shared" si="0"/>
        <v>0</v>
      </c>
    </row>
    <row r="8" spans="1:9">
      <c r="A8" s="3623"/>
      <c r="B8" s="3624" t="s">
        <v>2465</v>
      </c>
      <c r="C8" s="3624"/>
      <c r="D8" s="2362"/>
      <c r="E8" s="2360"/>
      <c r="F8" s="2363"/>
      <c r="G8" s="2363"/>
      <c r="H8" s="2364"/>
      <c r="I8" s="2365">
        <f t="shared" si="0"/>
        <v>0</v>
      </c>
    </row>
    <row r="9" spans="1:9">
      <c r="A9" s="3623"/>
      <c r="B9" s="3624" t="s">
        <v>2466</v>
      </c>
      <c r="C9" s="3624"/>
      <c r="D9" s="2362"/>
      <c r="E9" s="2360"/>
      <c r="F9" s="2363"/>
      <c r="G9" s="2363"/>
      <c r="H9" s="2364"/>
      <c r="I9" s="2365">
        <f t="shared" si="0"/>
        <v>0</v>
      </c>
    </row>
    <row r="10" spans="1:9">
      <c r="A10" s="3623"/>
      <c r="B10" s="3625" t="s">
        <v>2467</v>
      </c>
      <c r="C10" s="3625"/>
      <c r="D10" s="2366">
        <v>527</v>
      </c>
      <c r="E10" s="2366" t="e">
        <f>ROUND(D1*10000/D10/H9,0)</f>
        <v>#DIV/0!</v>
      </c>
      <c r="F10" s="2367"/>
      <c r="G10" s="2367"/>
      <c r="H10" s="2368"/>
      <c r="I10" s="2369">
        <f>SUM(I3:I9)</f>
        <v>0</v>
      </c>
    </row>
    <row r="11" spans="1:9" ht="14.25">
      <c r="A11" s="3623" t="s">
        <v>2468</v>
      </c>
      <c r="B11" s="3624" t="s">
        <v>2469</v>
      </c>
      <c r="C11" s="3624"/>
      <c r="D11" s="2362" t="s">
        <v>2470</v>
      </c>
      <c r="E11" s="2362" t="s">
        <v>2471</v>
      </c>
      <c r="F11" s="2363" t="s">
        <v>2472</v>
      </c>
      <c r="G11" s="2363" t="s">
        <v>2473</v>
      </c>
      <c r="H11" s="2370" t="s">
        <v>2474</v>
      </c>
      <c r="I11" s="2361" t="s">
        <v>2475</v>
      </c>
    </row>
    <row r="12" spans="1:9">
      <c r="A12" s="3623"/>
      <c r="B12" s="3624" t="s">
        <v>2476</v>
      </c>
      <c r="C12" s="3624"/>
      <c r="D12" s="2362"/>
      <c r="E12" s="2362"/>
      <c r="F12" s="2363"/>
      <c r="G12" s="2364"/>
      <c r="H12" s="2371"/>
      <c r="I12" s="2361">
        <f>ROUND(D12*E12*F12*G12/10000,0)</f>
        <v>0</v>
      </c>
    </row>
    <row r="13" spans="1:9">
      <c r="A13" s="3623"/>
      <c r="B13" s="3624" t="s">
        <v>2477</v>
      </c>
      <c r="C13" s="3624"/>
      <c r="D13" s="2362"/>
      <c r="E13" s="2362"/>
      <c r="F13" s="2363"/>
      <c r="G13" s="2364"/>
      <c r="H13" s="2371"/>
      <c r="I13" s="2361">
        <f>ROUND(D13*E13*F13*G13/10000,0)</f>
        <v>0</v>
      </c>
    </row>
    <row r="14" spans="1:9">
      <c r="A14" s="3623"/>
      <c r="B14" s="3624" t="s">
        <v>2478</v>
      </c>
      <c r="C14" s="3624"/>
      <c r="D14" s="2362"/>
      <c r="E14" s="2362"/>
      <c r="F14" s="2363"/>
      <c r="G14" s="2364"/>
      <c r="H14" s="2371"/>
      <c r="I14" s="2361">
        <f>ROUND(D14*E14*F14*G14/10000,0)</f>
        <v>0</v>
      </c>
    </row>
    <row r="15" spans="1:9">
      <c r="A15" s="3623"/>
      <c r="B15" s="3625" t="s">
        <v>2467</v>
      </c>
      <c r="C15" s="3625"/>
      <c r="D15" s="2366"/>
      <c r="E15" s="2366">
        <f>SUM(E12:E14)</f>
        <v>0</v>
      </c>
      <c r="F15" s="2367"/>
      <c r="G15" s="2364"/>
      <c r="H15" s="2371"/>
      <c r="I15" s="2372">
        <f>SUM(I12:I14)</f>
        <v>0</v>
      </c>
    </row>
    <row r="16" spans="1:9" ht="24">
      <c r="A16" s="3623" t="s">
        <v>2479</v>
      </c>
      <c r="B16" s="3624" t="s">
        <v>2480</v>
      </c>
      <c r="C16" s="3624"/>
      <c r="D16" s="2362" t="s">
        <v>2481</v>
      </c>
      <c r="E16" s="2373" t="s">
        <v>2482</v>
      </c>
      <c r="F16" s="2363" t="s">
        <v>2483</v>
      </c>
      <c r="G16" s="2364" t="s">
        <v>2473</v>
      </c>
      <c r="H16" s="2370" t="s">
        <v>2474</v>
      </c>
      <c r="I16" s="2361" t="s">
        <v>2475</v>
      </c>
    </row>
    <row r="17" spans="1:9" ht="14.25">
      <c r="A17" s="3623"/>
      <c r="B17" s="3624" t="s">
        <v>2484</v>
      </c>
      <c r="C17" s="3624"/>
      <c r="D17" s="2362"/>
      <c r="E17" s="2362"/>
      <c r="F17" s="2363"/>
      <c r="G17" s="2364"/>
      <c r="H17" s="2374"/>
      <c r="I17" s="2375">
        <f>ROUND(D17*E17*F17*G17/10000,0)</f>
        <v>0</v>
      </c>
    </row>
    <row r="18" spans="1:9" ht="14.25">
      <c r="A18" s="3623"/>
      <c r="B18" s="3624" t="s">
        <v>2485</v>
      </c>
      <c r="C18" s="3624"/>
      <c r="D18" s="2362"/>
      <c r="E18" s="2362"/>
      <c r="F18" s="2363"/>
      <c r="G18" s="2364"/>
      <c r="H18" s="2374"/>
      <c r="I18" s="2375">
        <f>ROUND(D18*E18*F18*G18/10000,0)</f>
        <v>0</v>
      </c>
    </row>
    <row r="19" spans="1:9" ht="14.25">
      <c r="A19" s="3623"/>
      <c r="B19" s="3624" t="s">
        <v>2486</v>
      </c>
      <c r="C19" s="3624"/>
      <c r="D19" s="2362"/>
      <c r="E19" s="2362"/>
      <c r="F19" s="2363"/>
      <c r="G19" s="2364"/>
      <c r="H19" s="2374"/>
      <c r="I19" s="2375">
        <f>ROUND(D19*E19*F19*G19/10000,0)</f>
        <v>0</v>
      </c>
    </row>
    <row r="20" spans="1:9">
      <c r="A20" s="3623"/>
      <c r="B20" s="3625" t="s">
        <v>2467</v>
      </c>
      <c r="C20" s="3625"/>
      <c r="D20" s="2366">
        <f>SUM(D17:D19)</f>
        <v>0</v>
      </c>
      <c r="E20" s="2366"/>
      <c r="F20" s="2367"/>
      <c r="G20" s="2364"/>
      <c r="H20" s="2371"/>
      <c r="I20" s="2372">
        <f>SUM(I17:I19)</f>
        <v>0</v>
      </c>
    </row>
    <row r="21" spans="1:9">
      <c r="A21" s="3623" t="s">
        <v>2487</v>
      </c>
      <c r="B21" s="3627"/>
      <c r="C21" s="3627"/>
      <c r="D21" s="3627"/>
      <c r="E21" s="3627"/>
      <c r="F21" s="3627"/>
      <c r="G21" s="3627"/>
      <c r="H21" s="2376">
        <v>0.1</v>
      </c>
      <c r="I21" s="2369">
        <f>ROUND(I10*H21,0)</f>
        <v>0</v>
      </c>
    </row>
    <row r="22" spans="1:9" ht="14.25">
      <c r="A22" s="3628" t="s">
        <v>2488</v>
      </c>
      <c r="B22" s="3629"/>
      <c r="C22" s="3630"/>
      <c r="D22" s="2377" t="s">
        <v>2489</v>
      </c>
      <c r="E22" s="2377" t="s">
        <v>2490</v>
      </c>
      <c r="F22" s="2378" t="s">
        <v>2491</v>
      </c>
      <c r="G22" s="2378" t="s">
        <v>2492</v>
      </c>
      <c r="H22" s="2370" t="s">
        <v>2493</v>
      </c>
      <c r="I22" s="2361" t="s">
        <v>2494</v>
      </c>
    </row>
    <row r="23" spans="1:9" ht="14.25" thickBot="1">
      <c r="A23" s="3631"/>
      <c r="B23" s="3632"/>
      <c r="C23" s="3633"/>
      <c r="D23" s="2379"/>
      <c r="E23" s="2379"/>
      <c r="F23" s="2379"/>
      <c r="G23" s="2380"/>
      <c r="H23" s="2381"/>
      <c r="I23" s="2382">
        <f>ROUND(E23*D23*F23*(1-G23)/10000,0)</f>
        <v>0</v>
      </c>
    </row>
    <row r="26" spans="1:9">
      <c r="A26" s="2383" t="s">
        <v>2495</v>
      </c>
      <c r="B26" s="2383"/>
      <c r="C26" s="2383"/>
      <c r="D26" s="2383"/>
      <c r="E26" s="3634">
        <f>C27-C30-C31-C32</f>
        <v>0</v>
      </c>
      <c r="F26" s="3634"/>
      <c r="G26" s="3634"/>
      <c r="H26" s="2756" t="s">
        <v>2821</v>
      </c>
    </row>
    <row r="27" spans="1:9">
      <c r="A27" s="2384">
        <v>1</v>
      </c>
      <c r="B27" s="2385" t="s">
        <v>2496</v>
      </c>
      <c r="C27" s="2385"/>
      <c r="D27" s="2385"/>
      <c r="E27" s="3635"/>
      <c r="F27" s="3635"/>
      <c r="G27" s="3635"/>
    </row>
    <row r="28" spans="1:9">
      <c r="A28" s="2386" t="s">
        <v>2497</v>
      </c>
      <c r="B28" s="2385" t="s">
        <v>2498</v>
      </c>
      <c r="C28" s="2385"/>
      <c r="D28" s="2385"/>
      <c r="E28" s="3635"/>
      <c r="F28" s="3635"/>
      <c r="G28" s="3635"/>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26"/>
      <c r="F32" s="3626"/>
      <c r="G32" s="3626"/>
    </row>
    <row r="33" spans="1:7" hidden="1">
      <c r="A33" s="3636" t="s">
        <v>2506</v>
      </c>
      <c r="B33" s="3637"/>
      <c r="C33" s="3637"/>
      <c r="D33" s="3638"/>
      <c r="E33" s="3634"/>
      <c r="F33" s="3634"/>
      <c r="G33" s="3634"/>
    </row>
    <row r="34" spans="1:7" hidden="1">
      <c r="A34" s="2388">
        <v>1</v>
      </c>
      <c r="B34" s="2385" t="s">
        <v>2507</v>
      </c>
      <c r="C34" s="2385"/>
      <c r="D34" s="2385"/>
      <c r="E34" s="3635"/>
      <c r="F34" s="3635"/>
      <c r="G34" s="3635"/>
    </row>
    <row r="35" spans="1:7" hidden="1">
      <c r="A35" s="2388">
        <v>2</v>
      </c>
      <c r="B35" s="2385" t="s">
        <v>2508</v>
      </c>
      <c r="C35" s="2385"/>
      <c r="D35" s="2385"/>
      <c r="E35" s="3635"/>
      <c r="F35" s="3635"/>
      <c r="G35" s="3635"/>
    </row>
    <row r="36" spans="1:7" hidden="1">
      <c r="A36" s="2388">
        <v>3</v>
      </c>
      <c r="B36" s="2385" t="s">
        <v>2509</v>
      </c>
      <c r="C36" s="2385"/>
      <c r="D36" s="2385"/>
      <c r="E36" s="3635"/>
      <c r="F36" s="3635"/>
      <c r="G36" s="3635"/>
    </row>
    <row r="37" spans="1:7" hidden="1">
      <c r="A37" s="2388">
        <v>4</v>
      </c>
      <c r="B37" s="2385" t="s">
        <v>2510</v>
      </c>
      <c r="C37" s="2385"/>
      <c r="D37" s="2385"/>
      <c r="E37" s="3635"/>
      <c r="F37" s="3635"/>
      <c r="G37" s="3635"/>
    </row>
    <row r="38" spans="1:7" hidden="1">
      <c r="A38" s="3636" t="s">
        <v>2511</v>
      </c>
      <c r="B38" s="3637"/>
      <c r="C38" s="3637"/>
      <c r="D38" s="3638"/>
      <c r="E38" s="3634"/>
      <c r="F38" s="3634"/>
      <c r="G38" s="36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48" sqref="M4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28" t="s">
        <v>516</v>
      </c>
      <c r="D4" s="3529"/>
      <c r="E4" s="3562" t="s">
        <v>517</v>
      </c>
      <c r="F4" s="3563"/>
      <c r="G4" s="3528" t="s">
        <v>518</v>
      </c>
      <c r="H4" s="3529"/>
      <c r="I4" s="3528" t="s">
        <v>519</v>
      </c>
      <c r="J4" s="3529"/>
      <c r="K4" s="842" t="s">
        <v>520</v>
      </c>
      <c r="L4" s="2015"/>
      <c r="M4" s="2016"/>
      <c r="N4" s="2016"/>
      <c r="O4" s="2016"/>
      <c r="P4" s="3530" t="s">
        <v>521</v>
      </c>
      <c r="Q4" s="3531"/>
      <c r="R4" s="3536" t="s">
        <v>517</v>
      </c>
      <c r="S4" s="3537"/>
      <c r="T4" s="3536" t="s">
        <v>518</v>
      </c>
      <c r="U4" s="3537"/>
      <c r="V4" s="3523" t="s">
        <v>519</v>
      </c>
      <c r="W4" s="3523"/>
      <c r="X4" s="1501"/>
      <c r="Y4" s="3536" t="s">
        <v>521</v>
      </c>
      <c r="Z4" s="3537"/>
      <c r="AA4" s="3525" t="s">
        <v>517</v>
      </c>
      <c r="AB4" s="3525" t="s">
        <v>518</v>
      </c>
      <c r="AC4" s="3525" t="s">
        <v>519</v>
      </c>
    </row>
    <row r="5" spans="1:29" ht="15">
      <c r="A5" s="509"/>
      <c r="B5" s="510"/>
      <c r="C5" s="3544" t="s">
        <v>2891</v>
      </c>
      <c r="D5" s="3545"/>
      <c r="E5" s="3643" t="s">
        <v>3140</v>
      </c>
      <c r="F5" s="3565"/>
      <c r="G5" s="3642" t="s">
        <v>3141</v>
      </c>
      <c r="H5" s="3545"/>
      <c r="I5" s="3642" t="s">
        <v>3142</v>
      </c>
      <c r="J5" s="3545"/>
      <c r="K5" s="843"/>
      <c r="L5" s="2015"/>
      <c r="M5" s="2016"/>
      <c r="N5" s="2016"/>
      <c r="O5" s="2016"/>
      <c r="P5" s="3532"/>
      <c r="Q5" s="3533"/>
      <c r="R5" s="3538"/>
      <c r="S5" s="3539"/>
      <c r="T5" s="3538"/>
      <c r="U5" s="3539"/>
      <c r="V5" s="3523"/>
      <c r="W5" s="3523"/>
      <c r="X5" s="1501"/>
      <c r="Y5" s="3538"/>
      <c r="Z5" s="3539"/>
      <c r="AA5" s="3526"/>
      <c r="AB5" s="3526"/>
      <c r="AC5" s="3526"/>
    </row>
    <row r="6" spans="1:29" ht="15.75" thickBot="1">
      <c r="A6" s="511"/>
      <c r="B6" s="512"/>
      <c r="C6" s="3542" t="s">
        <v>2895</v>
      </c>
      <c r="D6" s="3543"/>
      <c r="E6" s="3560" t="s">
        <v>2895</v>
      </c>
      <c r="F6" s="3561"/>
      <c r="G6" s="3542" t="s">
        <v>2895</v>
      </c>
      <c r="H6" s="3543"/>
      <c r="I6" s="3542" t="s">
        <v>2895</v>
      </c>
      <c r="J6" s="3543"/>
      <c r="K6" s="843" t="s">
        <v>522</v>
      </c>
      <c r="L6" s="2015"/>
      <c r="M6" s="2016"/>
      <c r="N6" s="2016"/>
      <c r="O6" s="2016"/>
      <c r="P6" s="3534"/>
      <c r="Q6" s="3535"/>
      <c r="R6" s="3538"/>
      <c r="S6" s="3539"/>
      <c r="T6" s="3540"/>
      <c r="U6" s="3541"/>
      <c r="V6" s="3523"/>
      <c r="W6" s="3523"/>
      <c r="X6" s="1501"/>
      <c r="Y6" s="3540"/>
      <c r="Z6" s="3541"/>
      <c r="AA6" s="3527"/>
      <c r="AB6" s="3527"/>
      <c r="AC6" s="3527"/>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53" t="s">
        <v>524</v>
      </c>
      <c r="Q7" s="3555"/>
      <c r="R7" s="1502" t="s">
        <v>13</v>
      </c>
      <c r="S7" s="1503">
        <f t="shared" ref="S7:S15" si="0">F7</f>
        <v>100</v>
      </c>
      <c r="T7" s="1502" t="s">
        <v>13</v>
      </c>
      <c r="U7" s="1503">
        <f t="shared" ref="U7:U15" si="1">H7</f>
        <v>100</v>
      </c>
      <c r="V7" s="1502" t="s">
        <v>13</v>
      </c>
      <c r="W7" s="1503">
        <f t="shared" ref="W7:W15" si="2">J7</f>
        <v>100</v>
      </c>
      <c r="X7" s="1504"/>
      <c r="Y7" s="3553" t="s">
        <v>524</v>
      </c>
      <c r="Z7" s="3554"/>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53" t="s">
        <v>527</v>
      </c>
      <c r="Q8" s="3554"/>
      <c r="R8" s="1502" t="s">
        <v>13</v>
      </c>
      <c r="S8" s="1503">
        <f t="shared" si="0"/>
        <v>100</v>
      </c>
      <c r="T8" s="1502" t="s">
        <v>13</v>
      </c>
      <c r="U8" s="1503">
        <f t="shared" si="1"/>
        <v>100</v>
      </c>
      <c r="V8" s="1502" t="s">
        <v>13</v>
      </c>
      <c r="W8" s="1503">
        <f t="shared" si="2"/>
        <v>100</v>
      </c>
      <c r="X8" s="1504"/>
      <c r="Y8" s="3553" t="s">
        <v>527</v>
      </c>
      <c r="Z8" s="3554"/>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22" t="s">
        <v>529</v>
      </c>
      <c r="Q9" s="1133" t="str">
        <f t="shared" ref="Q9:Q15" si="6">B9</f>
        <v>用途</v>
      </c>
      <c r="R9" s="1502" t="s">
        <v>8</v>
      </c>
      <c r="S9" s="1503">
        <f t="shared" si="0"/>
        <v>100</v>
      </c>
      <c r="T9" s="1502" t="s">
        <v>8</v>
      </c>
      <c r="U9" s="1503">
        <f t="shared" si="1"/>
        <v>100</v>
      </c>
      <c r="V9" s="1502" t="s">
        <v>8</v>
      </c>
      <c r="W9" s="1503">
        <f t="shared" si="2"/>
        <v>100</v>
      </c>
      <c r="X9" s="1504"/>
      <c r="Y9" s="3468"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22"/>
      <c r="Q10" s="1133" t="str">
        <f t="shared" si="6"/>
        <v>土地使用年限（年）</v>
      </c>
      <c r="R10" s="1502" t="s">
        <v>8</v>
      </c>
      <c r="S10" s="1503">
        <f t="shared" si="0"/>
        <v>100</v>
      </c>
      <c r="T10" s="1502" t="s">
        <v>8</v>
      </c>
      <c r="U10" s="1503">
        <f t="shared" si="1"/>
        <v>100</v>
      </c>
      <c r="V10" s="1502" t="s">
        <v>8</v>
      </c>
      <c r="W10" s="1503">
        <f t="shared" si="2"/>
        <v>100</v>
      </c>
      <c r="X10" s="1504"/>
      <c r="Y10" s="3468"/>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22"/>
      <c r="Q11" s="1133" t="str">
        <f t="shared" si="6"/>
        <v>容积率</v>
      </c>
      <c r="R11" s="1502" t="s">
        <v>11</v>
      </c>
      <c r="S11" s="1503">
        <f t="shared" si="0"/>
        <v>100</v>
      </c>
      <c r="T11" s="1502" t="s">
        <v>11</v>
      </c>
      <c r="U11" s="1503">
        <f t="shared" si="1"/>
        <v>101</v>
      </c>
      <c r="V11" s="1502" t="s">
        <v>11</v>
      </c>
      <c r="W11" s="1503">
        <f t="shared" si="2"/>
        <v>102</v>
      </c>
      <c r="X11" s="1504"/>
      <c r="Y11" s="3468"/>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2"/>
      <c r="Q12" s="1133">
        <f t="shared" si="6"/>
        <v>111</v>
      </c>
      <c r="R12" s="1502" t="s">
        <v>11</v>
      </c>
      <c r="S12" s="1503">
        <f t="shared" si="0"/>
        <v>100</v>
      </c>
      <c r="T12" s="1502" t="s">
        <v>11</v>
      </c>
      <c r="U12" s="1503">
        <f t="shared" si="1"/>
        <v>100</v>
      </c>
      <c r="V12" s="1502" t="s">
        <v>11</v>
      </c>
      <c r="W12" s="1503">
        <f t="shared" si="2"/>
        <v>100</v>
      </c>
      <c r="X12" s="1504"/>
      <c r="Y12" s="3468"/>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2"/>
      <c r="Q13" s="1133">
        <f t="shared" si="6"/>
        <v>111</v>
      </c>
      <c r="R13" s="1502" t="s">
        <v>11</v>
      </c>
      <c r="S13" s="1503">
        <f t="shared" si="0"/>
        <v>100</v>
      </c>
      <c r="T13" s="1502" t="s">
        <v>11</v>
      </c>
      <c r="U13" s="1503">
        <f t="shared" si="1"/>
        <v>100</v>
      </c>
      <c r="V13" s="1502" t="s">
        <v>11</v>
      </c>
      <c r="W13" s="1503">
        <f t="shared" si="2"/>
        <v>100</v>
      </c>
      <c r="X13" s="1504"/>
      <c r="Y13" s="3468"/>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2"/>
      <c r="Q14" s="1133">
        <f t="shared" si="6"/>
        <v>111</v>
      </c>
      <c r="R14" s="1502" t="s">
        <v>11</v>
      </c>
      <c r="S14" s="1503">
        <f t="shared" si="0"/>
        <v>100</v>
      </c>
      <c r="T14" s="1502" t="s">
        <v>11</v>
      </c>
      <c r="U14" s="1503">
        <f t="shared" si="1"/>
        <v>100</v>
      </c>
      <c r="V14" s="1502" t="s">
        <v>11</v>
      </c>
      <c r="W14" s="1503">
        <f t="shared" si="2"/>
        <v>100</v>
      </c>
      <c r="X14" s="1504"/>
      <c r="Y14" s="3468"/>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56" t="s">
        <v>534</v>
      </c>
      <c r="Q15" s="1506" t="str">
        <f t="shared" si="6"/>
        <v>居住社区成熟度</v>
      </c>
      <c r="R15" s="1507" t="s">
        <v>11</v>
      </c>
      <c r="S15" s="1508">
        <f t="shared" si="0"/>
        <v>100</v>
      </c>
      <c r="T15" s="1507" t="s">
        <v>11</v>
      </c>
      <c r="U15" s="1508">
        <f t="shared" si="1"/>
        <v>100</v>
      </c>
      <c r="V15" s="1507" t="s">
        <v>11</v>
      </c>
      <c r="W15" s="1508">
        <f t="shared" si="2"/>
        <v>100</v>
      </c>
      <c r="X15" s="1501"/>
      <c r="Y15" s="3556"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57"/>
      <c r="Q16" s="1506"/>
      <c r="R16" s="1507"/>
      <c r="S16" s="1508"/>
      <c r="T16" s="1507"/>
      <c r="U16" s="1508"/>
      <c r="V16" s="1507"/>
      <c r="W16" s="1508"/>
      <c r="X16" s="1501"/>
      <c r="Y16" s="3557"/>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57"/>
      <c r="Q17" s="1506" t="str">
        <f>B17</f>
        <v>交通便捷度</v>
      </c>
      <c r="R17" s="1507" t="s">
        <v>11</v>
      </c>
      <c r="S17" s="1508">
        <f>F17</f>
        <v>100</v>
      </c>
      <c r="T17" s="1507" t="s">
        <v>11</v>
      </c>
      <c r="U17" s="1508">
        <f>H17</f>
        <v>100</v>
      </c>
      <c r="V17" s="1507" t="s">
        <v>11</v>
      </c>
      <c r="W17" s="1508">
        <f>J17</f>
        <v>100</v>
      </c>
      <c r="X17" s="1501"/>
      <c r="Y17" s="3557"/>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57"/>
      <c r="Q18" s="1506"/>
      <c r="R18" s="1507"/>
      <c r="S18" s="1508"/>
      <c r="T18" s="1507"/>
      <c r="U18" s="1508"/>
      <c r="V18" s="1507"/>
      <c r="W18" s="1508"/>
      <c r="X18" s="1501"/>
      <c r="Y18" s="3557"/>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57"/>
      <c r="Q19" s="1506" t="str">
        <f>B19</f>
        <v>公共配套设施</v>
      </c>
      <c r="R19" s="1507" t="s">
        <v>11</v>
      </c>
      <c r="S19" s="1508">
        <f>F19</f>
        <v>100</v>
      </c>
      <c r="T19" s="1507" t="s">
        <v>11</v>
      </c>
      <c r="U19" s="1508">
        <f>H19</f>
        <v>100</v>
      </c>
      <c r="V19" s="1507" t="s">
        <v>11</v>
      </c>
      <c r="W19" s="1508">
        <f>J19</f>
        <v>100</v>
      </c>
      <c r="X19" s="1501"/>
      <c r="Y19" s="3557"/>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57"/>
      <c r="Q20" s="1506"/>
      <c r="R20" s="1507"/>
      <c r="S20" s="1508"/>
      <c r="T20" s="1507"/>
      <c r="U20" s="1508"/>
      <c r="V20" s="1507"/>
      <c r="W20" s="1508"/>
      <c r="X20" s="1501"/>
      <c r="Y20" s="3557"/>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57"/>
      <c r="Q21" s="2429" t="str">
        <f>B21</f>
        <v>基础设施水平</v>
      </c>
      <c r="R21" s="1507" t="s">
        <v>11</v>
      </c>
      <c r="S21" s="1508">
        <f>F21</f>
        <v>100</v>
      </c>
      <c r="T21" s="1507" t="s">
        <v>11</v>
      </c>
      <c r="U21" s="1508">
        <f>H21</f>
        <v>100</v>
      </c>
      <c r="V21" s="1507" t="s">
        <v>11</v>
      </c>
      <c r="W21" s="1508">
        <f>J21</f>
        <v>100</v>
      </c>
      <c r="X21" s="2431"/>
      <c r="Y21" s="3557"/>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57"/>
      <c r="Q22" s="2429"/>
      <c r="R22" s="1507"/>
      <c r="S22" s="1508"/>
      <c r="T22" s="1507"/>
      <c r="U22" s="1508"/>
      <c r="V22" s="1507"/>
      <c r="W22" s="1508"/>
      <c r="X22" s="2431"/>
      <c r="Y22" s="3557"/>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57"/>
      <c r="Q23" s="1506" t="str">
        <f>B23</f>
        <v>自然及人文环境</v>
      </c>
      <c r="R23" s="1507" t="s">
        <v>11</v>
      </c>
      <c r="S23" s="1508">
        <f>F23</f>
        <v>100</v>
      </c>
      <c r="T23" s="1507" t="s">
        <v>11</v>
      </c>
      <c r="U23" s="1508">
        <f>H23</f>
        <v>100</v>
      </c>
      <c r="V23" s="1507" t="s">
        <v>11</v>
      </c>
      <c r="W23" s="1508">
        <f>J23</f>
        <v>100</v>
      </c>
      <c r="X23" s="1501"/>
      <c r="Y23" s="3557"/>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57"/>
      <c r="Q24" s="1506"/>
      <c r="R24" s="1507"/>
      <c r="S24" s="1508"/>
      <c r="T24" s="1507"/>
      <c r="U24" s="1508"/>
      <c r="V24" s="1507"/>
      <c r="W24" s="1508"/>
      <c r="X24" s="1501"/>
      <c r="Y24" s="3557"/>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57"/>
      <c r="Q25" s="1506" t="str">
        <f t="shared" ref="Q25:Q46" si="11">B25</f>
        <v>楼层-1</v>
      </c>
      <c r="R25" s="1507" t="s">
        <v>11</v>
      </c>
      <c r="S25" s="1508">
        <f>F25</f>
        <v>100</v>
      </c>
      <c r="T25" s="1507" t="s">
        <v>11</v>
      </c>
      <c r="U25" s="1508">
        <f>H25</f>
        <v>100</v>
      </c>
      <c r="V25" s="1507" t="s">
        <v>11</v>
      </c>
      <c r="W25" s="1508">
        <f>J25</f>
        <v>100</v>
      </c>
      <c r="X25" s="1501"/>
      <c r="Y25" s="3557"/>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57"/>
      <c r="Q26" s="1506" t="str">
        <f t="shared" si="11"/>
        <v>朝向</v>
      </c>
      <c r="R26" s="1507" t="s">
        <v>11</v>
      </c>
      <c r="S26" s="1508">
        <f>F26</f>
        <v>100</v>
      </c>
      <c r="T26" s="1507" t="s">
        <v>11</v>
      </c>
      <c r="U26" s="1508">
        <f>H26</f>
        <v>100</v>
      </c>
      <c r="V26" s="1507" t="s">
        <v>11</v>
      </c>
      <c r="W26" s="1508">
        <f>J26</f>
        <v>100</v>
      </c>
      <c r="X26" s="1501"/>
      <c r="Y26" s="3557"/>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57"/>
      <c r="Q27" s="1133" t="str">
        <f t="shared" si="11"/>
        <v>道路级别</v>
      </c>
      <c r="R27" s="1502" t="s">
        <v>11</v>
      </c>
      <c r="S27" s="1503">
        <f>F27</f>
        <v>100</v>
      </c>
      <c r="T27" s="1502" t="s">
        <v>11</v>
      </c>
      <c r="U27" s="1503">
        <f>H27</f>
        <v>100</v>
      </c>
      <c r="V27" s="1502" t="s">
        <v>11</v>
      </c>
      <c r="W27" s="1503">
        <f>J27</f>
        <v>100</v>
      </c>
      <c r="X27" s="1504"/>
      <c r="Y27" s="3557"/>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57"/>
      <c r="Q28" s="1506">
        <f t="shared" si="11"/>
        <v>111</v>
      </c>
      <c r="R28" s="1507" t="s">
        <v>11</v>
      </c>
      <c r="S28" s="1508">
        <f t="shared" ref="S28:S46" si="12">F28</f>
        <v>100</v>
      </c>
      <c r="T28" s="1507" t="s">
        <v>11</v>
      </c>
      <c r="U28" s="1508">
        <f t="shared" ref="U28:U46" si="13">H28</f>
        <v>100</v>
      </c>
      <c r="V28" s="1507" t="s">
        <v>11</v>
      </c>
      <c r="W28" s="1508">
        <f t="shared" ref="W28:W46" si="14">J28</f>
        <v>100</v>
      </c>
      <c r="X28" s="1501"/>
      <c r="Y28" s="355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57"/>
      <c r="Q29" s="1506">
        <f t="shared" si="11"/>
        <v>111</v>
      </c>
      <c r="R29" s="1507" t="s">
        <v>11</v>
      </c>
      <c r="S29" s="1508">
        <f t="shared" si="12"/>
        <v>100</v>
      </c>
      <c r="T29" s="1507" t="s">
        <v>11</v>
      </c>
      <c r="U29" s="1508">
        <f t="shared" si="13"/>
        <v>100</v>
      </c>
      <c r="V29" s="1507" t="s">
        <v>11</v>
      </c>
      <c r="W29" s="1508">
        <f t="shared" si="14"/>
        <v>100</v>
      </c>
      <c r="X29" s="1501"/>
      <c r="Y29" s="355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57"/>
      <c r="Q30" s="1506">
        <f t="shared" si="11"/>
        <v>111</v>
      </c>
      <c r="R30" s="1507" t="s">
        <v>11</v>
      </c>
      <c r="S30" s="1508">
        <f t="shared" si="12"/>
        <v>100</v>
      </c>
      <c r="T30" s="1507" t="s">
        <v>11</v>
      </c>
      <c r="U30" s="1508">
        <f t="shared" si="13"/>
        <v>100</v>
      </c>
      <c r="V30" s="1507" t="s">
        <v>11</v>
      </c>
      <c r="W30" s="1508">
        <f t="shared" si="14"/>
        <v>100</v>
      </c>
      <c r="X30" s="1501"/>
      <c r="Y30" s="355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57"/>
      <c r="Q31" s="1506">
        <f t="shared" si="11"/>
        <v>111</v>
      </c>
      <c r="R31" s="1507" t="s">
        <v>11</v>
      </c>
      <c r="S31" s="1508">
        <f t="shared" si="12"/>
        <v>100</v>
      </c>
      <c r="T31" s="1507" t="s">
        <v>11</v>
      </c>
      <c r="U31" s="1508">
        <f t="shared" si="13"/>
        <v>100</v>
      </c>
      <c r="V31" s="1507" t="s">
        <v>11</v>
      </c>
      <c r="W31" s="1508">
        <f t="shared" si="14"/>
        <v>100</v>
      </c>
      <c r="X31" s="1501"/>
      <c r="Y31" s="3557"/>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58" t="s">
        <v>544</v>
      </c>
      <c r="Q32" s="1506" t="str">
        <f t="shared" si="11"/>
        <v>建筑类型</v>
      </c>
      <c r="R32" s="1507" t="s">
        <v>11</v>
      </c>
      <c r="S32" s="1508">
        <f t="shared" si="12"/>
        <v>100</v>
      </c>
      <c r="T32" s="1507" t="s">
        <v>11</v>
      </c>
      <c r="U32" s="1508">
        <f t="shared" si="13"/>
        <v>100</v>
      </c>
      <c r="V32" s="1507" t="s">
        <v>11</v>
      </c>
      <c r="W32" s="1508">
        <f t="shared" si="14"/>
        <v>100</v>
      </c>
      <c r="X32" s="1501"/>
      <c r="Y32" s="3559"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59"/>
      <c r="Q33" s="1535" t="str">
        <f t="shared" si="11"/>
        <v>项目建筑规模</v>
      </c>
      <c r="R33" s="1511" t="s">
        <v>11</v>
      </c>
      <c r="S33" s="1512">
        <f t="shared" si="12"/>
        <v>100</v>
      </c>
      <c r="T33" s="1511" t="s">
        <v>11</v>
      </c>
      <c r="U33" s="1512">
        <f t="shared" si="13"/>
        <v>102</v>
      </c>
      <c r="V33" s="1511" t="s">
        <v>11</v>
      </c>
      <c r="W33" s="1512">
        <f t="shared" si="14"/>
        <v>103</v>
      </c>
      <c r="X33" s="1513"/>
      <c r="Y33" s="3559"/>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59"/>
      <c r="Q34" s="1506" t="str">
        <f t="shared" si="11"/>
        <v>建筑结构</v>
      </c>
      <c r="R34" s="1507" t="s">
        <v>11</v>
      </c>
      <c r="S34" s="1508">
        <f t="shared" si="12"/>
        <v>100</v>
      </c>
      <c r="T34" s="1507" t="s">
        <v>11</v>
      </c>
      <c r="U34" s="1508">
        <f t="shared" si="13"/>
        <v>100</v>
      </c>
      <c r="V34" s="1507" t="s">
        <v>11</v>
      </c>
      <c r="W34" s="1508">
        <f t="shared" si="14"/>
        <v>100</v>
      </c>
      <c r="X34" s="1501"/>
      <c r="Y34" s="355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59"/>
      <c r="Q35" s="1506" t="str">
        <f t="shared" si="11"/>
        <v>建筑品质</v>
      </c>
      <c r="R35" s="1507" t="s">
        <v>11</v>
      </c>
      <c r="S35" s="1508">
        <f t="shared" si="12"/>
        <v>100</v>
      </c>
      <c r="T35" s="1507" t="s">
        <v>11</v>
      </c>
      <c r="U35" s="1508">
        <f t="shared" si="13"/>
        <v>100</v>
      </c>
      <c r="V35" s="1507" t="s">
        <v>11</v>
      </c>
      <c r="W35" s="1508">
        <f t="shared" si="14"/>
        <v>100</v>
      </c>
      <c r="X35" s="1501"/>
      <c r="Y35" s="3559"/>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59"/>
      <c r="Q36" s="1506" t="str">
        <f t="shared" si="11"/>
        <v>公共部分装修</v>
      </c>
      <c r="R36" s="1507" t="s">
        <v>11</v>
      </c>
      <c r="S36" s="1508">
        <f t="shared" si="12"/>
        <v>100</v>
      </c>
      <c r="T36" s="1507" t="s">
        <v>11</v>
      </c>
      <c r="U36" s="1508">
        <f t="shared" si="13"/>
        <v>100</v>
      </c>
      <c r="V36" s="1507" t="s">
        <v>11</v>
      </c>
      <c r="W36" s="1508">
        <f t="shared" si="14"/>
        <v>100</v>
      </c>
      <c r="X36" s="1501"/>
      <c r="Y36" s="355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59"/>
      <c r="Q37" s="1133" t="str">
        <f t="shared" si="11"/>
        <v>成新度</v>
      </c>
      <c r="R37" s="1502" t="s">
        <v>11</v>
      </c>
      <c r="S37" s="1503">
        <f t="shared" si="12"/>
        <v>100</v>
      </c>
      <c r="T37" s="1502" t="s">
        <v>11</v>
      </c>
      <c r="U37" s="1503">
        <f t="shared" si="13"/>
        <v>100</v>
      </c>
      <c r="V37" s="1502" t="s">
        <v>11</v>
      </c>
      <c r="W37" s="1503">
        <f t="shared" si="14"/>
        <v>100</v>
      </c>
      <c r="X37" s="1504"/>
      <c r="Y37" s="3559"/>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59" t="s">
        <v>544</v>
      </c>
      <c r="Q38" s="1506" t="str">
        <f t="shared" si="11"/>
        <v>物业管理</v>
      </c>
      <c r="R38" s="1507" t="s">
        <v>11</v>
      </c>
      <c r="S38" s="1508">
        <f t="shared" si="12"/>
        <v>100</v>
      </c>
      <c r="T38" s="1507" t="s">
        <v>11</v>
      </c>
      <c r="U38" s="1508">
        <f t="shared" si="13"/>
        <v>100</v>
      </c>
      <c r="V38" s="1507" t="s">
        <v>11</v>
      </c>
      <c r="W38" s="1508">
        <f t="shared" si="14"/>
        <v>100</v>
      </c>
      <c r="X38" s="1501"/>
      <c r="Y38" s="3559"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59"/>
      <c r="Q39" s="1506" t="str">
        <f t="shared" si="11"/>
        <v>市政基础设施</v>
      </c>
      <c r="R39" s="1507" t="s">
        <v>11</v>
      </c>
      <c r="S39" s="1508">
        <f t="shared" si="12"/>
        <v>100</v>
      </c>
      <c r="T39" s="1507" t="s">
        <v>11</v>
      </c>
      <c r="U39" s="1508">
        <f t="shared" si="13"/>
        <v>100</v>
      </c>
      <c r="V39" s="1507" t="s">
        <v>11</v>
      </c>
      <c r="W39" s="1508">
        <f t="shared" si="14"/>
        <v>100</v>
      </c>
      <c r="X39" s="1501"/>
      <c r="Y39" s="355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59"/>
      <c r="Q40" s="1506" t="str">
        <f t="shared" si="11"/>
        <v>房型</v>
      </c>
      <c r="R40" s="1507" t="s">
        <v>11</v>
      </c>
      <c r="S40" s="1508">
        <f t="shared" si="12"/>
        <v>100</v>
      </c>
      <c r="T40" s="1507" t="s">
        <v>11</v>
      </c>
      <c r="U40" s="1508">
        <f t="shared" si="13"/>
        <v>100</v>
      </c>
      <c r="V40" s="1507" t="s">
        <v>11</v>
      </c>
      <c r="W40" s="1508">
        <f t="shared" si="14"/>
        <v>100</v>
      </c>
      <c r="X40" s="1501"/>
      <c r="Y40" s="355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59"/>
      <c r="Q41" s="1535" t="str">
        <f t="shared" si="11"/>
        <v>单套/主力户型建筑面积</v>
      </c>
      <c r="R41" s="1511" t="s">
        <v>11</v>
      </c>
      <c r="S41" s="1512">
        <f t="shared" si="12"/>
        <v>100</v>
      </c>
      <c r="T41" s="1511" t="s">
        <v>11</v>
      </c>
      <c r="U41" s="1512">
        <f t="shared" si="13"/>
        <v>100</v>
      </c>
      <c r="V41" s="1511" t="s">
        <v>11</v>
      </c>
      <c r="W41" s="1512">
        <f t="shared" si="14"/>
        <v>100</v>
      </c>
      <c r="X41" s="1513"/>
      <c r="Y41" s="3559"/>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59"/>
      <c r="Q42" s="1506" t="str">
        <f t="shared" si="11"/>
        <v>内部装修</v>
      </c>
      <c r="R42" s="1507" t="s">
        <v>11</v>
      </c>
      <c r="S42" s="1508">
        <f t="shared" si="12"/>
        <v>91</v>
      </c>
      <c r="T42" s="1507" t="s">
        <v>11</v>
      </c>
      <c r="U42" s="1508">
        <f t="shared" si="13"/>
        <v>91</v>
      </c>
      <c r="V42" s="1507" t="s">
        <v>11</v>
      </c>
      <c r="W42" s="1508">
        <f t="shared" si="14"/>
        <v>100</v>
      </c>
      <c r="X42" s="1501"/>
      <c r="Y42" s="3559"/>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59"/>
      <c r="Q43" s="1506" t="str">
        <f t="shared" si="11"/>
        <v>内部装修维护情况</v>
      </c>
      <c r="R43" s="1507" t="s">
        <v>11</v>
      </c>
      <c r="S43" s="1508">
        <f t="shared" si="12"/>
        <v>100</v>
      </c>
      <c r="T43" s="1507" t="s">
        <v>11</v>
      </c>
      <c r="U43" s="1508">
        <f t="shared" si="13"/>
        <v>100</v>
      </c>
      <c r="V43" s="1507" t="s">
        <v>11</v>
      </c>
      <c r="W43" s="1508">
        <f t="shared" si="14"/>
        <v>100</v>
      </c>
      <c r="X43" s="1501"/>
      <c r="Y43" s="3559"/>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59"/>
      <c r="Q44" s="1133" t="str">
        <f t="shared" si="11"/>
        <v>赠送面积</v>
      </c>
      <c r="R44" s="1502" t="s">
        <v>11</v>
      </c>
      <c r="S44" s="1503">
        <f t="shared" si="12"/>
        <v>100</v>
      </c>
      <c r="T44" s="1502" t="s">
        <v>11</v>
      </c>
      <c r="U44" s="1503">
        <f t="shared" si="13"/>
        <v>120</v>
      </c>
      <c r="V44" s="1502" t="s">
        <v>11</v>
      </c>
      <c r="W44" s="1503">
        <f t="shared" si="14"/>
        <v>100</v>
      </c>
      <c r="X44" s="1504"/>
      <c r="Y44" s="3559"/>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59"/>
      <c r="Q45" s="1506">
        <f t="shared" si="11"/>
        <v>0</v>
      </c>
      <c r="R45" s="1507" t="s">
        <v>11</v>
      </c>
      <c r="S45" s="1508">
        <f t="shared" si="12"/>
        <v>100</v>
      </c>
      <c r="T45" s="1507" t="s">
        <v>11</v>
      </c>
      <c r="U45" s="1508">
        <f t="shared" si="13"/>
        <v>100</v>
      </c>
      <c r="V45" s="1507" t="s">
        <v>11</v>
      </c>
      <c r="W45" s="1508">
        <f t="shared" si="14"/>
        <v>100</v>
      </c>
      <c r="X45" s="1501"/>
      <c r="Y45" s="3559"/>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1"/>
      <c r="Q46" s="1506">
        <f t="shared" si="11"/>
        <v>111</v>
      </c>
      <c r="R46" s="1507" t="s">
        <v>10</v>
      </c>
      <c r="S46" s="1508">
        <f t="shared" si="12"/>
        <v>100</v>
      </c>
      <c r="T46" s="1507" t="s">
        <v>10</v>
      </c>
      <c r="U46" s="1508">
        <f t="shared" si="13"/>
        <v>100</v>
      </c>
      <c r="V46" s="1507" t="s">
        <v>10</v>
      </c>
      <c r="W46" s="1508">
        <f t="shared" si="14"/>
        <v>100</v>
      </c>
      <c r="X46" s="1501"/>
      <c r="Y46" s="3641"/>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22" t="str">
        <f>A47</f>
        <v>成交单价（元/平方米）</v>
      </c>
      <c r="Q47" s="3522"/>
      <c r="R47" s="3640">
        <f>E47</f>
        <v>8500</v>
      </c>
      <c r="S47" s="3640"/>
      <c r="T47" s="3640">
        <f>G47</f>
        <v>12000</v>
      </c>
      <c r="U47" s="3640"/>
      <c r="V47" s="3640">
        <f>I47</f>
        <v>9000</v>
      </c>
      <c r="W47" s="3640"/>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22" t="str">
        <f>A48</f>
        <v>比较价格（元/平方米）</v>
      </c>
      <c r="Q48" s="3522"/>
      <c r="R48" s="3640">
        <f>IF(F1="售价",ROUND(PRODUCT(R47,AA7:AA46),0),ROUND(PRODUCT(R47,AA7:AA46),1))</f>
        <v>9341</v>
      </c>
      <c r="S48" s="3640"/>
      <c r="T48" s="3640">
        <f>IF(F1="售价",ROUND(PRODUCT(T47,AB7:AB46),0),ROUND(PRODUCT(T47,AB7:AB46),1))</f>
        <v>10667</v>
      </c>
      <c r="U48" s="3640"/>
      <c r="V48" s="3640">
        <f>IF(F1="售价",ROUND(PRODUCT(V47,AC7:AC46),0),ROUND(PRODUCT(V47,AC7:AC46),1))</f>
        <v>8567</v>
      </c>
      <c r="W48" s="3640"/>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19" t="str">
        <f>A49</f>
        <v>估价对象XX用房的比较价格（楼面单价，元/平方米）</v>
      </c>
      <c r="Q49" s="3520"/>
      <c r="R49" s="3639">
        <f>IF(F1="售价",ROUND(IF(D48="简单平均",AVERAGE(R48:V48),R48*F48+T48*H48+V48*J48),0),ROUND(IF(D48="简单平均",AVERAGE(R48:V48),R48*F48+T48*H48+V48*J48),1))</f>
        <v>9525</v>
      </c>
      <c r="S49" s="3639"/>
      <c r="T49" s="3639"/>
      <c r="U49" s="3639"/>
      <c r="V49" s="3639"/>
      <c r="W49" s="363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8" t="s">
        <v>516</v>
      </c>
      <c r="D4" s="3529"/>
      <c r="E4" s="3562" t="s">
        <v>517</v>
      </c>
      <c r="F4" s="3563"/>
      <c r="G4" s="3528" t="s">
        <v>518</v>
      </c>
      <c r="H4" s="3529"/>
      <c r="I4" s="3528" t="s">
        <v>519</v>
      </c>
      <c r="J4" s="3529"/>
      <c r="K4" s="508" t="s">
        <v>520</v>
      </c>
      <c r="L4" s="2015"/>
      <c r="M4" s="2016"/>
      <c r="N4" s="2016"/>
      <c r="O4" s="2016"/>
      <c r="P4" s="3530" t="s">
        <v>521</v>
      </c>
      <c r="Q4" s="3531"/>
      <c r="R4" s="3536" t="s">
        <v>517</v>
      </c>
      <c r="S4" s="3537"/>
      <c r="T4" s="3536" t="s">
        <v>518</v>
      </c>
      <c r="U4" s="3537"/>
      <c r="V4" s="3523" t="s">
        <v>519</v>
      </c>
      <c r="W4" s="3523"/>
      <c r="X4" s="1501"/>
      <c r="Y4" s="3536" t="s">
        <v>521</v>
      </c>
      <c r="Z4" s="3537"/>
      <c r="AA4" s="3525" t="s">
        <v>517</v>
      </c>
      <c r="AB4" s="3523" t="s">
        <v>518</v>
      </c>
      <c r="AC4" s="3525" t="s">
        <v>519</v>
      </c>
    </row>
    <row r="5" spans="1:29" ht="15">
      <c r="A5" s="509"/>
      <c r="B5" s="510"/>
      <c r="C5" s="3544" t="s">
        <v>2891</v>
      </c>
      <c r="D5" s="3545"/>
      <c r="E5" s="3564" t="s">
        <v>2892</v>
      </c>
      <c r="F5" s="3565"/>
      <c r="G5" s="3544" t="s">
        <v>2893</v>
      </c>
      <c r="H5" s="3545"/>
      <c r="I5" s="3544" t="s">
        <v>2894</v>
      </c>
      <c r="J5" s="3545"/>
      <c r="K5" s="508"/>
      <c r="L5" s="2015"/>
      <c r="M5" s="2016"/>
      <c r="N5" s="2016"/>
      <c r="O5" s="2016"/>
      <c r="P5" s="3532"/>
      <c r="Q5" s="3533"/>
      <c r="R5" s="3538"/>
      <c r="S5" s="3539"/>
      <c r="T5" s="3538"/>
      <c r="U5" s="3539"/>
      <c r="V5" s="3523"/>
      <c r="W5" s="3523"/>
      <c r="X5" s="1501"/>
      <c r="Y5" s="3538"/>
      <c r="Z5" s="3539"/>
      <c r="AA5" s="3526"/>
      <c r="AB5" s="3523"/>
      <c r="AC5" s="3526"/>
    </row>
    <row r="6" spans="1:29" ht="15.75" thickBot="1">
      <c r="A6" s="511"/>
      <c r="B6" s="512"/>
      <c r="C6" s="3542" t="s">
        <v>2895</v>
      </c>
      <c r="D6" s="3543"/>
      <c r="E6" s="3560" t="s">
        <v>2895</v>
      </c>
      <c r="F6" s="3561"/>
      <c r="G6" s="3542" t="s">
        <v>2895</v>
      </c>
      <c r="H6" s="3543"/>
      <c r="I6" s="3542" t="s">
        <v>2895</v>
      </c>
      <c r="J6" s="3543"/>
      <c r="K6" s="508" t="s">
        <v>522</v>
      </c>
      <c r="L6" s="2015"/>
      <c r="M6" s="2016"/>
      <c r="N6" s="2016"/>
      <c r="O6" s="2016"/>
      <c r="P6" s="3534"/>
      <c r="Q6" s="3535"/>
      <c r="R6" s="3538"/>
      <c r="S6" s="3539"/>
      <c r="T6" s="3540"/>
      <c r="U6" s="3541"/>
      <c r="V6" s="3523"/>
      <c r="W6" s="3523"/>
      <c r="X6" s="1501"/>
      <c r="Y6" s="3540"/>
      <c r="Z6" s="3541"/>
      <c r="AA6" s="3527"/>
      <c r="AB6" s="3523"/>
      <c r="AC6" s="3527"/>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53" t="s">
        <v>524</v>
      </c>
      <c r="Q7" s="3555"/>
      <c r="R7" s="1502" t="s">
        <v>8</v>
      </c>
      <c r="S7" s="1503">
        <f t="shared" ref="S7:S15" si="0">F7</f>
        <v>0</v>
      </c>
      <c r="T7" s="1502" t="s">
        <v>8</v>
      </c>
      <c r="U7" s="1503">
        <f t="shared" ref="U7:U15" si="1">H7</f>
        <v>0</v>
      </c>
      <c r="V7" s="1502" t="s">
        <v>8</v>
      </c>
      <c r="W7" s="1503">
        <f t="shared" ref="W7:W15" si="2">J7</f>
        <v>0</v>
      </c>
      <c r="X7" s="1504"/>
      <c r="Y7" s="3553" t="s">
        <v>524</v>
      </c>
      <c r="Z7" s="3554"/>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53" t="s">
        <v>527</v>
      </c>
      <c r="Q8" s="3554"/>
      <c r="R8" s="1502" t="s">
        <v>8</v>
      </c>
      <c r="S8" s="1503">
        <f t="shared" si="0"/>
        <v>0</v>
      </c>
      <c r="T8" s="1502" t="s">
        <v>8</v>
      </c>
      <c r="U8" s="1503">
        <f t="shared" si="1"/>
        <v>0</v>
      </c>
      <c r="V8" s="1502" t="s">
        <v>8</v>
      </c>
      <c r="W8" s="1503">
        <f t="shared" si="2"/>
        <v>0</v>
      </c>
      <c r="X8" s="1504"/>
      <c r="Y8" s="3553" t="s">
        <v>527</v>
      </c>
      <c r="Z8" s="3554"/>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2" t="s">
        <v>529</v>
      </c>
      <c r="Q9" s="1133" t="str">
        <f t="shared" ref="Q9:Q15" si="6">B9</f>
        <v>用途</v>
      </c>
      <c r="R9" s="1502" t="s">
        <v>8</v>
      </c>
      <c r="S9" s="1503">
        <f t="shared" si="0"/>
        <v>100</v>
      </c>
      <c r="T9" s="1502" t="s">
        <v>8</v>
      </c>
      <c r="U9" s="1503">
        <f t="shared" si="1"/>
        <v>100</v>
      </c>
      <c r="V9" s="1502" t="s">
        <v>8</v>
      </c>
      <c r="W9" s="1503">
        <f t="shared" si="2"/>
        <v>100</v>
      </c>
      <c r="X9" s="1504"/>
      <c r="Y9" s="3468"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2"/>
      <c r="Q10" s="1133" t="str">
        <f t="shared" si="6"/>
        <v>土地使用年限（年）</v>
      </c>
      <c r="R10" s="1502" t="s">
        <v>8</v>
      </c>
      <c r="S10" s="1503">
        <f t="shared" si="0"/>
        <v>100</v>
      </c>
      <c r="T10" s="1502" t="s">
        <v>8</v>
      </c>
      <c r="U10" s="1503">
        <f t="shared" si="1"/>
        <v>100</v>
      </c>
      <c r="V10" s="1502" t="s">
        <v>8</v>
      </c>
      <c r="W10" s="1503">
        <f t="shared" si="2"/>
        <v>100</v>
      </c>
      <c r="X10" s="1504"/>
      <c r="Y10" s="3468"/>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2"/>
      <c r="Q11" s="1133" t="str">
        <f t="shared" si="6"/>
        <v>容积率</v>
      </c>
      <c r="R11" s="1502" t="s">
        <v>8</v>
      </c>
      <c r="S11" s="1503" t="e">
        <f t="shared" si="0"/>
        <v>#N/A</v>
      </c>
      <c r="T11" s="1502" t="s">
        <v>8</v>
      </c>
      <c r="U11" s="1503" t="e">
        <f t="shared" si="1"/>
        <v>#N/A</v>
      </c>
      <c r="V11" s="1502" t="s">
        <v>8</v>
      </c>
      <c r="W11" s="1503" t="e">
        <f t="shared" si="2"/>
        <v>#N/A</v>
      </c>
      <c r="X11" s="1504"/>
      <c r="Y11" s="3468"/>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22"/>
      <c r="Q12" s="1133">
        <f t="shared" si="6"/>
        <v>111</v>
      </c>
      <c r="R12" s="1502" t="s">
        <v>8</v>
      </c>
      <c r="S12" s="1503">
        <f t="shared" si="0"/>
        <v>100</v>
      </c>
      <c r="T12" s="1502" t="s">
        <v>8</v>
      </c>
      <c r="U12" s="1503">
        <f t="shared" si="1"/>
        <v>100</v>
      </c>
      <c r="V12" s="1502" t="s">
        <v>8</v>
      </c>
      <c r="W12" s="1503">
        <f t="shared" si="2"/>
        <v>100</v>
      </c>
      <c r="X12" s="1504"/>
      <c r="Y12" s="3468"/>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22"/>
      <c r="Q13" s="1133">
        <f t="shared" si="6"/>
        <v>111</v>
      </c>
      <c r="R13" s="1502" t="s">
        <v>8</v>
      </c>
      <c r="S13" s="1503">
        <f t="shared" si="0"/>
        <v>100</v>
      </c>
      <c r="T13" s="1502" t="s">
        <v>8</v>
      </c>
      <c r="U13" s="1503">
        <f t="shared" si="1"/>
        <v>100</v>
      </c>
      <c r="V13" s="1502" t="s">
        <v>8</v>
      </c>
      <c r="W13" s="1503">
        <f t="shared" si="2"/>
        <v>100</v>
      </c>
      <c r="X13" s="1504"/>
      <c r="Y13" s="3468"/>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22"/>
      <c r="Q14" s="1133">
        <f t="shared" si="6"/>
        <v>111</v>
      </c>
      <c r="R14" s="1502" t="s">
        <v>8</v>
      </c>
      <c r="S14" s="1503">
        <f t="shared" si="0"/>
        <v>100</v>
      </c>
      <c r="T14" s="1502" t="s">
        <v>8</v>
      </c>
      <c r="U14" s="1503">
        <f t="shared" si="1"/>
        <v>100</v>
      </c>
      <c r="V14" s="1502" t="s">
        <v>8</v>
      </c>
      <c r="W14" s="1503">
        <f t="shared" si="2"/>
        <v>100</v>
      </c>
      <c r="X14" s="1504"/>
      <c r="Y14" s="3468"/>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56" t="s">
        <v>534</v>
      </c>
      <c r="Q15" s="1506" t="str">
        <f t="shared" si="6"/>
        <v>商业繁华度</v>
      </c>
      <c r="R15" s="1507" t="s">
        <v>8</v>
      </c>
      <c r="S15" s="1508">
        <f t="shared" si="0"/>
        <v>100</v>
      </c>
      <c r="T15" s="1507" t="s">
        <v>8</v>
      </c>
      <c r="U15" s="1508">
        <f t="shared" si="1"/>
        <v>100</v>
      </c>
      <c r="V15" s="1507" t="s">
        <v>8</v>
      </c>
      <c r="W15" s="1508">
        <f t="shared" si="2"/>
        <v>100</v>
      </c>
      <c r="X15" s="1501"/>
      <c r="Y15" s="355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57"/>
      <c r="Q16" s="1506"/>
      <c r="R16" s="1507"/>
      <c r="S16" s="1508"/>
      <c r="T16" s="1507"/>
      <c r="U16" s="1508"/>
      <c r="V16" s="1507"/>
      <c r="W16" s="1508"/>
      <c r="X16" s="1501"/>
      <c r="Y16" s="3557"/>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57"/>
      <c r="Q17" s="1506" t="str">
        <f>B17</f>
        <v>交通便捷度</v>
      </c>
      <c r="R17" s="1507" t="s">
        <v>8</v>
      </c>
      <c r="S17" s="1508">
        <f>F17</f>
        <v>100</v>
      </c>
      <c r="T17" s="1507" t="s">
        <v>8</v>
      </c>
      <c r="U17" s="1508">
        <f>H17</f>
        <v>100</v>
      </c>
      <c r="V17" s="1507" t="s">
        <v>8</v>
      </c>
      <c r="W17" s="1508">
        <f>J17</f>
        <v>100</v>
      </c>
      <c r="X17" s="1501"/>
      <c r="Y17" s="355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57"/>
      <c r="Q18" s="1506"/>
      <c r="R18" s="1507"/>
      <c r="S18" s="1508"/>
      <c r="T18" s="1507"/>
      <c r="U18" s="1508"/>
      <c r="V18" s="1507"/>
      <c r="W18" s="1508"/>
      <c r="X18" s="1501"/>
      <c r="Y18" s="3557"/>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57"/>
      <c r="Q19" s="1506" t="str">
        <f>B19</f>
        <v>公共配套设施</v>
      </c>
      <c r="R19" s="1507" t="s">
        <v>8</v>
      </c>
      <c r="S19" s="1508">
        <f>F19</f>
        <v>100</v>
      </c>
      <c r="T19" s="1507" t="s">
        <v>8</v>
      </c>
      <c r="U19" s="1508">
        <f>H19</f>
        <v>100</v>
      </c>
      <c r="V19" s="1507" t="s">
        <v>8</v>
      </c>
      <c r="W19" s="1508">
        <f>J19</f>
        <v>100</v>
      </c>
      <c r="X19" s="1501"/>
      <c r="Y19" s="355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57"/>
      <c r="Q20" s="1506"/>
      <c r="R20" s="1507"/>
      <c r="S20" s="1508"/>
      <c r="T20" s="1507"/>
      <c r="U20" s="1508"/>
      <c r="V20" s="1507"/>
      <c r="W20" s="1508"/>
      <c r="X20" s="1501"/>
      <c r="Y20" s="3557"/>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57"/>
      <c r="Q21" s="2429" t="str">
        <f>B21</f>
        <v>基础设施水平</v>
      </c>
      <c r="R21" s="1507" t="s">
        <v>8</v>
      </c>
      <c r="S21" s="1508">
        <f>F21</f>
        <v>100</v>
      </c>
      <c r="T21" s="1507" t="s">
        <v>8</v>
      </c>
      <c r="U21" s="1508">
        <f>H21</f>
        <v>100</v>
      </c>
      <c r="V21" s="1507" t="s">
        <v>8</v>
      </c>
      <c r="W21" s="1508">
        <f>J21</f>
        <v>100</v>
      </c>
      <c r="X21" s="2431"/>
      <c r="Y21" s="355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57"/>
      <c r="Q22" s="2429"/>
      <c r="R22" s="1507"/>
      <c r="S22" s="1508"/>
      <c r="T22" s="1507"/>
      <c r="U22" s="1508"/>
      <c r="V22" s="1507"/>
      <c r="W22" s="1508"/>
      <c r="X22" s="2431"/>
      <c r="Y22" s="3557"/>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57"/>
      <c r="Q23" s="1506" t="str">
        <f>B23</f>
        <v>自然及人文环境</v>
      </c>
      <c r="R23" s="1507" t="s">
        <v>8</v>
      </c>
      <c r="S23" s="1508">
        <f>F23</f>
        <v>100</v>
      </c>
      <c r="T23" s="1507" t="s">
        <v>8</v>
      </c>
      <c r="U23" s="1508">
        <f>H23</f>
        <v>100</v>
      </c>
      <c r="V23" s="1507" t="s">
        <v>8</v>
      </c>
      <c r="W23" s="1508">
        <f>J23</f>
        <v>100</v>
      </c>
      <c r="X23" s="1501"/>
      <c r="Y23" s="355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57"/>
      <c r="Q24" s="1506"/>
      <c r="R24" s="1507"/>
      <c r="S24" s="1508"/>
      <c r="T24" s="1507"/>
      <c r="U24" s="1508"/>
      <c r="V24" s="1507"/>
      <c r="W24" s="1508"/>
      <c r="X24" s="1501"/>
      <c r="Y24" s="355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57"/>
      <c r="Q25" s="1506" t="str">
        <f t="shared" ref="Q25:Q46" si="11">B25</f>
        <v>临街状况</v>
      </c>
      <c r="R25" s="1507" t="s">
        <v>8</v>
      </c>
      <c r="S25" s="1508">
        <f>F25</f>
        <v>100</v>
      </c>
      <c r="T25" s="1507" t="s">
        <v>8</v>
      </c>
      <c r="U25" s="1508">
        <f>H25</f>
        <v>100</v>
      </c>
      <c r="V25" s="1507" t="s">
        <v>8</v>
      </c>
      <c r="W25" s="1508">
        <f>J25</f>
        <v>100</v>
      </c>
      <c r="X25" s="1501"/>
      <c r="Y25" s="355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57"/>
      <c r="Q26" s="1506" t="str">
        <f t="shared" si="11"/>
        <v>平面位置/可视性</v>
      </c>
      <c r="R26" s="1507" t="s">
        <v>8</v>
      </c>
      <c r="S26" s="1508">
        <f>F26</f>
        <v>100</v>
      </c>
      <c r="T26" s="1507" t="s">
        <v>8</v>
      </c>
      <c r="U26" s="1508">
        <f>H26</f>
        <v>100</v>
      </c>
      <c r="V26" s="1507" t="s">
        <v>8</v>
      </c>
      <c r="W26" s="1508">
        <f>J26</f>
        <v>100</v>
      </c>
      <c r="X26" s="1501"/>
      <c r="Y26" s="355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57"/>
      <c r="Q27" s="1133" t="str">
        <f t="shared" si="11"/>
        <v>人流量</v>
      </c>
      <c r="R27" s="1502" t="s">
        <v>8</v>
      </c>
      <c r="S27" s="1503">
        <f>F27</f>
        <v>100</v>
      </c>
      <c r="T27" s="1502" t="s">
        <v>8</v>
      </c>
      <c r="U27" s="1503">
        <f>H27</f>
        <v>100</v>
      </c>
      <c r="V27" s="1502" t="s">
        <v>8</v>
      </c>
      <c r="W27" s="1503">
        <f>J27</f>
        <v>100</v>
      </c>
      <c r="X27" s="1504"/>
      <c r="Y27" s="355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5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5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57"/>
      <c r="Q29" s="1506">
        <f t="shared" si="11"/>
        <v>111</v>
      </c>
      <c r="R29" s="1507" t="s">
        <v>8</v>
      </c>
      <c r="S29" s="1508">
        <f t="shared" si="12"/>
        <v>100</v>
      </c>
      <c r="T29" s="1507" t="s">
        <v>8</v>
      </c>
      <c r="U29" s="1508">
        <f t="shared" si="13"/>
        <v>100</v>
      </c>
      <c r="V29" s="1507" t="s">
        <v>8</v>
      </c>
      <c r="W29" s="1508">
        <f t="shared" si="14"/>
        <v>100</v>
      </c>
      <c r="X29" s="1501"/>
      <c r="Y29" s="355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57"/>
      <c r="Q30" s="1506">
        <f t="shared" si="11"/>
        <v>111</v>
      </c>
      <c r="R30" s="1507" t="s">
        <v>8</v>
      </c>
      <c r="S30" s="1508">
        <f t="shared" si="12"/>
        <v>100</v>
      </c>
      <c r="T30" s="1507" t="s">
        <v>8</v>
      </c>
      <c r="U30" s="1508">
        <f t="shared" si="13"/>
        <v>100</v>
      </c>
      <c r="V30" s="1507" t="s">
        <v>8</v>
      </c>
      <c r="W30" s="1508">
        <f t="shared" si="14"/>
        <v>100</v>
      </c>
      <c r="X30" s="1501"/>
      <c r="Y30" s="355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57"/>
      <c r="Q31" s="1506">
        <f t="shared" si="11"/>
        <v>111</v>
      </c>
      <c r="R31" s="1507" t="s">
        <v>8</v>
      </c>
      <c r="S31" s="1508">
        <f t="shared" si="12"/>
        <v>100</v>
      </c>
      <c r="T31" s="1507" t="s">
        <v>8</v>
      </c>
      <c r="U31" s="1508">
        <f t="shared" si="13"/>
        <v>100</v>
      </c>
      <c r="V31" s="1507" t="s">
        <v>8</v>
      </c>
      <c r="W31" s="1508">
        <f t="shared" si="14"/>
        <v>100</v>
      </c>
      <c r="X31" s="1501"/>
      <c r="Y31" s="3557"/>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58" t="s">
        <v>544</v>
      </c>
      <c r="Q32" s="1506" t="str">
        <f t="shared" si="11"/>
        <v>商业类型</v>
      </c>
      <c r="R32" s="1507" t="s">
        <v>8</v>
      </c>
      <c r="S32" s="1508">
        <f t="shared" si="12"/>
        <v>100</v>
      </c>
      <c r="T32" s="1507" t="s">
        <v>8</v>
      </c>
      <c r="U32" s="1508">
        <f t="shared" si="13"/>
        <v>100</v>
      </c>
      <c r="V32" s="1507" t="s">
        <v>8</v>
      </c>
      <c r="W32" s="1508">
        <f t="shared" si="14"/>
        <v>100</v>
      </c>
      <c r="X32" s="1501"/>
      <c r="Y32" s="355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59"/>
      <c r="Q33" s="1535" t="str">
        <f t="shared" si="11"/>
        <v>项目建筑规模</v>
      </c>
      <c r="R33" s="1511" t="s">
        <v>8</v>
      </c>
      <c r="S33" s="1512" t="e">
        <f t="shared" si="12"/>
        <v>#N/A</v>
      </c>
      <c r="T33" s="1511" t="s">
        <v>8</v>
      </c>
      <c r="U33" s="1512" t="e">
        <f t="shared" si="13"/>
        <v>#N/A</v>
      </c>
      <c r="V33" s="1511" t="s">
        <v>8</v>
      </c>
      <c r="W33" s="1512" t="e">
        <f t="shared" si="14"/>
        <v>#N/A</v>
      </c>
      <c r="X33" s="1513"/>
      <c r="Y33" s="355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59"/>
      <c r="Q34" s="1506" t="str">
        <f t="shared" si="11"/>
        <v>建筑结构</v>
      </c>
      <c r="R34" s="1507" t="s">
        <v>8</v>
      </c>
      <c r="S34" s="1508">
        <f t="shared" si="12"/>
        <v>100</v>
      </c>
      <c r="T34" s="1507" t="s">
        <v>8</v>
      </c>
      <c r="U34" s="1508">
        <f t="shared" si="13"/>
        <v>100</v>
      </c>
      <c r="V34" s="1507" t="s">
        <v>8</v>
      </c>
      <c r="W34" s="1508">
        <f t="shared" si="14"/>
        <v>100</v>
      </c>
      <c r="X34" s="1501"/>
      <c r="Y34" s="355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59"/>
      <c r="Q35" s="1506" t="str">
        <f t="shared" si="11"/>
        <v>公共部分装修</v>
      </c>
      <c r="R35" s="1507" t="s">
        <v>8</v>
      </c>
      <c r="S35" s="1508">
        <f t="shared" si="12"/>
        <v>100</v>
      </c>
      <c r="T35" s="1507" t="s">
        <v>8</v>
      </c>
      <c r="U35" s="1508">
        <f t="shared" si="13"/>
        <v>100</v>
      </c>
      <c r="V35" s="1507" t="s">
        <v>8</v>
      </c>
      <c r="W35" s="1508">
        <f t="shared" si="14"/>
        <v>100</v>
      </c>
      <c r="X35" s="1501"/>
      <c r="Y35" s="355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59"/>
      <c r="Q36" s="1506" t="str">
        <f t="shared" si="11"/>
        <v>成新度</v>
      </c>
      <c r="R36" s="1507" t="s">
        <v>8</v>
      </c>
      <c r="S36" s="1508" t="e">
        <f t="shared" si="12"/>
        <v>#N/A</v>
      </c>
      <c r="T36" s="1507" t="s">
        <v>8</v>
      </c>
      <c r="U36" s="1508" t="e">
        <f t="shared" si="13"/>
        <v>#N/A</v>
      </c>
      <c r="V36" s="1507" t="s">
        <v>8</v>
      </c>
      <c r="W36" s="1508" t="e">
        <f t="shared" si="14"/>
        <v>#N/A</v>
      </c>
      <c r="X36" s="1501"/>
      <c r="Y36" s="3559"/>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59"/>
      <c r="Q37" s="1133" t="str">
        <f t="shared" si="11"/>
        <v>市政基础设施</v>
      </c>
      <c r="R37" s="1502" t="s">
        <v>8</v>
      </c>
      <c r="S37" s="1503">
        <f t="shared" si="12"/>
        <v>100</v>
      </c>
      <c r="T37" s="1502" t="s">
        <v>8</v>
      </c>
      <c r="U37" s="1503">
        <f t="shared" si="13"/>
        <v>100</v>
      </c>
      <c r="V37" s="1502" t="s">
        <v>8</v>
      </c>
      <c r="W37" s="1503">
        <f t="shared" si="14"/>
        <v>100</v>
      </c>
      <c r="X37" s="1504"/>
      <c r="Y37" s="355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59" t="s">
        <v>760</v>
      </c>
      <c r="Q38" s="1506" t="str">
        <f t="shared" si="11"/>
        <v>业态</v>
      </c>
      <c r="R38" s="1507" t="s">
        <v>8</v>
      </c>
      <c r="S38" s="1508">
        <f t="shared" si="12"/>
        <v>100</v>
      </c>
      <c r="T38" s="1507" t="s">
        <v>8</v>
      </c>
      <c r="U38" s="1508">
        <f t="shared" si="13"/>
        <v>100</v>
      </c>
      <c r="V38" s="1507" t="s">
        <v>8</v>
      </c>
      <c r="W38" s="1508">
        <f t="shared" si="14"/>
        <v>100</v>
      </c>
      <c r="X38" s="1501"/>
      <c r="Y38" s="355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59"/>
      <c r="Q39" s="1506" t="str">
        <f t="shared" si="11"/>
        <v>层高</v>
      </c>
      <c r="R39" s="1507" t="s">
        <v>8</v>
      </c>
      <c r="S39" s="1508">
        <f t="shared" si="12"/>
        <v>100</v>
      </c>
      <c r="T39" s="1507" t="s">
        <v>8</v>
      </c>
      <c r="U39" s="1508">
        <f t="shared" si="13"/>
        <v>100</v>
      </c>
      <c r="V39" s="1507" t="s">
        <v>8</v>
      </c>
      <c r="W39" s="1508">
        <f t="shared" si="14"/>
        <v>100</v>
      </c>
      <c r="X39" s="1501"/>
      <c r="Y39" s="355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59"/>
      <c r="Q40" s="1506" t="str">
        <f t="shared" si="11"/>
        <v>单套建筑面积</v>
      </c>
      <c r="R40" s="1507" t="s">
        <v>8</v>
      </c>
      <c r="S40" s="1508">
        <f t="shared" si="12"/>
        <v>100</v>
      </c>
      <c r="T40" s="1507" t="s">
        <v>8</v>
      </c>
      <c r="U40" s="1508">
        <f t="shared" si="13"/>
        <v>100</v>
      </c>
      <c r="V40" s="1507" t="s">
        <v>8</v>
      </c>
      <c r="W40" s="1508">
        <f t="shared" si="14"/>
        <v>100</v>
      </c>
      <c r="X40" s="1501"/>
      <c r="Y40" s="355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59"/>
      <c r="Q41" s="1535" t="str">
        <f t="shared" si="11"/>
        <v>进深比</v>
      </c>
      <c r="R41" s="1511" t="s">
        <v>8</v>
      </c>
      <c r="S41" s="1512">
        <f t="shared" si="12"/>
        <v>100</v>
      </c>
      <c r="T41" s="1511" t="s">
        <v>8</v>
      </c>
      <c r="U41" s="1512">
        <f t="shared" si="13"/>
        <v>100</v>
      </c>
      <c r="V41" s="1511" t="s">
        <v>8</v>
      </c>
      <c r="W41" s="1512">
        <f t="shared" si="14"/>
        <v>100</v>
      </c>
      <c r="X41" s="1513"/>
      <c r="Y41" s="355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59"/>
      <c r="Q42" s="1506" t="str">
        <f t="shared" si="11"/>
        <v>内部装修</v>
      </c>
      <c r="R42" s="1507" t="s">
        <v>8</v>
      </c>
      <c r="S42" s="1508">
        <f t="shared" si="12"/>
        <v>100</v>
      </c>
      <c r="T42" s="1507" t="s">
        <v>8</v>
      </c>
      <c r="U42" s="1508">
        <f t="shared" si="13"/>
        <v>100</v>
      </c>
      <c r="V42" s="1507" t="s">
        <v>8</v>
      </c>
      <c r="W42" s="1508">
        <f t="shared" si="14"/>
        <v>100</v>
      </c>
      <c r="X42" s="1501"/>
      <c r="Y42" s="355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59"/>
      <c r="Q43" s="1506" t="str">
        <f t="shared" si="11"/>
        <v>内部装修维护情况</v>
      </c>
      <c r="R43" s="1507" t="s">
        <v>8</v>
      </c>
      <c r="S43" s="1508">
        <f t="shared" si="12"/>
        <v>100</v>
      </c>
      <c r="T43" s="1507" t="s">
        <v>8</v>
      </c>
      <c r="U43" s="1508">
        <f t="shared" si="13"/>
        <v>100</v>
      </c>
      <c r="V43" s="1507" t="s">
        <v>8</v>
      </c>
      <c r="W43" s="1508">
        <f t="shared" si="14"/>
        <v>100</v>
      </c>
      <c r="X43" s="1501"/>
      <c r="Y43" s="355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59"/>
      <c r="Q44" s="1133">
        <f t="shared" si="11"/>
        <v>111</v>
      </c>
      <c r="R44" s="1502" t="s">
        <v>8</v>
      </c>
      <c r="S44" s="1503">
        <f t="shared" si="12"/>
        <v>100</v>
      </c>
      <c r="T44" s="1502" t="s">
        <v>8</v>
      </c>
      <c r="U44" s="1503">
        <f t="shared" si="13"/>
        <v>100</v>
      </c>
      <c r="V44" s="1502" t="s">
        <v>8</v>
      </c>
      <c r="W44" s="1503">
        <f t="shared" si="14"/>
        <v>100</v>
      </c>
      <c r="X44" s="1504"/>
      <c r="Y44" s="355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59"/>
      <c r="Q45" s="1506">
        <f t="shared" si="11"/>
        <v>111</v>
      </c>
      <c r="R45" s="1507" t="s">
        <v>8</v>
      </c>
      <c r="S45" s="1508">
        <f t="shared" si="12"/>
        <v>100</v>
      </c>
      <c r="T45" s="1507" t="s">
        <v>8</v>
      </c>
      <c r="U45" s="1508">
        <f t="shared" si="13"/>
        <v>100</v>
      </c>
      <c r="V45" s="1507" t="s">
        <v>8</v>
      </c>
      <c r="W45" s="1508">
        <f t="shared" si="14"/>
        <v>100</v>
      </c>
      <c r="X45" s="1501"/>
      <c r="Y45" s="355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1"/>
      <c r="Q46" s="1506">
        <f t="shared" si="11"/>
        <v>111</v>
      </c>
      <c r="R46" s="1507" t="s">
        <v>8</v>
      </c>
      <c r="S46" s="1508">
        <f t="shared" si="12"/>
        <v>100</v>
      </c>
      <c r="T46" s="1507" t="s">
        <v>8</v>
      </c>
      <c r="U46" s="1508">
        <f t="shared" si="13"/>
        <v>100</v>
      </c>
      <c r="V46" s="1507" t="s">
        <v>8</v>
      </c>
      <c r="W46" s="1508">
        <f t="shared" si="14"/>
        <v>100</v>
      </c>
      <c r="X46" s="1501"/>
      <c r="Y46" s="3641"/>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22" t="str">
        <f>A47</f>
        <v>成交单价（元/平方米）</v>
      </c>
      <c r="Q47" s="3522"/>
      <c r="R47" s="3640">
        <f>E47</f>
        <v>0</v>
      </c>
      <c r="S47" s="3640"/>
      <c r="T47" s="3640">
        <f>G47</f>
        <v>0</v>
      </c>
      <c r="U47" s="3640"/>
      <c r="V47" s="3640">
        <f>I47</f>
        <v>0</v>
      </c>
      <c r="W47" s="3640"/>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22" t="str">
        <f>A48</f>
        <v>比较价格（元/平方米）</v>
      </c>
      <c r="Q48" s="3522"/>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19" t="str">
        <f>A49</f>
        <v>估价对象XX用房的比较价格（楼面单价，元/平方米）</v>
      </c>
      <c r="Q49" s="3520"/>
      <c r="R49" s="3639" t="e">
        <f>IF(F1="售价",ROUND(IF(D48="简单平均",AVERAGE(R48:V48),R48*F48+T48*H48+V48*J48),0),ROUND(IF(D48="简单平均",AVERAGE(R48:V48),R48*F48+T48*H48+V48*J48),1))</f>
        <v>#DIV/0!</v>
      </c>
      <c r="S49" s="3639"/>
      <c r="T49" s="3639"/>
      <c r="U49" s="3639"/>
      <c r="V49" s="3639"/>
      <c r="W49" s="363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28" t="s">
        <v>516</v>
      </c>
      <c r="D4" s="3529"/>
      <c r="E4" s="3562" t="s">
        <v>517</v>
      </c>
      <c r="F4" s="3563"/>
      <c r="G4" s="3528" t="s">
        <v>518</v>
      </c>
      <c r="H4" s="3529"/>
      <c r="I4" s="3528" t="s">
        <v>519</v>
      </c>
      <c r="J4" s="3529"/>
      <c r="K4" s="508" t="s">
        <v>520</v>
      </c>
      <c r="L4" s="2015"/>
      <c r="M4" s="2016"/>
      <c r="N4" s="2016"/>
      <c r="O4" s="2016"/>
      <c r="P4" s="3645" t="s">
        <v>521</v>
      </c>
      <c r="Q4" s="3531"/>
      <c r="R4" s="3536" t="s">
        <v>517</v>
      </c>
      <c r="S4" s="3537"/>
      <c r="T4" s="3536" t="s">
        <v>518</v>
      </c>
      <c r="U4" s="3537"/>
      <c r="V4" s="3523" t="s">
        <v>519</v>
      </c>
      <c r="W4" s="3523"/>
      <c r="X4" s="1501"/>
      <c r="Y4" s="3536" t="s">
        <v>521</v>
      </c>
      <c r="Z4" s="3537"/>
      <c r="AA4" s="3525" t="s">
        <v>517</v>
      </c>
      <c r="AB4" s="3525" t="s">
        <v>518</v>
      </c>
      <c r="AC4" s="3525" t="s">
        <v>519</v>
      </c>
    </row>
    <row r="5" spans="1:29" ht="15">
      <c r="A5" s="509"/>
      <c r="B5" s="510"/>
      <c r="C5" s="3544" t="s">
        <v>2891</v>
      </c>
      <c r="D5" s="3545"/>
      <c r="E5" s="3564" t="s">
        <v>2892</v>
      </c>
      <c r="F5" s="3565"/>
      <c r="G5" s="3544" t="s">
        <v>2893</v>
      </c>
      <c r="H5" s="3545"/>
      <c r="I5" s="3544" t="s">
        <v>2894</v>
      </c>
      <c r="J5" s="3545"/>
      <c r="K5" s="508"/>
      <c r="L5" s="2015"/>
      <c r="M5" s="2016"/>
      <c r="N5" s="2016"/>
      <c r="O5" s="2016"/>
      <c r="P5" s="3646"/>
      <c r="Q5" s="3533"/>
      <c r="R5" s="3538"/>
      <c r="S5" s="3539"/>
      <c r="T5" s="3538"/>
      <c r="U5" s="3539"/>
      <c r="V5" s="3523"/>
      <c r="W5" s="3523"/>
      <c r="X5" s="1501"/>
      <c r="Y5" s="3538"/>
      <c r="Z5" s="3539"/>
      <c r="AA5" s="3526"/>
      <c r="AB5" s="3526"/>
      <c r="AC5" s="3526"/>
    </row>
    <row r="6" spans="1:29" ht="15.75" thickBot="1">
      <c r="A6" s="511"/>
      <c r="B6" s="512"/>
      <c r="C6" s="3542" t="s">
        <v>2895</v>
      </c>
      <c r="D6" s="3543"/>
      <c r="E6" s="3560" t="s">
        <v>2895</v>
      </c>
      <c r="F6" s="3561"/>
      <c r="G6" s="3542" t="s">
        <v>2895</v>
      </c>
      <c r="H6" s="3543"/>
      <c r="I6" s="3542" t="s">
        <v>2895</v>
      </c>
      <c r="J6" s="3543"/>
      <c r="K6" s="508" t="s">
        <v>522</v>
      </c>
      <c r="L6" s="2015"/>
      <c r="M6" s="2016"/>
      <c r="N6" s="2016"/>
      <c r="O6" s="2016"/>
      <c r="P6" s="3647"/>
      <c r="Q6" s="3535"/>
      <c r="R6" s="3538"/>
      <c r="S6" s="3539"/>
      <c r="T6" s="3540"/>
      <c r="U6" s="3541"/>
      <c r="V6" s="3523"/>
      <c r="W6" s="3523"/>
      <c r="X6" s="1501"/>
      <c r="Y6" s="3540"/>
      <c r="Z6" s="3541"/>
      <c r="AA6" s="3527"/>
      <c r="AB6" s="3527"/>
      <c r="AC6" s="3527"/>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5" t="s">
        <v>524</v>
      </c>
      <c r="Q7" s="3555"/>
      <c r="R7" s="1502" t="s">
        <v>8</v>
      </c>
      <c r="S7" s="1503">
        <f t="shared" ref="S7:S15" si="0">F7</f>
        <v>0</v>
      </c>
      <c r="T7" s="1502" t="s">
        <v>8</v>
      </c>
      <c r="U7" s="1503">
        <f t="shared" ref="U7:U15" si="1">H7</f>
        <v>0</v>
      </c>
      <c r="V7" s="1502" t="s">
        <v>8</v>
      </c>
      <c r="W7" s="1503">
        <f t="shared" ref="W7:W15" si="2">J7</f>
        <v>0</v>
      </c>
      <c r="X7" s="1504"/>
      <c r="Y7" s="3553" t="s">
        <v>524</v>
      </c>
      <c r="Z7" s="3554"/>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5" t="s">
        <v>527</v>
      </c>
      <c r="Q8" s="3554"/>
      <c r="R8" s="1502" t="s">
        <v>8</v>
      </c>
      <c r="S8" s="1503">
        <f t="shared" si="0"/>
        <v>0</v>
      </c>
      <c r="T8" s="1502" t="s">
        <v>8</v>
      </c>
      <c r="U8" s="1503">
        <f t="shared" si="1"/>
        <v>0</v>
      </c>
      <c r="V8" s="1502" t="s">
        <v>8</v>
      </c>
      <c r="W8" s="1503">
        <f t="shared" si="2"/>
        <v>0</v>
      </c>
      <c r="X8" s="1504"/>
      <c r="Y8" s="3553" t="s">
        <v>527</v>
      </c>
      <c r="Z8" s="3554"/>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2" t="s">
        <v>529</v>
      </c>
      <c r="Q9" s="1133" t="str">
        <f t="shared" ref="Q9:Q15" si="6">B9</f>
        <v>用途</v>
      </c>
      <c r="R9" s="1502" t="s">
        <v>8</v>
      </c>
      <c r="S9" s="1503">
        <f t="shared" si="0"/>
        <v>100</v>
      </c>
      <c r="T9" s="1502" t="s">
        <v>8</v>
      </c>
      <c r="U9" s="1503">
        <f t="shared" si="1"/>
        <v>100</v>
      </c>
      <c r="V9" s="1502" t="s">
        <v>8</v>
      </c>
      <c r="W9" s="1503">
        <f t="shared" si="2"/>
        <v>100</v>
      </c>
      <c r="X9" s="1504"/>
      <c r="Y9" s="3468"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2"/>
      <c r="Q10" s="1133" t="str">
        <f t="shared" si="6"/>
        <v>土地使用年限（年）</v>
      </c>
      <c r="R10" s="1502" t="s">
        <v>8</v>
      </c>
      <c r="S10" s="1503">
        <f t="shared" si="0"/>
        <v>100</v>
      </c>
      <c r="T10" s="1502" t="s">
        <v>8</v>
      </c>
      <c r="U10" s="1503">
        <f t="shared" si="1"/>
        <v>100</v>
      </c>
      <c r="V10" s="1502" t="s">
        <v>8</v>
      </c>
      <c r="W10" s="1503">
        <f t="shared" si="2"/>
        <v>100</v>
      </c>
      <c r="X10" s="1504"/>
      <c r="Y10" s="3468"/>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2"/>
      <c r="Q11" s="1133" t="str">
        <f t="shared" si="6"/>
        <v>容积率</v>
      </c>
      <c r="R11" s="1502" t="s">
        <v>8</v>
      </c>
      <c r="S11" s="1503" t="e">
        <f t="shared" si="0"/>
        <v>#N/A</v>
      </c>
      <c r="T11" s="1502" t="s">
        <v>8</v>
      </c>
      <c r="U11" s="1503" t="e">
        <f t="shared" si="1"/>
        <v>#N/A</v>
      </c>
      <c r="V11" s="1502" t="s">
        <v>8</v>
      </c>
      <c r="W11" s="1503" t="e">
        <f t="shared" si="2"/>
        <v>#N/A</v>
      </c>
      <c r="X11" s="1504"/>
      <c r="Y11" s="3468"/>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22"/>
      <c r="Q12" s="1133">
        <f t="shared" si="6"/>
        <v>111</v>
      </c>
      <c r="R12" s="1502" t="s">
        <v>8</v>
      </c>
      <c r="S12" s="1503">
        <f t="shared" si="0"/>
        <v>100</v>
      </c>
      <c r="T12" s="1502" t="s">
        <v>8</v>
      </c>
      <c r="U12" s="1503">
        <f t="shared" si="1"/>
        <v>100</v>
      </c>
      <c r="V12" s="1502" t="s">
        <v>8</v>
      </c>
      <c r="W12" s="1503">
        <f t="shared" si="2"/>
        <v>100</v>
      </c>
      <c r="X12" s="1504"/>
      <c r="Y12" s="3468"/>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22"/>
      <c r="Q13" s="1133">
        <f t="shared" si="6"/>
        <v>111</v>
      </c>
      <c r="R13" s="1502" t="s">
        <v>8</v>
      </c>
      <c r="S13" s="1503">
        <f t="shared" si="0"/>
        <v>100</v>
      </c>
      <c r="T13" s="1502" t="s">
        <v>8</v>
      </c>
      <c r="U13" s="1503">
        <f t="shared" si="1"/>
        <v>100</v>
      </c>
      <c r="V13" s="1502" t="s">
        <v>8</v>
      </c>
      <c r="W13" s="1503">
        <f t="shared" si="2"/>
        <v>100</v>
      </c>
      <c r="X13" s="1504"/>
      <c r="Y13" s="3468"/>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22"/>
      <c r="Q14" s="1133">
        <f t="shared" si="6"/>
        <v>111</v>
      </c>
      <c r="R14" s="1502" t="s">
        <v>8</v>
      </c>
      <c r="S14" s="1503">
        <f t="shared" si="0"/>
        <v>100</v>
      </c>
      <c r="T14" s="1502" t="s">
        <v>8</v>
      </c>
      <c r="U14" s="1503">
        <f t="shared" si="1"/>
        <v>100</v>
      </c>
      <c r="V14" s="1502" t="s">
        <v>8</v>
      </c>
      <c r="W14" s="1503">
        <f t="shared" si="2"/>
        <v>100</v>
      </c>
      <c r="X14" s="1504"/>
      <c r="Y14" s="3468"/>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56" t="s">
        <v>534</v>
      </c>
      <c r="Q15" s="1506" t="str">
        <f t="shared" si="6"/>
        <v>办公集聚程度</v>
      </c>
      <c r="R15" s="1507" t="s">
        <v>8</v>
      </c>
      <c r="S15" s="1508">
        <f t="shared" si="0"/>
        <v>100</v>
      </c>
      <c r="T15" s="1507" t="s">
        <v>8</v>
      </c>
      <c r="U15" s="1508">
        <f t="shared" si="1"/>
        <v>100</v>
      </c>
      <c r="V15" s="1507" t="s">
        <v>8</v>
      </c>
      <c r="W15" s="1508">
        <f t="shared" si="2"/>
        <v>100</v>
      </c>
      <c r="X15" s="1501"/>
      <c r="Y15" s="355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57"/>
      <c r="Q16" s="1506"/>
      <c r="R16" s="1507"/>
      <c r="S16" s="1508"/>
      <c r="T16" s="1507"/>
      <c r="U16" s="1508"/>
      <c r="V16" s="1507"/>
      <c r="W16" s="1508"/>
      <c r="X16" s="1501"/>
      <c r="Y16" s="3557"/>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57"/>
      <c r="Q17" s="1506" t="str">
        <f>B17</f>
        <v>交通便捷度</v>
      </c>
      <c r="R17" s="1507" t="s">
        <v>8</v>
      </c>
      <c r="S17" s="1508">
        <f>F17</f>
        <v>100</v>
      </c>
      <c r="T17" s="1507" t="s">
        <v>8</v>
      </c>
      <c r="U17" s="1508">
        <f>H17</f>
        <v>100</v>
      </c>
      <c r="V17" s="1507" t="s">
        <v>8</v>
      </c>
      <c r="W17" s="1508">
        <f>J17</f>
        <v>100</v>
      </c>
      <c r="X17" s="1501"/>
      <c r="Y17" s="355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57"/>
      <c r="Q18" s="1506"/>
      <c r="R18" s="1507"/>
      <c r="S18" s="1508"/>
      <c r="T18" s="1507"/>
      <c r="U18" s="1508"/>
      <c r="V18" s="1507"/>
      <c r="W18" s="1508"/>
      <c r="X18" s="1501"/>
      <c r="Y18" s="3557"/>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57"/>
      <c r="Q19" s="1506" t="str">
        <f>B19</f>
        <v>公共配套设施</v>
      </c>
      <c r="R19" s="1507" t="s">
        <v>8</v>
      </c>
      <c r="S19" s="1508">
        <f>F19</f>
        <v>100</v>
      </c>
      <c r="T19" s="1507" t="s">
        <v>8</v>
      </c>
      <c r="U19" s="1508">
        <f>H19</f>
        <v>100</v>
      </c>
      <c r="V19" s="1507" t="s">
        <v>8</v>
      </c>
      <c r="W19" s="1508">
        <f>J19</f>
        <v>100</v>
      </c>
      <c r="X19" s="1501"/>
      <c r="Y19" s="355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57"/>
      <c r="Q20" s="1506"/>
      <c r="R20" s="1507"/>
      <c r="S20" s="1508"/>
      <c r="T20" s="1507"/>
      <c r="U20" s="1508"/>
      <c r="V20" s="1507"/>
      <c r="W20" s="1508"/>
      <c r="X20" s="1501"/>
      <c r="Y20" s="3557"/>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57"/>
      <c r="Q21" s="2429" t="str">
        <f>B21</f>
        <v>基础设施水平</v>
      </c>
      <c r="R21" s="1507" t="s">
        <v>8</v>
      </c>
      <c r="S21" s="1508">
        <f>F21</f>
        <v>100</v>
      </c>
      <c r="T21" s="1507" t="s">
        <v>8</v>
      </c>
      <c r="U21" s="1508">
        <f>H21</f>
        <v>100</v>
      </c>
      <c r="V21" s="1507" t="s">
        <v>8</v>
      </c>
      <c r="W21" s="1508">
        <f>J21</f>
        <v>100</v>
      </c>
      <c r="X21" s="2431"/>
      <c r="Y21" s="355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57"/>
      <c r="Q22" s="2429"/>
      <c r="R22" s="1507"/>
      <c r="S22" s="1508"/>
      <c r="T22" s="1507"/>
      <c r="U22" s="1508"/>
      <c r="V22" s="1507"/>
      <c r="W22" s="1508"/>
      <c r="X22" s="2431"/>
      <c r="Y22" s="3557"/>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57"/>
      <c r="Q23" s="1506" t="str">
        <f>B23</f>
        <v>环境质量</v>
      </c>
      <c r="R23" s="1507" t="s">
        <v>8</v>
      </c>
      <c r="S23" s="1508">
        <f>F23</f>
        <v>100</v>
      </c>
      <c r="T23" s="1507" t="s">
        <v>8</v>
      </c>
      <c r="U23" s="1508">
        <f>H23</f>
        <v>100</v>
      </c>
      <c r="V23" s="1507" t="s">
        <v>8</v>
      </c>
      <c r="W23" s="1508">
        <f>J23</f>
        <v>100</v>
      </c>
      <c r="X23" s="1501"/>
      <c r="Y23" s="355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57"/>
      <c r="Q24" s="1506"/>
      <c r="R24" s="1507"/>
      <c r="S24" s="1508"/>
      <c r="T24" s="1507"/>
      <c r="U24" s="1508"/>
      <c r="V24" s="1507"/>
      <c r="W24" s="1508"/>
      <c r="X24" s="1501"/>
      <c r="Y24" s="355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57"/>
      <c r="Q25" s="1506" t="str">
        <f>B25</f>
        <v>毗邻道路的类型与等级</v>
      </c>
      <c r="R25" s="1507" t="s">
        <v>8</v>
      </c>
      <c r="S25" s="1508">
        <f>F25</f>
        <v>100</v>
      </c>
      <c r="T25" s="1507" t="s">
        <v>8</v>
      </c>
      <c r="U25" s="1508">
        <f>H25</f>
        <v>100</v>
      </c>
      <c r="V25" s="1507" t="s">
        <v>8</v>
      </c>
      <c r="W25" s="1508">
        <f>J25</f>
        <v>100</v>
      </c>
      <c r="X25" s="1501"/>
      <c r="Y25" s="355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57"/>
      <c r="Q26" s="1506"/>
      <c r="R26" s="1507"/>
      <c r="S26" s="1508"/>
      <c r="T26" s="1507"/>
      <c r="U26" s="1508"/>
      <c r="V26" s="1507"/>
      <c r="W26" s="1508"/>
      <c r="X26" s="1501"/>
      <c r="Y26" s="355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57"/>
      <c r="Q27" s="1506" t="str">
        <f t="shared" ref="Q27:Q47" si="11">B27</f>
        <v>楼层</v>
      </c>
      <c r="R27" s="1507" t="s">
        <v>8</v>
      </c>
      <c r="S27" s="1508">
        <f>F27</f>
        <v>100</v>
      </c>
      <c r="T27" s="1507" t="s">
        <v>8</v>
      </c>
      <c r="U27" s="1508">
        <f>H27</f>
        <v>100</v>
      </c>
      <c r="V27" s="1507" t="s">
        <v>8</v>
      </c>
      <c r="W27" s="1508">
        <f>J27</f>
        <v>100</v>
      </c>
      <c r="X27" s="1501"/>
      <c r="Y27" s="355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57"/>
      <c r="Q28" s="1133" t="str">
        <f t="shared" si="11"/>
        <v>朝向</v>
      </c>
      <c r="R28" s="1502" t="s">
        <v>8</v>
      </c>
      <c r="S28" s="1503">
        <f>F28</f>
        <v>100</v>
      </c>
      <c r="T28" s="1502" t="s">
        <v>8</v>
      </c>
      <c r="U28" s="1503">
        <f>H28</f>
        <v>100</v>
      </c>
      <c r="V28" s="1502" t="s">
        <v>8</v>
      </c>
      <c r="W28" s="1503">
        <f>J28</f>
        <v>100</v>
      </c>
      <c r="X28" s="1504"/>
      <c r="Y28" s="355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57"/>
      <c r="Q29" s="1506">
        <f t="shared" si="11"/>
        <v>111</v>
      </c>
      <c r="R29" s="1507" t="s">
        <v>8</v>
      </c>
      <c r="S29" s="1508">
        <f t="shared" ref="S29:S47" si="12">F29</f>
        <v>100</v>
      </c>
      <c r="T29" s="1507" t="s">
        <v>8</v>
      </c>
      <c r="U29" s="1508">
        <f t="shared" ref="U29:U47" si="13">H29</f>
        <v>100</v>
      </c>
      <c r="V29" s="1507" t="s">
        <v>8</v>
      </c>
      <c r="W29" s="1508">
        <f t="shared" ref="W29:W47" si="14">J29</f>
        <v>100</v>
      </c>
      <c r="X29" s="1501"/>
      <c r="Y29" s="355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57"/>
      <c r="Q30" s="1506">
        <f t="shared" si="11"/>
        <v>111</v>
      </c>
      <c r="R30" s="1507" t="s">
        <v>8</v>
      </c>
      <c r="S30" s="1508">
        <f t="shared" si="12"/>
        <v>100</v>
      </c>
      <c r="T30" s="1507" t="s">
        <v>8</v>
      </c>
      <c r="U30" s="1508">
        <f t="shared" si="13"/>
        <v>100</v>
      </c>
      <c r="V30" s="1507" t="s">
        <v>8</v>
      </c>
      <c r="W30" s="1508">
        <f t="shared" si="14"/>
        <v>100</v>
      </c>
      <c r="X30" s="1501"/>
      <c r="Y30" s="355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57"/>
      <c r="Q31" s="1506">
        <f t="shared" si="11"/>
        <v>111</v>
      </c>
      <c r="R31" s="1507" t="s">
        <v>8</v>
      </c>
      <c r="S31" s="1508">
        <f t="shared" si="12"/>
        <v>100</v>
      </c>
      <c r="T31" s="1507" t="s">
        <v>8</v>
      </c>
      <c r="U31" s="1508">
        <f t="shared" si="13"/>
        <v>100</v>
      </c>
      <c r="V31" s="1507" t="s">
        <v>8</v>
      </c>
      <c r="W31" s="1508">
        <f t="shared" si="14"/>
        <v>100</v>
      </c>
      <c r="X31" s="1501"/>
      <c r="Y31" s="355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57"/>
      <c r="Q32" s="1506">
        <f t="shared" si="11"/>
        <v>111</v>
      </c>
      <c r="R32" s="1507" t="s">
        <v>8</v>
      </c>
      <c r="S32" s="1508">
        <f t="shared" si="12"/>
        <v>100</v>
      </c>
      <c r="T32" s="1507" t="s">
        <v>8</v>
      </c>
      <c r="U32" s="1508">
        <f t="shared" si="13"/>
        <v>100</v>
      </c>
      <c r="V32" s="1507" t="s">
        <v>8</v>
      </c>
      <c r="W32" s="1508">
        <f t="shared" si="14"/>
        <v>100</v>
      </c>
      <c r="X32" s="1501"/>
      <c r="Y32" s="3557"/>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58" t="s">
        <v>544</v>
      </c>
      <c r="Q33" s="1506" t="str">
        <f t="shared" si="11"/>
        <v>建筑类型</v>
      </c>
      <c r="R33" s="1507" t="s">
        <v>8</v>
      </c>
      <c r="S33" s="1508">
        <f t="shared" si="12"/>
        <v>100</v>
      </c>
      <c r="T33" s="1507" t="s">
        <v>8</v>
      </c>
      <c r="U33" s="1508">
        <f t="shared" si="13"/>
        <v>100</v>
      </c>
      <c r="V33" s="1507" t="s">
        <v>8</v>
      </c>
      <c r="W33" s="1508">
        <f t="shared" si="14"/>
        <v>100</v>
      </c>
      <c r="X33" s="1501"/>
      <c r="Y33" s="355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59"/>
      <c r="Q34" s="1535" t="str">
        <f t="shared" si="11"/>
        <v>项目建筑规模</v>
      </c>
      <c r="R34" s="1511" t="s">
        <v>8</v>
      </c>
      <c r="S34" s="1512" t="e">
        <f t="shared" si="12"/>
        <v>#N/A</v>
      </c>
      <c r="T34" s="1511" t="s">
        <v>8</v>
      </c>
      <c r="U34" s="1512" t="e">
        <f t="shared" si="13"/>
        <v>#N/A</v>
      </c>
      <c r="V34" s="1511" t="s">
        <v>8</v>
      </c>
      <c r="W34" s="1512" t="e">
        <f t="shared" si="14"/>
        <v>#N/A</v>
      </c>
      <c r="X34" s="1513"/>
      <c r="Y34" s="355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59"/>
      <c r="Q35" s="1506" t="str">
        <f t="shared" si="11"/>
        <v>建筑结构</v>
      </c>
      <c r="R35" s="1507" t="s">
        <v>8</v>
      </c>
      <c r="S35" s="1508">
        <f t="shared" si="12"/>
        <v>100</v>
      </c>
      <c r="T35" s="1507" t="s">
        <v>8</v>
      </c>
      <c r="U35" s="1508">
        <f t="shared" si="13"/>
        <v>100</v>
      </c>
      <c r="V35" s="1507" t="s">
        <v>8</v>
      </c>
      <c r="W35" s="1508">
        <f t="shared" si="14"/>
        <v>100</v>
      </c>
      <c r="X35" s="1501"/>
      <c r="Y35" s="355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59"/>
      <c r="Q36" s="1506" t="str">
        <f t="shared" si="11"/>
        <v>公共部分装修</v>
      </c>
      <c r="R36" s="1507" t="s">
        <v>8</v>
      </c>
      <c r="S36" s="1508">
        <f t="shared" si="12"/>
        <v>100</v>
      </c>
      <c r="T36" s="1507" t="s">
        <v>8</v>
      </c>
      <c r="U36" s="1508">
        <f t="shared" si="13"/>
        <v>100</v>
      </c>
      <c r="V36" s="1507" t="s">
        <v>8</v>
      </c>
      <c r="W36" s="1508">
        <f t="shared" si="14"/>
        <v>100</v>
      </c>
      <c r="X36" s="1501"/>
      <c r="Y36" s="355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59"/>
      <c r="Q37" s="1506" t="str">
        <f t="shared" si="11"/>
        <v>成新度</v>
      </c>
      <c r="R37" s="1507" t="s">
        <v>8</v>
      </c>
      <c r="S37" s="1508" t="e">
        <f t="shared" si="12"/>
        <v>#N/A</v>
      </c>
      <c r="T37" s="1507" t="s">
        <v>8</v>
      </c>
      <c r="U37" s="1508" t="e">
        <f t="shared" si="13"/>
        <v>#N/A</v>
      </c>
      <c r="V37" s="1507" t="s">
        <v>8</v>
      </c>
      <c r="W37" s="1508" t="e">
        <f t="shared" si="14"/>
        <v>#N/A</v>
      </c>
      <c r="X37" s="1501"/>
      <c r="Y37" s="355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59"/>
      <c r="Q38" s="1133" t="str">
        <f t="shared" si="11"/>
        <v>写字楼等级</v>
      </c>
      <c r="R38" s="1502" t="s">
        <v>8</v>
      </c>
      <c r="S38" s="1503">
        <f t="shared" si="12"/>
        <v>100</v>
      </c>
      <c r="T38" s="1502" t="s">
        <v>8</v>
      </c>
      <c r="U38" s="1503">
        <f t="shared" si="13"/>
        <v>100</v>
      </c>
      <c r="V38" s="1502" t="s">
        <v>8</v>
      </c>
      <c r="W38" s="1503">
        <f t="shared" si="14"/>
        <v>100</v>
      </c>
      <c r="X38" s="1504"/>
      <c r="Y38" s="355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59" t="s">
        <v>544</v>
      </c>
      <c r="Q39" s="1506" t="str">
        <f t="shared" si="11"/>
        <v>物业管理</v>
      </c>
      <c r="R39" s="1507" t="s">
        <v>8</v>
      </c>
      <c r="S39" s="1508">
        <f t="shared" si="12"/>
        <v>100</v>
      </c>
      <c r="T39" s="1507" t="s">
        <v>8</v>
      </c>
      <c r="U39" s="1508">
        <f t="shared" si="13"/>
        <v>100</v>
      </c>
      <c r="V39" s="1507" t="s">
        <v>8</v>
      </c>
      <c r="W39" s="1508">
        <f t="shared" si="14"/>
        <v>100</v>
      </c>
      <c r="X39" s="1501"/>
      <c r="Y39" s="3559"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59"/>
      <c r="Q40" s="1506" t="str">
        <f t="shared" si="11"/>
        <v>市政基础设施</v>
      </c>
      <c r="R40" s="1507" t="s">
        <v>8</v>
      </c>
      <c r="S40" s="1508">
        <f t="shared" si="12"/>
        <v>100</v>
      </c>
      <c r="T40" s="1507" t="s">
        <v>8</v>
      </c>
      <c r="U40" s="1508">
        <f t="shared" si="13"/>
        <v>100</v>
      </c>
      <c r="V40" s="1507" t="s">
        <v>8</v>
      </c>
      <c r="W40" s="1508">
        <f t="shared" si="14"/>
        <v>100</v>
      </c>
      <c r="X40" s="1501"/>
      <c r="Y40" s="355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59"/>
      <c r="Q41" s="1506" t="str">
        <f t="shared" si="11"/>
        <v>层高</v>
      </c>
      <c r="R41" s="1507" t="s">
        <v>8</v>
      </c>
      <c r="S41" s="1508">
        <f t="shared" si="12"/>
        <v>100</v>
      </c>
      <c r="T41" s="1507" t="s">
        <v>8</v>
      </c>
      <c r="U41" s="1508">
        <f t="shared" si="13"/>
        <v>100</v>
      </c>
      <c r="V41" s="1507" t="s">
        <v>8</v>
      </c>
      <c r="W41" s="1508">
        <f t="shared" si="14"/>
        <v>100</v>
      </c>
      <c r="X41" s="1501"/>
      <c r="Y41" s="355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59"/>
      <c r="Q42" s="1535" t="str">
        <f t="shared" si="11"/>
        <v>单套建筑面积</v>
      </c>
      <c r="R42" s="1511" t="s">
        <v>8</v>
      </c>
      <c r="S42" s="1512">
        <f t="shared" si="12"/>
        <v>100</v>
      </c>
      <c r="T42" s="1511" t="s">
        <v>8</v>
      </c>
      <c r="U42" s="1512">
        <f t="shared" si="13"/>
        <v>100</v>
      </c>
      <c r="V42" s="1511" t="s">
        <v>8</v>
      </c>
      <c r="W42" s="1512">
        <f t="shared" si="14"/>
        <v>100</v>
      </c>
      <c r="X42" s="1513"/>
      <c r="Y42" s="355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59"/>
      <c r="Q43" s="1506" t="str">
        <f t="shared" si="11"/>
        <v>内部装修</v>
      </c>
      <c r="R43" s="1507" t="s">
        <v>8</v>
      </c>
      <c r="S43" s="1508">
        <f t="shared" si="12"/>
        <v>100</v>
      </c>
      <c r="T43" s="1507" t="s">
        <v>8</v>
      </c>
      <c r="U43" s="1508">
        <f t="shared" si="13"/>
        <v>100</v>
      </c>
      <c r="V43" s="1507" t="s">
        <v>8</v>
      </c>
      <c r="W43" s="1508">
        <f t="shared" si="14"/>
        <v>100</v>
      </c>
      <c r="X43" s="1501"/>
      <c r="Y43" s="355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59"/>
      <c r="Q44" s="1506" t="str">
        <f t="shared" si="11"/>
        <v>内部装修维护情况</v>
      </c>
      <c r="R44" s="1507" t="s">
        <v>8</v>
      </c>
      <c r="S44" s="1508">
        <f t="shared" si="12"/>
        <v>100</v>
      </c>
      <c r="T44" s="1507" t="s">
        <v>8</v>
      </c>
      <c r="U44" s="1508">
        <f t="shared" si="13"/>
        <v>100</v>
      </c>
      <c r="V44" s="1507" t="s">
        <v>8</v>
      </c>
      <c r="W44" s="1508">
        <f t="shared" si="14"/>
        <v>100</v>
      </c>
      <c r="X44" s="1501"/>
      <c r="Y44" s="355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59"/>
      <c r="Q45" s="1133">
        <f t="shared" si="11"/>
        <v>111</v>
      </c>
      <c r="R45" s="1502" t="s">
        <v>8</v>
      </c>
      <c r="S45" s="1503">
        <f t="shared" si="12"/>
        <v>100</v>
      </c>
      <c r="T45" s="1502" t="s">
        <v>8</v>
      </c>
      <c r="U45" s="1503">
        <f t="shared" si="13"/>
        <v>100</v>
      </c>
      <c r="V45" s="1502" t="s">
        <v>8</v>
      </c>
      <c r="W45" s="1503">
        <f t="shared" si="14"/>
        <v>100</v>
      </c>
      <c r="X45" s="1504"/>
      <c r="Y45" s="355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59"/>
      <c r="Q46" s="1506">
        <f t="shared" si="11"/>
        <v>111</v>
      </c>
      <c r="R46" s="1507" t="s">
        <v>8</v>
      </c>
      <c r="S46" s="1508">
        <f t="shared" si="12"/>
        <v>100</v>
      </c>
      <c r="T46" s="1507" t="s">
        <v>8</v>
      </c>
      <c r="U46" s="1508">
        <f t="shared" si="13"/>
        <v>100</v>
      </c>
      <c r="V46" s="1507" t="s">
        <v>8</v>
      </c>
      <c r="W46" s="1508">
        <f t="shared" si="14"/>
        <v>100</v>
      </c>
      <c r="X46" s="1501"/>
      <c r="Y46" s="355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1"/>
      <c r="Q47" s="1506">
        <f t="shared" si="11"/>
        <v>111</v>
      </c>
      <c r="R47" s="1507" t="s">
        <v>8</v>
      </c>
      <c r="S47" s="1508">
        <f t="shared" si="12"/>
        <v>100</v>
      </c>
      <c r="T47" s="1507" t="s">
        <v>8</v>
      </c>
      <c r="U47" s="1508">
        <f t="shared" si="13"/>
        <v>100</v>
      </c>
      <c r="V47" s="1507" t="s">
        <v>8</v>
      </c>
      <c r="W47" s="1508">
        <f t="shared" si="14"/>
        <v>100</v>
      </c>
      <c r="X47" s="1501"/>
      <c r="Y47" s="3641"/>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20" t="str">
        <f>A48</f>
        <v>成交单价（元/平方米）</v>
      </c>
      <c r="Q48" s="3522"/>
      <c r="R48" s="3640">
        <f>E48</f>
        <v>0</v>
      </c>
      <c r="S48" s="3640"/>
      <c r="T48" s="3640">
        <f>G48</f>
        <v>0</v>
      </c>
      <c r="U48" s="3640"/>
      <c r="V48" s="3640">
        <f>I48</f>
        <v>0</v>
      </c>
      <c r="W48" s="3640"/>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20" t="str">
        <f>A49</f>
        <v>比较价格（元/平方米）</v>
      </c>
      <c r="Q49" s="3522"/>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44" t="str">
        <f>A50</f>
        <v>估价对象XX用房的比较价格（楼面单价，元/平方米）</v>
      </c>
      <c r="Q50" s="3520"/>
      <c r="R50" s="3639" t="e">
        <f>IF(F1="售价",ROUND(IF(D49="简单平均",AVERAGE(R49:V49),R49*F49+T49*H49+V49*J49),0),ROUND(IF(D49="简单平均",AVERAGE(R49:V49),R49*F49+T49*H49+V49*J49),1))</f>
        <v>#DIV/0!</v>
      </c>
      <c r="S50" s="3639"/>
      <c r="T50" s="3639"/>
      <c r="U50" s="3639"/>
      <c r="V50" s="3639"/>
      <c r="W50" s="3639"/>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28" t="s">
        <v>516</v>
      </c>
      <c r="D4" s="3529"/>
      <c r="E4" s="3562" t="s">
        <v>517</v>
      </c>
      <c r="F4" s="3563"/>
      <c r="G4" s="3528" t="s">
        <v>518</v>
      </c>
      <c r="H4" s="3529"/>
      <c r="I4" s="3528" t="s">
        <v>519</v>
      </c>
      <c r="J4" s="3529"/>
      <c r="K4" s="508" t="s">
        <v>520</v>
      </c>
      <c r="L4" s="2015"/>
      <c r="M4" s="2016"/>
      <c r="N4" s="2016"/>
      <c r="O4" s="2016"/>
      <c r="P4" s="3530" t="s">
        <v>521</v>
      </c>
      <c r="Q4" s="3531"/>
      <c r="R4" s="3536" t="s">
        <v>517</v>
      </c>
      <c r="S4" s="3537"/>
      <c r="T4" s="3536" t="s">
        <v>518</v>
      </c>
      <c r="U4" s="3537"/>
      <c r="V4" s="3523" t="s">
        <v>519</v>
      </c>
      <c r="W4" s="3523"/>
      <c r="X4" s="1501"/>
      <c r="Y4" s="3536" t="s">
        <v>521</v>
      </c>
      <c r="Z4" s="3537"/>
      <c r="AA4" s="3525" t="s">
        <v>517</v>
      </c>
      <c r="AB4" s="3526" t="s">
        <v>518</v>
      </c>
      <c r="AC4" s="3525" t="s">
        <v>519</v>
      </c>
    </row>
    <row r="5" spans="1:29" ht="15">
      <c r="A5" s="509"/>
      <c r="B5" s="510"/>
      <c r="C5" s="3544" t="s">
        <v>2891</v>
      </c>
      <c r="D5" s="3545"/>
      <c r="E5" s="3564" t="s">
        <v>2892</v>
      </c>
      <c r="F5" s="3565"/>
      <c r="G5" s="3544" t="s">
        <v>2893</v>
      </c>
      <c r="H5" s="3545"/>
      <c r="I5" s="3544" t="s">
        <v>2894</v>
      </c>
      <c r="J5" s="3545"/>
      <c r="K5" s="508"/>
      <c r="L5" s="2015"/>
      <c r="M5" s="2016"/>
      <c r="N5" s="2016"/>
      <c r="O5" s="2016"/>
      <c r="P5" s="3532"/>
      <c r="Q5" s="3533"/>
      <c r="R5" s="3538"/>
      <c r="S5" s="3539"/>
      <c r="T5" s="3538"/>
      <c r="U5" s="3539"/>
      <c r="V5" s="3523"/>
      <c r="W5" s="3523"/>
      <c r="X5" s="1501"/>
      <c r="Y5" s="3538"/>
      <c r="Z5" s="3539"/>
      <c r="AA5" s="3526"/>
      <c r="AB5" s="3526"/>
      <c r="AC5" s="3526"/>
    </row>
    <row r="6" spans="1:29" ht="15.75" thickBot="1">
      <c r="A6" s="511"/>
      <c r="B6" s="512"/>
      <c r="C6" s="3542" t="s">
        <v>2895</v>
      </c>
      <c r="D6" s="3543"/>
      <c r="E6" s="3560" t="s">
        <v>2895</v>
      </c>
      <c r="F6" s="3561"/>
      <c r="G6" s="3542" t="s">
        <v>2895</v>
      </c>
      <c r="H6" s="3543"/>
      <c r="I6" s="3542" t="s">
        <v>2895</v>
      </c>
      <c r="J6" s="3543"/>
      <c r="K6" s="508" t="s">
        <v>522</v>
      </c>
      <c r="L6" s="2015"/>
      <c r="M6" s="2016"/>
      <c r="N6" s="2016"/>
      <c r="O6" s="2016"/>
      <c r="P6" s="3534"/>
      <c r="Q6" s="3535"/>
      <c r="R6" s="3538"/>
      <c r="S6" s="3539"/>
      <c r="T6" s="3540"/>
      <c r="U6" s="3541"/>
      <c r="V6" s="3523"/>
      <c r="W6" s="3523"/>
      <c r="X6" s="1501"/>
      <c r="Y6" s="3540"/>
      <c r="Z6" s="3541"/>
      <c r="AA6" s="3527"/>
      <c r="AB6" s="3527"/>
      <c r="AC6" s="3527"/>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53" t="s">
        <v>524</v>
      </c>
      <c r="Q7" s="3555"/>
      <c r="R7" s="1502" t="s">
        <v>8</v>
      </c>
      <c r="S7" s="1503">
        <f t="shared" ref="S7:S15" si="0">F7</f>
        <v>0</v>
      </c>
      <c r="T7" s="1502" t="s">
        <v>8</v>
      </c>
      <c r="U7" s="1503">
        <f t="shared" ref="U7:U15" si="1">H7</f>
        <v>0</v>
      </c>
      <c r="V7" s="1502" t="s">
        <v>8</v>
      </c>
      <c r="W7" s="1503">
        <f t="shared" ref="W7:W15" si="2">J7</f>
        <v>0</v>
      </c>
      <c r="X7" s="1504"/>
      <c r="Y7" s="3553" t="s">
        <v>524</v>
      </c>
      <c r="Z7" s="3554"/>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53" t="s">
        <v>527</v>
      </c>
      <c r="Q8" s="3554"/>
      <c r="R8" s="1502" t="s">
        <v>8</v>
      </c>
      <c r="S8" s="1503">
        <f t="shared" si="0"/>
        <v>0</v>
      </c>
      <c r="T8" s="1502" t="s">
        <v>8</v>
      </c>
      <c r="U8" s="1503">
        <f t="shared" si="1"/>
        <v>0</v>
      </c>
      <c r="V8" s="1502" t="s">
        <v>8</v>
      </c>
      <c r="W8" s="1503">
        <f t="shared" si="2"/>
        <v>0</v>
      </c>
      <c r="X8" s="1504"/>
      <c r="Y8" s="3553" t="s">
        <v>527</v>
      </c>
      <c r="Z8" s="3554"/>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2" t="s">
        <v>529</v>
      </c>
      <c r="Q9" s="1133" t="str">
        <f t="shared" ref="Q9:Q15" si="6">B9</f>
        <v>用途</v>
      </c>
      <c r="R9" s="1502" t="s">
        <v>8</v>
      </c>
      <c r="S9" s="1503">
        <f t="shared" si="0"/>
        <v>100</v>
      </c>
      <c r="T9" s="1502" t="s">
        <v>8</v>
      </c>
      <c r="U9" s="1503">
        <f t="shared" si="1"/>
        <v>100</v>
      </c>
      <c r="V9" s="1502" t="s">
        <v>8</v>
      </c>
      <c r="W9" s="1503">
        <f t="shared" si="2"/>
        <v>100</v>
      </c>
      <c r="X9" s="1504"/>
      <c r="Y9" s="3468"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2"/>
      <c r="Q10" s="1133" t="str">
        <f t="shared" si="6"/>
        <v>土地使用年限（年）</v>
      </c>
      <c r="R10" s="1502" t="s">
        <v>8</v>
      </c>
      <c r="S10" s="1503">
        <f t="shared" si="0"/>
        <v>100</v>
      </c>
      <c r="T10" s="1502" t="s">
        <v>8</v>
      </c>
      <c r="U10" s="1503">
        <f t="shared" si="1"/>
        <v>100</v>
      </c>
      <c r="V10" s="1502" t="s">
        <v>8</v>
      </c>
      <c r="W10" s="1503">
        <f t="shared" si="2"/>
        <v>100</v>
      </c>
      <c r="X10" s="1504"/>
      <c r="Y10" s="3468"/>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2"/>
      <c r="Q11" s="1133" t="str">
        <f t="shared" si="6"/>
        <v>容积率</v>
      </c>
      <c r="R11" s="1502" t="s">
        <v>8</v>
      </c>
      <c r="S11" s="1503" t="e">
        <f t="shared" si="0"/>
        <v>#N/A</v>
      </c>
      <c r="T11" s="1502" t="s">
        <v>8</v>
      </c>
      <c r="U11" s="1503" t="e">
        <f t="shared" si="1"/>
        <v>#N/A</v>
      </c>
      <c r="V11" s="1502" t="s">
        <v>8</v>
      </c>
      <c r="W11" s="1503" t="e">
        <f t="shared" si="2"/>
        <v>#N/A</v>
      </c>
      <c r="X11" s="1504"/>
      <c r="Y11" s="3468"/>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22"/>
      <c r="Q12" s="1133">
        <f t="shared" si="6"/>
        <v>111</v>
      </c>
      <c r="R12" s="1502" t="s">
        <v>8</v>
      </c>
      <c r="S12" s="1503">
        <f t="shared" si="0"/>
        <v>100</v>
      </c>
      <c r="T12" s="1502" t="s">
        <v>8</v>
      </c>
      <c r="U12" s="1503">
        <f t="shared" si="1"/>
        <v>100</v>
      </c>
      <c r="V12" s="1502" t="s">
        <v>8</v>
      </c>
      <c r="W12" s="1503">
        <f t="shared" si="2"/>
        <v>100</v>
      </c>
      <c r="X12" s="1504"/>
      <c r="Y12" s="3468"/>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22"/>
      <c r="Q13" s="1133">
        <f t="shared" si="6"/>
        <v>111</v>
      </c>
      <c r="R13" s="1502" t="s">
        <v>8</v>
      </c>
      <c r="S13" s="1503">
        <f t="shared" si="0"/>
        <v>100</v>
      </c>
      <c r="T13" s="1502" t="s">
        <v>8</v>
      </c>
      <c r="U13" s="1503">
        <f t="shared" si="1"/>
        <v>100</v>
      </c>
      <c r="V13" s="1502" t="s">
        <v>8</v>
      </c>
      <c r="W13" s="1503">
        <f t="shared" si="2"/>
        <v>100</v>
      </c>
      <c r="X13" s="1504"/>
      <c r="Y13" s="3468"/>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22"/>
      <c r="Q14" s="1133">
        <f t="shared" si="6"/>
        <v>111</v>
      </c>
      <c r="R14" s="1502" t="s">
        <v>8</v>
      </c>
      <c r="S14" s="1503">
        <f t="shared" si="0"/>
        <v>100</v>
      </c>
      <c r="T14" s="1502" t="s">
        <v>8</v>
      </c>
      <c r="U14" s="1503">
        <f t="shared" si="1"/>
        <v>100</v>
      </c>
      <c r="V14" s="1502" t="s">
        <v>8</v>
      </c>
      <c r="W14" s="1503">
        <f t="shared" si="2"/>
        <v>100</v>
      </c>
      <c r="X14" s="1504"/>
      <c r="Y14" s="3468"/>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56" t="s">
        <v>534</v>
      </c>
      <c r="Q15" s="1506" t="str">
        <f t="shared" si="6"/>
        <v>产业集聚程度</v>
      </c>
      <c r="R15" s="1507" t="s">
        <v>8</v>
      </c>
      <c r="S15" s="1508">
        <f t="shared" si="0"/>
        <v>100</v>
      </c>
      <c r="T15" s="1507" t="s">
        <v>8</v>
      </c>
      <c r="U15" s="1508">
        <f t="shared" si="1"/>
        <v>100</v>
      </c>
      <c r="V15" s="1507" t="s">
        <v>8</v>
      </c>
      <c r="W15" s="1508">
        <f t="shared" si="2"/>
        <v>100</v>
      </c>
      <c r="X15" s="1501"/>
      <c r="Y15" s="355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57"/>
      <c r="Q16" s="1506"/>
      <c r="R16" s="1507"/>
      <c r="S16" s="1508"/>
      <c r="T16" s="1507"/>
      <c r="U16" s="1508"/>
      <c r="V16" s="1507"/>
      <c r="W16" s="1508"/>
      <c r="X16" s="1501"/>
      <c r="Y16" s="355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57"/>
      <c r="Q17" s="1506" t="str">
        <f>B17</f>
        <v>交通便捷度</v>
      </c>
      <c r="R17" s="1507" t="s">
        <v>8</v>
      </c>
      <c r="S17" s="1508">
        <f>F17</f>
        <v>100</v>
      </c>
      <c r="T17" s="1507" t="s">
        <v>8</v>
      </c>
      <c r="U17" s="1508">
        <f>H17</f>
        <v>100</v>
      </c>
      <c r="V17" s="1507" t="s">
        <v>8</v>
      </c>
      <c r="W17" s="1508">
        <f>J17</f>
        <v>100</v>
      </c>
      <c r="X17" s="1501"/>
      <c r="Y17" s="355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57"/>
      <c r="Q18" s="1506"/>
      <c r="R18" s="1507"/>
      <c r="S18" s="1508"/>
      <c r="T18" s="1507"/>
      <c r="U18" s="1508"/>
      <c r="V18" s="1507"/>
      <c r="W18" s="1508"/>
      <c r="X18" s="1501"/>
      <c r="Y18" s="3557"/>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57"/>
      <c r="Q19" s="1506" t="str">
        <f>B19</f>
        <v>公共配套设施</v>
      </c>
      <c r="R19" s="1507" t="s">
        <v>8</v>
      </c>
      <c r="S19" s="1508">
        <f>F19</f>
        <v>100</v>
      </c>
      <c r="T19" s="1507" t="s">
        <v>8</v>
      </c>
      <c r="U19" s="1508">
        <f>H19</f>
        <v>100</v>
      </c>
      <c r="V19" s="1507" t="s">
        <v>8</v>
      </c>
      <c r="W19" s="1508">
        <f>J19</f>
        <v>100</v>
      </c>
      <c r="X19" s="1501"/>
      <c r="Y19" s="355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57"/>
      <c r="Q20" s="1506"/>
      <c r="R20" s="1507"/>
      <c r="S20" s="1508"/>
      <c r="T20" s="1507"/>
      <c r="U20" s="1508"/>
      <c r="V20" s="1507"/>
      <c r="W20" s="1508"/>
      <c r="X20" s="1501"/>
      <c r="Y20" s="3557"/>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57"/>
      <c r="Q21" s="2429" t="str">
        <f>B21</f>
        <v>基础设施水平</v>
      </c>
      <c r="R21" s="1507" t="s">
        <v>8</v>
      </c>
      <c r="S21" s="1508">
        <f>F21</f>
        <v>100</v>
      </c>
      <c r="T21" s="1507" t="s">
        <v>8</v>
      </c>
      <c r="U21" s="1508">
        <f>H21</f>
        <v>100</v>
      </c>
      <c r="V21" s="1507" t="s">
        <v>8</v>
      </c>
      <c r="W21" s="1508">
        <f>J21</f>
        <v>100</v>
      </c>
      <c r="X21" s="2431"/>
      <c r="Y21" s="355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57"/>
      <c r="Q22" s="2429"/>
      <c r="R22" s="1507"/>
      <c r="S22" s="1508"/>
      <c r="T22" s="1507"/>
      <c r="U22" s="1508"/>
      <c r="V22" s="1507"/>
      <c r="W22" s="1508"/>
      <c r="X22" s="2431"/>
      <c r="Y22" s="355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57"/>
      <c r="Q23" s="1506" t="str">
        <f>B23</f>
        <v>环境质量</v>
      </c>
      <c r="R23" s="1507" t="s">
        <v>8</v>
      </c>
      <c r="S23" s="1508">
        <f>F23</f>
        <v>100</v>
      </c>
      <c r="T23" s="1507" t="s">
        <v>8</v>
      </c>
      <c r="U23" s="1508">
        <f>H23</f>
        <v>100</v>
      </c>
      <c r="V23" s="1507" t="s">
        <v>8</v>
      </c>
      <c r="W23" s="1508">
        <f>J23</f>
        <v>100</v>
      </c>
      <c r="X23" s="1501"/>
      <c r="Y23" s="355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57"/>
      <c r="Q24" s="1506"/>
      <c r="R24" s="1507"/>
      <c r="S24" s="1508"/>
      <c r="T24" s="1507"/>
      <c r="U24" s="1508"/>
      <c r="V24" s="1507"/>
      <c r="W24" s="1508"/>
      <c r="X24" s="1501"/>
      <c r="Y24" s="355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57"/>
      <c r="Q25" s="1506">
        <f>B25</f>
        <v>111</v>
      </c>
      <c r="R25" s="1507" t="s">
        <v>8</v>
      </c>
      <c r="S25" s="1508">
        <f>F25</f>
        <v>100</v>
      </c>
      <c r="T25" s="1507" t="s">
        <v>8</v>
      </c>
      <c r="U25" s="1508">
        <f>H25</f>
        <v>100</v>
      </c>
      <c r="V25" s="1507" t="s">
        <v>8</v>
      </c>
      <c r="W25" s="1508">
        <f>J25</f>
        <v>100</v>
      </c>
      <c r="X25" s="1501"/>
      <c r="Y25" s="355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57"/>
      <c r="Q26" s="1506">
        <f t="shared" ref="Q26:Q40" si="11">B26</f>
        <v>111</v>
      </c>
      <c r="R26" s="1507" t="s">
        <v>8</v>
      </c>
      <c r="S26" s="1508">
        <f>F26</f>
        <v>100</v>
      </c>
      <c r="T26" s="1507" t="s">
        <v>8</v>
      </c>
      <c r="U26" s="1508">
        <f>H26</f>
        <v>100</v>
      </c>
      <c r="V26" s="1507" t="s">
        <v>8</v>
      </c>
      <c r="W26" s="1508">
        <f>J26</f>
        <v>100</v>
      </c>
      <c r="X26" s="1501"/>
      <c r="Y26" s="355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57"/>
      <c r="Q27" s="1133">
        <f t="shared" si="11"/>
        <v>111</v>
      </c>
      <c r="R27" s="1502" t="s">
        <v>8</v>
      </c>
      <c r="S27" s="1503">
        <f>F27</f>
        <v>100</v>
      </c>
      <c r="T27" s="1502" t="s">
        <v>8</v>
      </c>
      <c r="U27" s="1503">
        <f>H27</f>
        <v>100</v>
      </c>
      <c r="V27" s="1502" t="s">
        <v>8</v>
      </c>
      <c r="W27" s="1503">
        <f>J27</f>
        <v>100</v>
      </c>
      <c r="X27" s="1504"/>
      <c r="Y27" s="355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57"/>
      <c r="Q28" s="1506">
        <f t="shared" si="11"/>
        <v>111</v>
      </c>
      <c r="R28" s="1507" t="s">
        <v>8</v>
      </c>
      <c r="S28" s="1508">
        <f t="shared" ref="S28:S40" si="12">F28</f>
        <v>100</v>
      </c>
      <c r="T28" s="1507" t="s">
        <v>8</v>
      </c>
      <c r="U28" s="1508">
        <f t="shared" ref="U28:U40" si="13">H28</f>
        <v>100</v>
      </c>
      <c r="V28" s="1507" t="s">
        <v>8</v>
      </c>
      <c r="W28" s="1508">
        <f t="shared" ref="W28:W40" si="14">J28</f>
        <v>100</v>
      </c>
      <c r="X28" s="1501"/>
      <c r="Y28" s="3557"/>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58" t="s">
        <v>544</v>
      </c>
      <c r="Q29" s="1506" t="str">
        <f t="shared" si="11"/>
        <v>建筑类型</v>
      </c>
      <c r="R29" s="1507" t="s">
        <v>8</v>
      </c>
      <c r="S29" s="1508">
        <f t="shared" si="12"/>
        <v>100</v>
      </c>
      <c r="T29" s="1507" t="s">
        <v>8</v>
      </c>
      <c r="U29" s="1508">
        <f t="shared" si="13"/>
        <v>100</v>
      </c>
      <c r="V29" s="1507" t="s">
        <v>8</v>
      </c>
      <c r="W29" s="1508">
        <f t="shared" si="14"/>
        <v>100</v>
      </c>
      <c r="X29" s="1501"/>
      <c r="Y29" s="355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59"/>
      <c r="Q30" s="1535" t="str">
        <f t="shared" si="11"/>
        <v>项目建筑规模</v>
      </c>
      <c r="R30" s="1511" t="s">
        <v>8</v>
      </c>
      <c r="S30" s="1512" t="e">
        <f t="shared" si="12"/>
        <v>#N/A</v>
      </c>
      <c r="T30" s="1511" t="s">
        <v>8</v>
      </c>
      <c r="U30" s="1512" t="e">
        <f t="shared" si="13"/>
        <v>#N/A</v>
      </c>
      <c r="V30" s="1511" t="s">
        <v>8</v>
      </c>
      <c r="W30" s="1512" t="e">
        <f t="shared" si="14"/>
        <v>#N/A</v>
      </c>
      <c r="X30" s="1513"/>
      <c r="Y30" s="355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59"/>
      <c r="Q31" s="1506" t="str">
        <f t="shared" si="11"/>
        <v>建筑结构</v>
      </c>
      <c r="R31" s="1507" t="s">
        <v>8</v>
      </c>
      <c r="S31" s="1508">
        <f t="shared" si="12"/>
        <v>100</v>
      </c>
      <c r="T31" s="1507" t="s">
        <v>8</v>
      </c>
      <c r="U31" s="1508">
        <f t="shared" si="13"/>
        <v>100</v>
      </c>
      <c r="V31" s="1507" t="s">
        <v>8</v>
      </c>
      <c r="W31" s="1508">
        <f t="shared" si="14"/>
        <v>100</v>
      </c>
      <c r="X31" s="1501"/>
      <c r="Y31" s="355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59"/>
      <c r="Q32" s="1506" t="str">
        <f t="shared" si="11"/>
        <v>公共部分装修</v>
      </c>
      <c r="R32" s="1507" t="s">
        <v>8</v>
      </c>
      <c r="S32" s="1508">
        <f t="shared" si="12"/>
        <v>100</v>
      </c>
      <c r="T32" s="1507" t="s">
        <v>8</v>
      </c>
      <c r="U32" s="1508">
        <f t="shared" si="13"/>
        <v>100</v>
      </c>
      <c r="V32" s="1507" t="s">
        <v>8</v>
      </c>
      <c r="W32" s="1508">
        <f t="shared" si="14"/>
        <v>100</v>
      </c>
      <c r="X32" s="1501"/>
      <c r="Y32" s="355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59"/>
      <c r="Q33" s="1506" t="str">
        <f t="shared" si="11"/>
        <v>成新度</v>
      </c>
      <c r="R33" s="1507" t="s">
        <v>8</v>
      </c>
      <c r="S33" s="1508" t="e">
        <f t="shared" si="12"/>
        <v>#N/A</v>
      </c>
      <c r="T33" s="1507" t="s">
        <v>8</v>
      </c>
      <c r="U33" s="1508" t="e">
        <f t="shared" si="13"/>
        <v>#N/A</v>
      </c>
      <c r="V33" s="1507" t="s">
        <v>8</v>
      </c>
      <c r="W33" s="1508" t="e">
        <f t="shared" si="14"/>
        <v>#N/A</v>
      </c>
      <c r="X33" s="1501"/>
      <c r="Y33" s="355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59"/>
      <c r="Q34" s="1133" t="str">
        <f t="shared" si="11"/>
        <v>物业管理</v>
      </c>
      <c r="R34" s="1502" t="s">
        <v>8</v>
      </c>
      <c r="S34" s="1503">
        <f t="shared" si="12"/>
        <v>100</v>
      </c>
      <c r="T34" s="1502" t="s">
        <v>8</v>
      </c>
      <c r="U34" s="1503">
        <f t="shared" si="13"/>
        <v>100</v>
      </c>
      <c r="V34" s="1502" t="s">
        <v>8</v>
      </c>
      <c r="W34" s="1503">
        <f t="shared" si="14"/>
        <v>100</v>
      </c>
      <c r="X34" s="1504"/>
      <c r="Y34" s="3559"/>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59" t="s">
        <v>544</v>
      </c>
      <c r="Q35" s="1506" t="str">
        <f t="shared" si="11"/>
        <v>市政基础设施</v>
      </c>
      <c r="R35" s="1507" t="s">
        <v>8</v>
      </c>
      <c r="S35" s="1508">
        <f t="shared" si="12"/>
        <v>100</v>
      </c>
      <c r="T35" s="1507" t="s">
        <v>8</v>
      </c>
      <c r="U35" s="1508">
        <f t="shared" si="13"/>
        <v>100</v>
      </c>
      <c r="V35" s="1507" t="s">
        <v>8</v>
      </c>
      <c r="W35" s="1508">
        <f t="shared" si="14"/>
        <v>100</v>
      </c>
      <c r="X35" s="1501"/>
      <c r="Y35" s="355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59"/>
      <c r="Q36" s="1506" t="str">
        <f t="shared" si="11"/>
        <v>内部装修</v>
      </c>
      <c r="R36" s="1507" t="s">
        <v>8</v>
      </c>
      <c r="S36" s="1508">
        <f t="shared" si="12"/>
        <v>100</v>
      </c>
      <c r="T36" s="1507" t="s">
        <v>8</v>
      </c>
      <c r="U36" s="1508">
        <f t="shared" si="13"/>
        <v>100</v>
      </c>
      <c r="V36" s="1507" t="s">
        <v>8</v>
      </c>
      <c r="W36" s="1508">
        <f t="shared" si="14"/>
        <v>100</v>
      </c>
      <c r="X36" s="1501"/>
      <c r="Y36" s="355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59"/>
      <c r="Q37" s="1506" t="str">
        <f t="shared" si="11"/>
        <v>内部装修状况</v>
      </c>
      <c r="R37" s="1507" t="s">
        <v>8</v>
      </c>
      <c r="S37" s="1508">
        <f t="shared" si="12"/>
        <v>100</v>
      </c>
      <c r="T37" s="1507" t="s">
        <v>8</v>
      </c>
      <c r="U37" s="1508">
        <f t="shared" si="13"/>
        <v>100</v>
      </c>
      <c r="V37" s="1507" t="s">
        <v>8</v>
      </c>
      <c r="W37" s="1508">
        <f t="shared" si="14"/>
        <v>100</v>
      </c>
      <c r="X37" s="1501"/>
      <c r="Y37" s="355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59"/>
      <c r="Q38" s="1535">
        <f t="shared" si="11"/>
        <v>111</v>
      </c>
      <c r="R38" s="1511" t="s">
        <v>8</v>
      </c>
      <c r="S38" s="1512">
        <f t="shared" si="12"/>
        <v>100</v>
      </c>
      <c r="T38" s="1511" t="s">
        <v>8</v>
      </c>
      <c r="U38" s="1512">
        <f t="shared" si="13"/>
        <v>100</v>
      </c>
      <c r="V38" s="1511" t="s">
        <v>8</v>
      </c>
      <c r="W38" s="1512">
        <f t="shared" si="14"/>
        <v>100</v>
      </c>
      <c r="X38" s="1513"/>
      <c r="Y38" s="355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59"/>
      <c r="Q39" s="1506">
        <f t="shared" si="11"/>
        <v>111</v>
      </c>
      <c r="R39" s="1507" t="s">
        <v>8</v>
      </c>
      <c r="S39" s="1508">
        <f t="shared" si="12"/>
        <v>100</v>
      </c>
      <c r="T39" s="1507" t="s">
        <v>8</v>
      </c>
      <c r="U39" s="1508">
        <f t="shared" si="13"/>
        <v>100</v>
      </c>
      <c r="V39" s="1507" t="s">
        <v>8</v>
      </c>
      <c r="W39" s="1508">
        <f t="shared" si="14"/>
        <v>100</v>
      </c>
      <c r="X39" s="1501"/>
      <c r="Y39" s="355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41"/>
      <c r="Q40" s="1506">
        <f t="shared" si="11"/>
        <v>111</v>
      </c>
      <c r="R40" s="1507" t="s">
        <v>8</v>
      </c>
      <c r="S40" s="1508">
        <f t="shared" si="12"/>
        <v>100</v>
      </c>
      <c r="T40" s="1507" t="s">
        <v>8</v>
      </c>
      <c r="U40" s="1508">
        <f t="shared" si="13"/>
        <v>100</v>
      </c>
      <c r="V40" s="1507" t="s">
        <v>8</v>
      </c>
      <c r="W40" s="1508">
        <f t="shared" si="14"/>
        <v>100</v>
      </c>
      <c r="X40" s="1501"/>
      <c r="Y40" s="3641"/>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22" t="str">
        <f>A41</f>
        <v>成交单价（元/平方米）</v>
      </c>
      <c r="Q41" s="3522"/>
      <c r="R41" s="3640">
        <f>E41</f>
        <v>0</v>
      </c>
      <c r="S41" s="3640"/>
      <c r="T41" s="3640">
        <f>G41</f>
        <v>0</v>
      </c>
      <c r="U41" s="3640"/>
      <c r="V41" s="3640">
        <f>I41</f>
        <v>0</v>
      </c>
      <c r="W41" s="3640"/>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22" t="str">
        <f>A42</f>
        <v>比较价格（元/平方米）</v>
      </c>
      <c r="Q42" s="3522"/>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19" t="str">
        <f>A43</f>
        <v>估价对象XX用房的比较价格（楼面单价，元/平方米）</v>
      </c>
      <c r="Q43" s="3520"/>
      <c r="R43" s="3639" t="e">
        <f>IF(F1="售价",ROUND(IF(D42="简单平均",AVERAGE(R42:V42),R42*F42+T42*H42+V42*J42),0),ROUND(IF(D42="简单平均",AVERAGE(R42:V42),R42*F42+T42*H42+V42*J42),1))</f>
        <v>#DIV/0!</v>
      </c>
      <c r="S43" s="3639"/>
      <c r="T43" s="3639"/>
      <c r="U43" s="3639"/>
      <c r="V43" s="3639"/>
      <c r="W43" s="3639"/>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28" t="s">
        <v>793</v>
      </c>
      <c r="F4" s="3529"/>
      <c r="G4" s="3528" t="s">
        <v>794</v>
      </c>
      <c r="H4" s="3529"/>
      <c r="I4" s="3528" t="s">
        <v>795</v>
      </c>
      <c r="J4" s="3529"/>
      <c r="K4" s="508" t="s">
        <v>796</v>
      </c>
      <c r="L4" s="2015"/>
      <c r="M4" s="2016"/>
      <c r="N4" s="2016"/>
      <c r="O4" s="2016"/>
      <c r="P4" s="3530" t="s">
        <v>797</v>
      </c>
      <c r="Q4" s="3531"/>
      <c r="R4" s="3536" t="s">
        <v>793</v>
      </c>
      <c r="S4" s="3537"/>
      <c r="T4" s="3536" t="s">
        <v>794</v>
      </c>
      <c r="U4" s="3537"/>
      <c r="V4" s="3523" t="s">
        <v>795</v>
      </c>
      <c r="W4" s="3523"/>
      <c r="X4" s="1501"/>
      <c r="Y4" s="3536" t="s">
        <v>797</v>
      </c>
      <c r="Z4" s="3537"/>
      <c r="AA4" s="3525" t="s">
        <v>793</v>
      </c>
      <c r="AB4" s="3526" t="s">
        <v>794</v>
      </c>
      <c r="AC4" s="3525" t="s">
        <v>795</v>
      </c>
    </row>
    <row r="5" spans="1:29" ht="15">
      <c r="A5" s="509"/>
      <c r="B5" s="510"/>
      <c r="C5" s="3544" t="s">
        <v>2891</v>
      </c>
      <c r="D5" s="3545"/>
      <c r="E5" s="3544" t="s">
        <v>2892</v>
      </c>
      <c r="F5" s="3545"/>
      <c r="G5" s="3544" t="s">
        <v>2893</v>
      </c>
      <c r="H5" s="3545"/>
      <c r="I5" s="3544" t="s">
        <v>2894</v>
      </c>
      <c r="J5" s="3545"/>
      <c r="K5" s="508"/>
      <c r="L5" s="2015"/>
      <c r="M5" s="2016"/>
      <c r="N5" s="2016"/>
      <c r="O5" s="2016"/>
      <c r="P5" s="3532"/>
      <c r="Q5" s="3533"/>
      <c r="R5" s="3538"/>
      <c r="S5" s="3539"/>
      <c r="T5" s="3538"/>
      <c r="U5" s="3539"/>
      <c r="V5" s="3523"/>
      <c r="W5" s="3523"/>
      <c r="X5" s="1501"/>
      <c r="Y5" s="3538"/>
      <c r="Z5" s="3539"/>
      <c r="AA5" s="3526"/>
      <c r="AB5" s="3526"/>
      <c r="AC5" s="3526"/>
    </row>
    <row r="6" spans="1:29" ht="15.75" thickBot="1">
      <c r="A6" s="511"/>
      <c r="B6" s="512"/>
      <c r="C6" s="3542" t="s">
        <v>2895</v>
      </c>
      <c r="D6" s="3543"/>
      <c r="E6" s="3546" t="s">
        <v>2895</v>
      </c>
      <c r="F6" s="3547"/>
      <c r="G6" s="3542" t="s">
        <v>2895</v>
      </c>
      <c r="H6" s="3543"/>
      <c r="I6" s="3542" t="s">
        <v>2895</v>
      </c>
      <c r="J6" s="3543"/>
      <c r="K6" s="508" t="s">
        <v>522</v>
      </c>
      <c r="L6" s="2015"/>
      <c r="M6" s="2016"/>
      <c r="N6" s="2016"/>
      <c r="O6" s="2016"/>
      <c r="P6" s="3534"/>
      <c r="Q6" s="3535"/>
      <c r="R6" s="3538"/>
      <c r="S6" s="3539"/>
      <c r="T6" s="3540"/>
      <c r="U6" s="3541"/>
      <c r="V6" s="3523"/>
      <c r="W6" s="3523"/>
      <c r="X6" s="1501"/>
      <c r="Y6" s="3540"/>
      <c r="Z6" s="3541"/>
      <c r="AA6" s="3527"/>
      <c r="AB6" s="3527"/>
      <c r="AC6" s="3527"/>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53" t="s">
        <v>524</v>
      </c>
      <c r="Q7" s="3555"/>
      <c r="R7" s="1502" t="s">
        <v>8</v>
      </c>
      <c r="S7" s="1503">
        <f t="shared" ref="S7:S14" si="0">F7</f>
        <v>0</v>
      </c>
      <c r="T7" s="1502" t="s">
        <v>8</v>
      </c>
      <c r="U7" s="1503">
        <f t="shared" ref="U7:U14" si="1">H7</f>
        <v>0</v>
      </c>
      <c r="V7" s="1502" t="s">
        <v>8</v>
      </c>
      <c r="W7" s="1503">
        <f t="shared" ref="W7:W14" si="2">J7</f>
        <v>0</v>
      </c>
      <c r="X7" s="1504"/>
      <c r="Y7" s="3553" t="s">
        <v>524</v>
      </c>
      <c r="Z7" s="3554"/>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53" t="s">
        <v>527</v>
      </c>
      <c r="Q8" s="3554"/>
      <c r="R8" s="1502" t="s">
        <v>8</v>
      </c>
      <c r="S8" s="1503">
        <f t="shared" si="0"/>
        <v>0</v>
      </c>
      <c r="T8" s="1502" t="s">
        <v>8</v>
      </c>
      <c r="U8" s="1503">
        <f t="shared" si="1"/>
        <v>0</v>
      </c>
      <c r="V8" s="1502" t="s">
        <v>8</v>
      </c>
      <c r="W8" s="1503">
        <f t="shared" si="2"/>
        <v>0</v>
      </c>
      <c r="X8" s="1504"/>
      <c r="Y8" s="3553" t="s">
        <v>527</v>
      </c>
      <c r="Z8" s="3554"/>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2" t="s">
        <v>529</v>
      </c>
      <c r="Q9" s="1133" t="str">
        <f t="shared" ref="Q9:Q14" si="6">B9</f>
        <v>用途</v>
      </c>
      <c r="R9" s="1502" t="s">
        <v>8</v>
      </c>
      <c r="S9" s="1503">
        <f t="shared" si="0"/>
        <v>100</v>
      </c>
      <c r="T9" s="1502" t="s">
        <v>8</v>
      </c>
      <c r="U9" s="1503">
        <f t="shared" si="1"/>
        <v>100</v>
      </c>
      <c r="V9" s="1502" t="s">
        <v>8</v>
      </c>
      <c r="W9" s="1503">
        <f t="shared" si="2"/>
        <v>100</v>
      </c>
      <c r="X9" s="1504"/>
      <c r="Y9" s="3468"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2"/>
      <c r="Q10" s="1133" t="str">
        <f t="shared" si="6"/>
        <v>土地使用年限（年）</v>
      </c>
      <c r="R10" s="1502" t="s">
        <v>8</v>
      </c>
      <c r="S10" s="1503">
        <f t="shared" si="0"/>
        <v>100</v>
      </c>
      <c r="T10" s="1502" t="s">
        <v>8</v>
      </c>
      <c r="U10" s="1503">
        <f t="shared" si="1"/>
        <v>100</v>
      </c>
      <c r="V10" s="1502" t="s">
        <v>8</v>
      </c>
      <c r="W10" s="1503">
        <f t="shared" si="2"/>
        <v>100</v>
      </c>
      <c r="X10" s="1504"/>
      <c r="Y10" s="3468"/>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2"/>
      <c r="Q11" s="1133">
        <f t="shared" si="6"/>
        <v>111</v>
      </c>
      <c r="R11" s="1502" t="s">
        <v>8</v>
      </c>
      <c r="S11" s="1503">
        <f t="shared" si="0"/>
        <v>100</v>
      </c>
      <c r="T11" s="1502" t="s">
        <v>8</v>
      </c>
      <c r="U11" s="1503">
        <f t="shared" si="1"/>
        <v>100</v>
      </c>
      <c r="V11" s="1502" t="s">
        <v>8</v>
      </c>
      <c r="W11" s="1503">
        <f t="shared" si="2"/>
        <v>100</v>
      </c>
      <c r="X11" s="1504"/>
      <c r="Y11" s="3468"/>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2"/>
      <c r="Q12" s="1133">
        <f t="shared" si="6"/>
        <v>111</v>
      </c>
      <c r="R12" s="1502" t="s">
        <v>8</v>
      </c>
      <c r="S12" s="1503">
        <f t="shared" si="0"/>
        <v>100</v>
      </c>
      <c r="T12" s="1502" t="s">
        <v>8</v>
      </c>
      <c r="U12" s="1503">
        <f t="shared" si="1"/>
        <v>100</v>
      </c>
      <c r="V12" s="1502" t="s">
        <v>8</v>
      </c>
      <c r="W12" s="1503">
        <f t="shared" si="2"/>
        <v>100</v>
      </c>
      <c r="X12" s="1504"/>
      <c r="Y12" s="3468"/>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2"/>
      <c r="Q13" s="1133">
        <f t="shared" si="6"/>
        <v>111</v>
      </c>
      <c r="R13" s="1502" t="s">
        <v>8</v>
      </c>
      <c r="S13" s="1503">
        <f t="shared" si="0"/>
        <v>100</v>
      </c>
      <c r="T13" s="1502" t="s">
        <v>8</v>
      </c>
      <c r="U13" s="1503">
        <f t="shared" si="1"/>
        <v>100</v>
      </c>
      <c r="V13" s="1502" t="s">
        <v>8</v>
      </c>
      <c r="W13" s="1503">
        <f t="shared" si="2"/>
        <v>100</v>
      </c>
      <c r="X13" s="1504"/>
      <c r="Y13" s="3468"/>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56" t="s">
        <v>534</v>
      </c>
      <c r="Q14" s="1506" t="str">
        <f t="shared" si="6"/>
        <v>交通便捷度</v>
      </c>
      <c r="R14" s="1507" t="s">
        <v>8</v>
      </c>
      <c r="S14" s="1508">
        <f t="shared" si="0"/>
        <v>100</v>
      </c>
      <c r="T14" s="1507" t="s">
        <v>8</v>
      </c>
      <c r="U14" s="1508">
        <f t="shared" si="1"/>
        <v>100</v>
      </c>
      <c r="V14" s="1507" t="s">
        <v>8</v>
      </c>
      <c r="W14" s="1508">
        <f t="shared" si="2"/>
        <v>100</v>
      </c>
      <c r="X14" s="1501"/>
      <c r="Y14" s="355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57"/>
      <c r="Q15" s="1506"/>
      <c r="R15" s="1507"/>
      <c r="S15" s="1508"/>
      <c r="T15" s="1507"/>
      <c r="U15" s="1508"/>
      <c r="V15" s="1507"/>
      <c r="W15" s="1508"/>
      <c r="X15" s="1501"/>
      <c r="Y15" s="3557"/>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57"/>
      <c r="Q16" s="1506" t="str">
        <f>B16</f>
        <v>公共配套设施</v>
      </c>
      <c r="R16" s="1507" t="s">
        <v>8</v>
      </c>
      <c r="S16" s="1508">
        <f>F16</f>
        <v>100</v>
      </c>
      <c r="T16" s="1507" t="s">
        <v>8</v>
      </c>
      <c r="U16" s="1508">
        <f>H16</f>
        <v>100</v>
      </c>
      <c r="V16" s="1507" t="s">
        <v>8</v>
      </c>
      <c r="W16" s="1508">
        <f>J16</f>
        <v>100</v>
      </c>
      <c r="X16" s="1501"/>
      <c r="Y16" s="355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57"/>
      <c r="Q17" s="1506"/>
      <c r="R17" s="1507"/>
      <c r="S17" s="1508"/>
      <c r="T17" s="1507"/>
      <c r="U17" s="1508"/>
      <c r="V17" s="1507"/>
      <c r="W17" s="1508"/>
      <c r="X17" s="1501"/>
      <c r="Y17" s="3557"/>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57"/>
      <c r="Q18" s="2429" t="str">
        <f>B18</f>
        <v>基础设施水平</v>
      </c>
      <c r="R18" s="1507" t="s">
        <v>8</v>
      </c>
      <c r="S18" s="1508">
        <f>F18</f>
        <v>100</v>
      </c>
      <c r="T18" s="1507" t="s">
        <v>8</v>
      </c>
      <c r="U18" s="1508">
        <f>H18</f>
        <v>100</v>
      </c>
      <c r="V18" s="1507" t="s">
        <v>8</v>
      </c>
      <c r="W18" s="1508">
        <f>J18</f>
        <v>100</v>
      </c>
      <c r="X18" s="2431"/>
      <c r="Y18" s="355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57"/>
      <c r="Q19" s="2429"/>
      <c r="R19" s="1507"/>
      <c r="S19" s="1508"/>
      <c r="T19" s="1507"/>
      <c r="U19" s="1508"/>
      <c r="V19" s="1507"/>
      <c r="W19" s="1508"/>
      <c r="X19" s="2431"/>
      <c r="Y19" s="3557"/>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57"/>
      <c r="Q20" s="1506" t="str">
        <f>B20</f>
        <v>自然及人文环境</v>
      </c>
      <c r="R20" s="1507" t="s">
        <v>8</v>
      </c>
      <c r="S20" s="1508">
        <f>F20</f>
        <v>100</v>
      </c>
      <c r="T20" s="1507" t="s">
        <v>8</v>
      </c>
      <c r="U20" s="1508">
        <f>H20</f>
        <v>100</v>
      </c>
      <c r="V20" s="1507" t="s">
        <v>8</v>
      </c>
      <c r="W20" s="1508">
        <f>J20</f>
        <v>100</v>
      </c>
      <c r="X20" s="1501"/>
      <c r="Y20" s="355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57"/>
      <c r="Q21" s="1506"/>
      <c r="R21" s="1507"/>
      <c r="S21" s="1508"/>
      <c r="T21" s="1507"/>
      <c r="U21" s="1508"/>
      <c r="V21" s="1507"/>
      <c r="W21" s="1508"/>
      <c r="X21" s="1501"/>
      <c r="Y21" s="355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57"/>
      <c r="Q22" s="1506" t="str">
        <f>B22</f>
        <v>楼层</v>
      </c>
      <c r="R22" s="1507" t="s">
        <v>8</v>
      </c>
      <c r="S22" s="1508">
        <f>F22</f>
        <v>100</v>
      </c>
      <c r="T22" s="1507" t="s">
        <v>8</v>
      </c>
      <c r="U22" s="1508">
        <f>H22</f>
        <v>100</v>
      </c>
      <c r="V22" s="1507" t="s">
        <v>8</v>
      </c>
      <c r="W22" s="1508">
        <f>J22</f>
        <v>100</v>
      </c>
      <c r="X22" s="1501"/>
      <c r="Y22" s="355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57"/>
      <c r="Q23" s="1506">
        <f>B23</f>
        <v>111</v>
      </c>
      <c r="R23" s="1507" t="s">
        <v>8</v>
      </c>
      <c r="S23" s="1508">
        <f>F23</f>
        <v>100</v>
      </c>
      <c r="T23" s="1507" t="s">
        <v>8</v>
      </c>
      <c r="U23" s="1508">
        <f>H23</f>
        <v>100</v>
      </c>
      <c r="V23" s="1507" t="s">
        <v>8</v>
      </c>
      <c r="W23" s="1508">
        <f>J23</f>
        <v>100</v>
      </c>
      <c r="X23" s="1501"/>
      <c r="Y23" s="355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57"/>
      <c r="Q24" s="1506">
        <f t="shared" ref="Q24:Q36" si="11">B24</f>
        <v>111</v>
      </c>
      <c r="R24" s="1507" t="s">
        <v>8</v>
      </c>
      <c r="S24" s="1508">
        <f>F24</f>
        <v>100</v>
      </c>
      <c r="T24" s="1507" t="s">
        <v>8</v>
      </c>
      <c r="U24" s="1508">
        <f>H24</f>
        <v>100</v>
      </c>
      <c r="V24" s="1507" t="s">
        <v>8</v>
      </c>
      <c r="W24" s="1508">
        <f>J24</f>
        <v>100</v>
      </c>
      <c r="X24" s="1501"/>
      <c r="Y24" s="355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57"/>
      <c r="Q25" s="1133">
        <f t="shared" si="11"/>
        <v>111</v>
      </c>
      <c r="R25" s="1502" t="s">
        <v>8</v>
      </c>
      <c r="S25" s="1503">
        <f>F25</f>
        <v>100</v>
      </c>
      <c r="T25" s="1502" t="s">
        <v>8</v>
      </c>
      <c r="U25" s="1503">
        <f>H25</f>
        <v>100</v>
      </c>
      <c r="V25" s="1502" t="s">
        <v>8</v>
      </c>
      <c r="W25" s="1503">
        <f>J25</f>
        <v>100</v>
      </c>
      <c r="X25" s="1504"/>
      <c r="Y25" s="3557"/>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5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5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59"/>
      <c r="Q27" s="1535" t="str">
        <f t="shared" si="11"/>
        <v>项目停车位配比</v>
      </c>
      <c r="R27" s="1511" t="s">
        <v>8</v>
      </c>
      <c r="S27" s="1512">
        <f t="shared" si="12"/>
        <v>100</v>
      </c>
      <c r="T27" s="1511" t="s">
        <v>8</v>
      </c>
      <c r="U27" s="1512">
        <f t="shared" si="13"/>
        <v>100</v>
      </c>
      <c r="V27" s="1511" t="s">
        <v>8</v>
      </c>
      <c r="W27" s="1512">
        <f t="shared" si="14"/>
        <v>100</v>
      </c>
      <c r="X27" s="1513"/>
      <c r="Y27" s="355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59"/>
      <c r="Q28" s="1506" t="str">
        <f t="shared" si="11"/>
        <v>公共部分装修</v>
      </c>
      <c r="R28" s="1507" t="s">
        <v>8</v>
      </c>
      <c r="S28" s="1508">
        <f t="shared" si="12"/>
        <v>100</v>
      </c>
      <c r="T28" s="1507" t="s">
        <v>8</v>
      </c>
      <c r="U28" s="1508">
        <f t="shared" si="13"/>
        <v>100</v>
      </c>
      <c r="V28" s="1507" t="s">
        <v>8</v>
      </c>
      <c r="W28" s="1508">
        <f t="shared" si="14"/>
        <v>100</v>
      </c>
      <c r="X28" s="1501"/>
      <c r="Y28" s="355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59"/>
      <c r="Q29" s="1506" t="str">
        <f t="shared" si="11"/>
        <v>成新率</v>
      </c>
      <c r="R29" s="1507" t="s">
        <v>8</v>
      </c>
      <c r="S29" s="1508" t="e">
        <f t="shared" si="12"/>
        <v>#N/A</v>
      </c>
      <c r="T29" s="1507" t="s">
        <v>8</v>
      </c>
      <c r="U29" s="1508" t="e">
        <f t="shared" si="13"/>
        <v>#N/A</v>
      </c>
      <c r="V29" s="1507" t="s">
        <v>8</v>
      </c>
      <c r="W29" s="1508" t="e">
        <f t="shared" si="14"/>
        <v>#N/A</v>
      </c>
      <c r="X29" s="1501"/>
      <c r="Y29" s="355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59"/>
      <c r="Q30" s="1506" t="str">
        <f t="shared" si="11"/>
        <v>物业等级</v>
      </c>
      <c r="R30" s="1507" t="s">
        <v>8</v>
      </c>
      <c r="S30" s="1508">
        <f t="shared" si="12"/>
        <v>100</v>
      </c>
      <c r="T30" s="1507" t="s">
        <v>8</v>
      </c>
      <c r="U30" s="1508">
        <f t="shared" si="13"/>
        <v>100</v>
      </c>
      <c r="V30" s="1507" t="s">
        <v>8</v>
      </c>
      <c r="W30" s="1508">
        <f t="shared" si="14"/>
        <v>100</v>
      </c>
      <c r="X30" s="1501"/>
      <c r="Y30" s="355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59"/>
      <c r="Q31" s="1133" t="str">
        <f t="shared" si="11"/>
        <v>停车位面积</v>
      </c>
      <c r="R31" s="1502" t="s">
        <v>8</v>
      </c>
      <c r="S31" s="1503" t="e">
        <f t="shared" si="12"/>
        <v>#N/A</v>
      </c>
      <c r="T31" s="1502" t="s">
        <v>8</v>
      </c>
      <c r="U31" s="1503" t="e">
        <f t="shared" si="13"/>
        <v>#N/A</v>
      </c>
      <c r="V31" s="1502" t="s">
        <v>8</v>
      </c>
      <c r="W31" s="1503" t="e">
        <f t="shared" si="14"/>
        <v>#N/A</v>
      </c>
      <c r="X31" s="1504"/>
      <c r="Y31" s="355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59" t="s">
        <v>544</v>
      </c>
      <c r="Q32" s="1506" t="str">
        <f t="shared" si="11"/>
        <v>车位类型</v>
      </c>
      <c r="R32" s="1507" t="s">
        <v>8</v>
      </c>
      <c r="S32" s="1508">
        <f t="shared" si="12"/>
        <v>100</v>
      </c>
      <c r="T32" s="1507" t="s">
        <v>8</v>
      </c>
      <c r="U32" s="1508">
        <f t="shared" si="13"/>
        <v>100</v>
      </c>
      <c r="V32" s="1507" t="s">
        <v>8</v>
      </c>
      <c r="W32" s="1508">
        <f t="shared" si="14"/>
        <v>100</v>
      </c>
      <c r="X32" s="1501"/>
      <c r="Y32" s="355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59"/>
      <c r="Q33" s="1506" t="str">
        <f t="shared" si="11"/>
        <v>是否直接入户</v>
      </c>
      <c r="R33" s="1507" t="s">
        <v>8</v>
      </c>
      <c r="S33" s="1508">
        <f t="shared" si="12"/>
        <v>100</v>
      </c>
      <c r="T33" s="1507" t="s">
        <v>8</v>
      </c>
      <c r="U33" s="1508">
        <f t="shared" si="13"/>
        <v>100</v>
      </c>
      <c r="V33" s="1507" t="s">
        <v>8</v>
      </c>
      <c r="W33" s="1508">
        <f t="shared" si="14"/>
        <v>100</v>
      </c>
      <c r="X33" s="1501"/>
      <c r="Y33" s="355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59"/>
      <c r="Q34" s="1506">
        <f t="shared" si="11"/>
        <v>111</v>
      </c>
      <c r="R34" s="1507" t="s">
        <v>8</v>
      </c>
      <c r="S34" s="1508">
        <f t="shared" si="12"/>
        <v>100</v>
      </c>
      <c r="T34" s="1507" t="s">
        <v>8</v>
      </c>
      <c r="U34" s="1508">
        <f t="shared" si="13"/>
        <v>100</v>
      </c>
      <c r="V34" s="1507" t="s">
        <v>8</v>
      </c>
      <c r="W34" s="1508">
        <f t="shared" si="14"/>
        <v>100</v>
      </c>
      <c r="X34" s="1501"/>
      <c r="Y34" s="355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59"/>
      <c r="Q35" s="1535">
        <f t="shared" si="11"/>
        <v>111</v>
      </c>
      <c r="R35" s="1511" t="s">
        <v>8</v>
      </c>
      <c r="S35" s="1512">
        <f t="shared" si="12"/>
        <v>100</v>
      </c>
      <c r="T35" s="1511" t="s">
        <v>8</v>
      </c>
      <c r="U35" s="1512">
        <f t="shared" si="13"/>
        <v>100</v>
      </c>
      <c r="V35" s="1511" t="s">
        <v>8</v>
      </c>
      <c r="W35" s="1512">
        <f t="shared" si="14"/>
        <v>100</v>
      </c>
      <c r="X35" s="1513"/>
      <c r="Y35" s="355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59"/>
      <c r="Q36" s="1506">
        <f t="shared" si="11"/>
        <v>111</v>
      </c>
      <c r="R36" s="1507" t="s">
        <v>8</v>
      </c>
      <c r="S36" s="1508">
        <f t="shared" si="12"/>
        <v>100</v>
      </c>
      <c r="T36" s="1507" t="s">
        <v>8</v>
      </c>
      <c r="U36" s="1508">
        <f t="shared" si="13"/>
        <v>100</v>
      </c>
      <c r="V36" s="1507" t="s">
        <v>8</v>
      </c>
      <c r="W36" s="1508">
        <f t="shared" si="14"/>
        <v>100</v>
      </c>
      <c r="X36" s="1501"/>
      <c r="Y36" s="3559"/>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22" t="str">
        <f>A37</f>
        <v>成交单价</v>
      </c>
      <c r="Q37" s="3522"/>
      <c r="R37" s="3640">
        <f>E37</f>
        <v>0</v>
      </c>
      <c r="S37" s="3640"/>
      <c r="T37" s="3640">
        <f>G37</f>
        <v>0</v>
      </c>
      <c r="U37" s="3640"/>
      <c r="V37" s="3640">
        <f>I37</f>
        <v>0</v>
      </c>
      <c r="W37" s="3640"/>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22" t="str">
        <f>A38</f>
        <v>比较价格（元/平方米）</v>
      </c>
      <c r="Q38" s="3522"/>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19" t="str">
        <f>A39</f>
        <v>估价对象XX用房的比较价格（楼面单价，元/平方米）</v>
      </c>
      <c r="Q39" s="3520"/>
      <c r="R39" s="3639" t="e">
        <f>IF(F1="售价",ROUND(IF(D38="简单平均",AVERAGE(R38:W38),R38*F38+T38*H38+V38*J38),0),ROUND(IF(D38="简单平均",AVERAGE(R38:V38),R38*F38+T38*H38+V38*J38),1))</f>
        <v>#DIV/0!</v>
      </c>
      <c r="S39" s="3639"/>
      <c r="T39" s="3639"/>
      <c r="U39" s="3639"/>
      <c r="V39" s="3639"/>
      <c r="W39" s="3639"/>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62" t="s">
        <v>793</v>
      </c>
      <c r="F4" s="3563"/>
      <c r="G4" s="3528" t="s">
        <v>794</v>
      </c>
      <c r="H4" s="3529"/>
      <c r="I4" s="3528" t="s">
        <v>795</v>
      </c>
      <c r="J4" s="3529"/>
      <c r="K4" s="508" t="s">
        <v>796</v>
      </c>
      <c r="L4" s="2015"/>
      <c r="M4" s="2016"/>
      <c r="N4" s="2016"/>
      <c r="O4" s="2016"/>
      <c r="P4" s="3530" t="s">
        <v>797</v>
      </c>
      <c r="Q4" s="3531"/>
      <c r="R4" s="3536" t="s">
        <v>793</v>
      </c>
      <c r="S4" s="3537"/>
      <c r="T4" s="3536" t="s">
        <v>794</v>
      </c>
      <c r="U4" s="3537"/>
      <c r="V4" s="3523" t="s">
        <v>795</v>
      </c>
      <c r="W4" s="3523"/>
      <c r="X4" s="1501"/>
      <c r="Y4" s="3536" t="s">
        <v>797</v>
      </c>
      <c r="Z4" s="3537"/>
      <c r="AA4" s="3525" t="s">
        <v>793</v>
      </c>
      <c r="AB4" s="3526" t="s">
        <v>794</v>
      </c>
      <c r="AC4" s="3525" t="s">
        <v>795</v>
      </c>
    </row>
    <row r="5" spans="1:29" ht="15">
      <c r="A5" s="509"/>
      <c r="B5" s="510"/>
      <c r="C5" s="3544" t="s">
        <v>2891</v>
      </c>
      <c r="D5" s="3545"/>
      <c r="E5" s="3564" t="s">
        <v>2892</v>
      </c>
      <c r="F5" s="3565"/>
      <c r="G5" s="3544" t="s">
        <v>2893</v>
      </c>
      <c r="H5" s="3545"/>
      <c r="I5" s="3544" t="s">
        <v>2894</v>
      </c>
      <c r="J5" s="3545"/>
      <c r="K5" s="508"/>
      <c r="L5" s="2015"/>
      <c r="M5" s="2016"/>
      <c r="N5" s="2016"/>
      <c r="O5" s="2016"/>
      <c r="P5" s="3532"/>
      <c r="Q5" s="3533"/>
      <c r="R5" s="3538"/>
      <c r="S5" s="3539"/>
      <c r="T5" s="3538"/>
      <c r="U5" s="3539"/>
      <c r="V5" s="3523"/>
      <c r="W5" s="3523"/>
      <c r="X5" s="1501"/>
      <c r="Y5" s="3538"/>
      <c r="Z5" s="3539"/>
      <c r="AA5" s="3526"/>
      <c r="AB5" s="3526"/>
      <c r="AC5" s="3526"/>
    </row>
    <row r="6" spans="1:29" ht="15.75" thickBot="1">
      <c r="A6" s="511"/>
      <c r="B6" s="512"/>
      <c r="C6" s="3542" t="s">
        <v>2895</v>
      </c>
      <c r="D6" s="3543"/>
      <c r="E6" s="3560" t="s">
        <v>2895</v>
      </c>
      <c r="F6" s="3561"/>
      <c r="G6" s="3542" t="s">
        <v>2895</v>
      </c>
      <c r="H6" s="3543"/>
      <c r="I6" s="3542" t="s">
        <v>2895</v>
      </c>
      <c r="J6" s="3543"/>
      <c r="K6" s="508" t="s">
        <v>522</v>
      </c>
      <c r="L6" s="2015"/>
      <c r="M6" s="2016"/>
      <c r="N6" s="2016"/>
      <c r="O6" s="2016"/>
      <c r="P6" s="3534"/>
      <c r="Q6" s="3535"/>
      <c r="R6" s="3538"/>
      <c r="S6" s="3539"/>
      <c r="T6" s="3540"/>
      <c r="U6" s="3541"/>
      <c r="V6" s="3523"/>
      <c r="W6" s="3523"/>
      <c r="X6" s="1501"/>
      <c r="Y6" s="3540"/>
      <c r="Z6" s="3541"/>
      <c r="AA6" s="3527"/>
      <c r="AB6" s="3527"/>
      <c r="AC6" s="3527"/>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53" t="s">
        <v>524</v>
      </c>
      <c r="Q7" s="3555"/>
      <c r="R7" s="1502" t="s">
        <v>8</v>
      </c>
      <c r="S7" s="1503">
        <f t="shared" ref="S7:S14" si="0">F7</f>
        <v>0</v>
      </c>
      <c r="T7" s="1502" t="s">
        <v>8</v>
      </c>
      <c r="U7" s="1503">
        <f t="shared" ref="U7:U14" si="1">H7</f>
        <v>0</v>
      </c>
      <c r="V7" s="1502" t="s">
        <v>8</v>
      </c>
      <c r="W7" s="1503">
        <f t="shared" ref="W7:W14" si="2">J7</f>
        <v>0</v>
      </c>
      <c r="X7" s="1504"/>
      <c r="Y7" s="3553" t="s">
        <v>524</v>
      </c>
      <c r="Z7" s="3554"/>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53" t="s">
        <v>527</v>
      </c>
      <c r="Q8" s="3554"/>
      <c r="R8" s="1502" t="s">
        <v>8</v>
      </c>
      <c r="S8" s="1503">
        <f t="shared" si="0"/>
        <v>0</v>
      </c>
      <c r="T8" s="1502" t="s">
        <v>8</v>
      </c>
      <c r="U8" s="1503">
        <f t="shared" si="1"/>
        <v>0</v>
      </c>
      <c r="V8" s="1502" t="s">
        <v>8</v>
      </c>
      <c r="W8" s="1503">
        <f t="shared" si="2"/>
        <v>0</v>
      </c>
      <c r="X8" s="1504"/>
      <c r="Y8" s="3553" t="s">
        <v>527</v>
      </c>
      <c r="Z8" s="3554"/>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2" t="s">
        <v>529</v>
      </c>
      <c r="Q9" s="1133" t="str">
        <f t="shared" ref="Q9:Q14" si="6">B9</f>
        <v>用途</v>
      </c>
      <c r="R9" s="1502" t="s">
        <v>8</v>
      </c>
      <c r="S9" s="1503">
        <f t="shared" si="0"/>
        <v>100</v>
      </c>
      <c r="T9" s="1502" t="s">
        <v>8</v>
      </c>
      <c r="U9" s="1503">
        <f t="shared" si="1"/>
        <v>100</v>
      </c>
      <c r="V9" s="1502" t="s">
        <v>8</v>
      </c>
      <c r="W9" s="1503">
        <f t="shared" si="2"/>
        <v>100</v>
      </c>
      <c r="X9" s="1504"/>
      <c r="Y9" s="3468"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2"/>
      <c r="Q10" s="1133" t="str">
        <f t="shared" si="6"/>
        <v>土地使用年限（年）</v>
      </c>
      <c r="R10" s="1502" t="s">
        <v>8</v>
      </c>
      <c r="S10" s="1503">
        <f t="shared" si="0"/>
        <v>100</v>
      </c>
      <c r="T10" s="1502" t="s">
        <v>8</v>
      </c>
      <c r="U10" s="1503">
        <f t="shared" si="1"/>
        <v>100</v>
      </c>
      <c r="V10" s="1502" t="s">
        <v>8</v>
      </c>
      <c r="W10" s="1503">
        <f t="shared" si="2"/>
        <v>100</v>
      </c>
      <c r="X10" s="1504"/>
      <c r="Y10" s="3468"/>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22"/>
      <c r="Q11" s="1133">
        <f t="shared" si="6"/>
        <v>111</v>
      </c>
      <c r="R11" s="1502" t="s">
        <v>8</v>
      </c>
      <c r="S11" s="1503">
        <f t="shared" si="0"/>
        <v>100</v>
      </c>
      <c r="T11" s="1502" t="s">
        <v>8</v>
      </c>
      <c r="U11" s="1503">
        <f t="shared" si="1"/>
        <v>100</v>
      </c>
      <c r="V11" s="1502" t="s">
        <v>8</v>
      </c>
      <c r="W11" s="1503">
        <f t="shared" si="2"/>
        <v>100</v>
      </c>
      <c r="X11" s="1504"/>
      <c r="Y11" s="3468"/>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22"/>
      <c r="Q12" s="1133">
        <f t="shared" si="6"/>
        <v>111</v>
      </c>
      <c r="R12" s="1502" t="s">
        <v>8</v>
      </c>
      <c r="S12" s="1503">
        <f t="shared" si="0"/>
        <v>100</v>
      </c>
      <c r="T12" s="1502" t="s">
        <v>8</v>
      </c>
      <c r="U12" s="1503">
        <f t="shared" si="1"/>
        <v>100</v>
      </c>
      <c r="V12" s="1502" t="s">
        <v>8</v>
      </c>
      <c r="W12" s="1503">
        <f t="shared" si="2"/>
        <v>100</v>
      </c>
      <c r="X12" s="1504"/>
      <c r="Y12" s="3468"/>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22"/>
      <c r="Q13" s="1133">
        <f t="shared" si="6"/>
        <v>111</v>
      </c>
      <c r="R13" s="1502" t="s">
        <v>8</v>
      </c>
      <c r="S13" s="1503">
        <f t="shared" si="0"/>
        <v>100</v>
      </c>
      <c r="T13" s="1502" t="s">
        <v>8</v>
      </c>
      <c r="U13" s="1503">
        <f t="shared" si="1"/>
        <v>100</v>
      </c>
      <c r="V13" s="1502" t="s">
        <v>8</v>
      </c>
      <c r="W13" s="1503">
        <f t="shared" si="2"/>
        <v>100</v>
      </c>
      <c r="X13" s="1504"/>
      <c r="Y13" s="3468"/>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56" t="s">
        <v>534</v>
      </c>
      <c r="Q14" s="1506" t="str">
        <f t="shared" si="6"/>
        <v>交通便捷度</v>
      </c>
      <c r="R14" s="1507" t="s">
        <v>8</v>
      </c>
      <c r="S14" s="1508">
        <f t="shared" si="0"/>
        <v>100</v>
      </c>
      <c r="T14" s="1507" t="s">
        <v>8</v>
      </c>
      <c r="U14" s="1508">
        <f t="shared" si="1"/>
        <v>100</v>
      </c>
      <c r="V14" s="1507" t="s">
        <v>8</v>
      </c>
      <c r="W14" s="1508">
        <f t="shared" si="2"/>
        <v>100</v>
      </c>
      <c r="X14" s="1501"/>
      <c r="Y14" s="355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57"/>
      <c r="Q15" s="1506"/>
      <c r="R15" s="1507"/>
      <c r="S15" s="1508"/>
      <c r="T15" s="1507"/>
      <c r="U15" s="1508"/>
      <c r="V15" s="1507"/>
      <c r="W15" s="1508"/>
      <c r="X15" s="1501"/>
      <c r="Y15" s="3557"/>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57"/>
      <c r="Q16" s="1506" t="str">
        <f>B16</f>
        <v>公共配套设施</v>
      </c>
      <c r="R16" s="1507" t="s">
        <v>8</v>
      </c>
      <c r="S16" s="1508">
        <f>F16</f>
        <v>100</v>
      </c>
      <c r="T16" s="1507" t="s">
        <v>8</v>
      </c>
      <c r="U16" s="1508">
        <f>H16</f>
        <v>100</v>
      </c>
      <c r="V16" s="1507" t="s">
        <v>8</v>
      </c>
      <c r="W16" s="1508">
        <f>J16</f>
        <v>100</v>
      </c>
      <c r="X16" s="1501"/>
      <c r="Y16" s="355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57"/>
      <c r="Q17" s="1506"/>
      <c r="R17" s="1507"/>
      <c r="S17" s="1508"/>
      <c r="T17" s="1507"/>
      <c r="U17" s="1508"/>
      <c r="V17" s="1507"/>
      <c r="W17" s="1508"/>
      <c r="X17" s="1501"/>
      <c r="Y17" s="3557"/>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57"/>
      <c r="Q18" s="2429" t="str">
        <f>B18</f>
        <v>基础设施水平</v>
      </c>
      <c r="R18" s="1507" t="s">
        <v>8</v>
      </c>
      <c r="S18" s="1508">
        <f>F18</f>
        <v>100</v>
      </c>
      <c r="T18" s="1507" t="s">
        <v>8</v>
      </c>
      <c r="U18" s="1508">
        <f>H18</f>
        <v>100</v>
      </c>
      <c r="V18" s="1507" t="s">
        <v>8</v>
      </c>
      <c r="W18" s="1508">
        <f>J18</f>
        <v>100</v>
      </c>
      <c r="X18" s="2431"/>
      <c r="Y18" s="355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57"/>
      <c r="Q19" s="2429"/>
      <c r="R19" s="1507"/>
      <c r="S19" s="1508"/>
      <c r="T19" s="1507"/>
      <c r="U19" s="1508"/>
      <c r="V19" s="1507"/>
      <c r="W19" s="1508"/>
      <c r="X19" s="2431"/>
      <c r="Y19" s="3557"/>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57"/>
      <c r="Q20" s="1506" t="str">
        <f>B20</f>
        <v>自然及人文环境</v>
      </c>
      <c r="R20" s="1507" t="s">
        <v>8</v>
      </c>
      <c r="S20" s="1508">
        <f>F20</f>
        <v>100</v>
      </c>
      <c r="T20" s="1507" t="s">
        <v>8</v>
      </c>
      <c r="U20" s="1508">
        <f>H20</f>
        <v>100</v>
      </c>
      <c r="V20" s="1507" t="s">
        <v>8</v>
      </c>
      <c r="W20" s="1508">
        <f>J20</f>
        <v>100</v>
      </c>
      <c r="X20" s="1501"/>
      <c r="Y20" s="355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57"/>
      <c r="Q21" s="1506"/>
      <c r="R21" s="1507"/>
      <c r="S21" s="1508"/>
      <c r="T21" s="1507"/>
      <c r="U21" s="1508"/>
      <c r="V21" s="1507"/>
      <c r="W21" s="1508"/>
      <c r="X21" s="1501"/>
      <c r="Y21" s="355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57"/>
      <c r="Q22" s="1506" t="str">
        <f>B22</f>
        <v>楼层</v>
      </c>
      <c r="R22" s="1507" t="s">
        <v>8</v>
      </c>
      <c r="S22" s="1508">
        <f>F22</f>
        <v>100</v>
      </c>
      <c r="T22" s="1507" t="s">
        <v>8</v>
      </c>
      <c r="U22" s="1508">
        <f>H22</f>
        <v>100</v>
      </c>
      <c r="V22" s="1507" t="s">
        <v>8</v>
      </c>
      <c r="W22" s="1508">
        <f>J22</f>
        <v>100</v>
      </c>
      <c r="X22" s="1501"/>
      <c r="Y22" s="355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57"/>
      <c r="Q23" s="1506">
        <f>B23</f>
        <v>111</v>
      </c>
      <c r="R23" s="1507" t="s">
        <v>8</v>
      </c>
      <c r="S23" s="1508">
        <f>F23</f>
        <v>100</v>
      </c>
      <c r="T23" s="1507" t="s">
        <v>8</v>
      </c>
      <c r="U23" s="1508">
        <f>H23</f>
        <v>100</v>
      </c>
      <c r="V23" s="1507" t="s">
        <v>8</v>
      </c>
      <c r="W23" s="1508">
        <f>J23</f>
        <v>100</v>
      </c>
      <c r="X23" s="1501"/>
      <c r="Y23" s="355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57"/>
      <c r="Q24" s="1506">
        <f t="shared" ref="Q24:Q34" si="11">B24</f>
        <v>111</v>
      </c>
      <c r="R24" s="1507" t="s">
        <v>8</v>
      </c>
      <c r="S24" s="1508">
        <f>F24</f>
        <v>100</v>
      </c>
      <c r="T24" s="1507" t="s">
        <v>8</v>
      </c>
      <c r="U24" s="1508">
        <f>H24</f>
        <v>100</v>
      </c>
      <c r="V24" s="1507" t="s">
        <v>8</v>
      </c>
      <c r="W24" s="1508">
        <f>J24</f>
        <v>100</v>
      </c>
      <c r="X24" s="1501"/>
      <c r="Y24" s="355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57"/>
      <c r="Q25" s="1133">
        <f t="shared" si="11"/>
        <v>111</v>
      </c>
      <c r="R25" s="1502" t="s">
        <v>8</v>
      </c>
      <c r="S25" s="1503">
        <f>F25</f>
        <v>100</v>
      </c>
      <c r="T25" s="1502" t="s">
        <v>8</v>
      </c>
      <c r="U25" s="1503">
        <f>H25</f>
        <v>100</v>
      </c>
      <c r="V25" s="1502" t="s">
        <v>8</v>
      </c>
      <c r="W25" s="1503">
        <f>J25</f>
        <v>100</v>
      </c>
      <c r="X25" s="1504"/>
      <c r="Y25" s="3557"/>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5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5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59"/>
      <c r="Q27" s="1535" t="str">
        <f t="shared" si="11"/>
        <v>成新率</v>
      </c>
      <c r="R27" s="1511" t="s">
        <v>8</v>
      </c>
      <c r="S27" s="1512" t="e">
        <f t="shared" si="12"/>
        <v>#N/A</v>
      </c>
      <c r="T27" s="1511" t="s">
        <v>8</v>
      </c>
      <c r="U27" s="1512" t="e">
        <f t="shared" si="13"/>
        <v>#N/A</v>
      </c>
      <c r="V27" s="1511" t="s">
        <v>8</v>
      </c>
      <c r="W27" s="1512" t="e">
        <f t="shared" si="14"/>
        <v>#N/A</v>
      </c>
      <c r="X27" s="1513"/>
      <c r="Y27" s="355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59"/>
      <c r="Q28" s="1506" t="str">
        <f t="shared" si="11"/>
        <v>物业等级</v>
      </c>
      <c r="R28" s="1507" t="s">
        <v>8</v>
      </c>
      <c r="S28" s="1508">
        <f t="shared" si="12"/>
        <v>100</v>
      </c>
      <c r="T28" s="1507" t="s">
        <v>8</v>
      </c>
      <c r="U28" s="1508">
        <f t="shared" si="13"/>
        <v>100</v>
      </c>
      <c r="V28" s="1507" t="s">
        <v>8</v>
      </c>
      <c r="W28" s="1508">
        <f t="shared" si="14"/>
        <v>100</v>
      </c>
      <c r="X28" s="1501"/>
      <c r="Y28" s="355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59"/>
      <c r="Q29" s="1506" t="str">
        <f t="shared" si="11"/>
        <v>有无电梯</v>
      </c>
      <c r="R29" s="1507" t="s">
        <v>8</v>
      </c>
      <c r="S29" s="1508">
        <f t="shared" si="12"/>
        <v>100</v>
      </c>
      <c r="T29" s="1507" t="s">
        <v>8</v>
      </c>
      <c r="U29" s="1508">
        <f t="shared" si="13"/>
        <v>100</v>
      </c>
      <c r="V29" s="1507" t="s">
        <v>8</v>
      </c>
      <c r="W29" s="1508">
        <f t="shared" si="14"/>
        <v>100</v>
      </c>
      <c r="X29" s="1501"/>
      <c r="Y29" s="355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59"/>
      <c r="Q30" s="1506" t="str">
        <f t="shared" si="11"/>
        <v>建筑面积</v>
      </c>
      <c r="R30" s="1507" t="s">
        <v>8</v>
      </c>
      <c r="S30" s="1508" t="e">
        <f t="shared" si="12"/>
        <v>#N/A</v>
      </c>
      <c r="T30" s="1507" t="s">
        <v>8</v>
      </c>
      <c r="U30" s="1508" t="e">
        <f t="shared" si="13"/>
        <v>#N/A</v>
      </c>
      <c r="V30" s="1507" t="s">
        <v>8</v>
      </c>
      <c r="W30" s="1508" t="e">
        <f t="shared" si="14"/>
        <v>#N/A</v>
      </c>
      <c r="X30" s="1501"/>
      <c r="Y30" s="355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59"/>
      <c r="Q31" s="1133" t="str">
        <f t="shared" si="11"/>
        <v>是否封闭</v>
      </c>
      <c r="R31" s="1502" t="s">
        <v>8</v>
      </c>
      <c r="S31" s="1503">
        <f t="shared" si="12"/>
        <v>100</v>
      </c>
      <c r="T31" s="1502" t="s">
        <v>8</v>
      </c>
      <c r="U31" s="1503">
        <f t="shared" si="13"/>
        <v>100</v>
      </c>
      <c r="V31" s="1502" t="s">
        <v>8</v>
      </c>
      <c r="W31" s="1503">
        <f t="shared" si="14"/>
        <v>100</v>
      </c>
      <c r="X31" s="1504"/>
      <c r="Y31" s="355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59" t="s">
        <v>544</v>
      </c>
      <c r="Q32" s="1506">
        <f t="shared" si="11"/>
        <v>111</v>
      </c>
      <c r="R32" s="1507" t="s">
        <v>8</v>
      </c>
      <c r="S32" s="1508">
        <f t="shared" si="12"/>
        <v>100</v>
      </c>
      <c r="T32" s="1507" t="s">
        <v>8</v>
      </c>
      <c r="U32" s="1508">
        <f t="shared" si="13"/>
        <v>100</v>
      </c>
      <c r="V32" s="1507" t="s">
        <v>8</v>
      </c>
      <c r="W32" s="1508">
        <f t="shared" si="14"/>
        <v>100</v>
      </c>
      <c r="X32" s="1501"/>
      <c r="Y32" s="355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59"/>
      <c r="Q33" s="1506">
        <f t="shared" si="11"/>
        <v>111</v>
      </c>
      <c r="R33" s="1507" t="s">
        <v>8</v>
      </c>
      <c r="S33" s="1508">
        <f t="shared" si="12"/>
        <v>100</v>
      </c>
      <c r="T33" s="1507" t="s">
        <v>8</v>
      </c>
      <c r="U33" s="1508">
        <f t="shared" si="13"/>
        <v>100</v>
      </c>
      <c r="V33" s="1507" t="s">
        <v>8</v>
      </c>
      <c r="W33" s="1508">
        <f t="shared" si="14"/>
        <v>100</v>
      </c>
      <c r="X33" s="1501"/>
      <c r="Y33" s="355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59"/>
      <c r="Q34" s="1506">
        <f t="shared" si="11"/>
        <v>111</v>
      </c>
      <c r="R34" s="1507" t="s">
        <v>8</v>
      </c>
      <c r="S34" s="1508">
        <f t="shared" si="12"/>
        <v>100</v>
      </c>
      <c r="T34" s="1507" t="s">
        <v>8</v>
      </c>
      <c r="U34" s="1508">
        <f t="shared" si="13"/>
        <v>100</v>
      </c>
      <c r="V34" s="1507" t="s">
        <v>8</v>
      </c>
      <c r="W34" s="1508">
        <f t="shared" si="14"/>
        <v>100</v>
      </c>
      <c r="X34" s="1501"/>
      <c r="Y34" s="355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22" t="str">
        <f>A35</f>
        <v>成交单价（元/平方米）</v>
      </c>
      <c r="Q35" s="3522"/>
      <c r="R35" s="3640">
        <f>E35</f>
        <v>0</v>
      </c>
      <c r="S35" s="3640"/>
      <c r="T35" s="3640">
        <f>G35</f>
        <v>0</v>
      </c>
      <c r="U35" s="3640"/>
      <c r="V35" s="3640">
        <f>I35</f>
        <v>0</v>
      </c>
      <c r="W35" s="3640"/>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22" t="str">
        <f>A36</f>
        <v>比较价格（元/平方米）</v>
      </c>
      <c r="Q36" s="3522"/>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19" t="str">
        <f>A37</f>
        <v>估价对象XX用房的比较价格（楼面单价，元/平方米）</v>
      </c>
      <c r="Q37" s="3520"/>
      <c r="R37" s="3639" t="e">
        <f>IF(F1="售价",ROUND(IF(D36="简单平均",AVERAGE(R36:W36),R36*F36+T36*H36+V36*J36),0),ROUND(IF(D36="简单平均",AVERAGE(R36:V36),R36*F36+T36*H36+V36*J36),1))</f>
        <v>#DIV/0!</v>
      </c>
      <c r="S37" s="3639"/>
      <c r="T37" s="3639"/>
      <c r="U37" s="3639"/>
      <c r="V37" s="3639"/>
      <c r="W37" s="3639"/>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T34" sqref="T34"/>
    </sheetView>
  </sheetViews>
  <sheetFormatPr defaultColWidth="9" defaultRowHeight="12.75"/>
  <cols>
    <col min="1" max="1" width="11.5" style="1203" customWidth="1"/>
    <col min="2" max="2" width="9.25" style="1200" customWidth="1"/>
    <col min="3" max="3" width="7.625" style="1200" customWidth="1"/>
    <col min="4" max="4" width="9" style="1200"/>
    <col min="5" max="5" width="6.7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1" t="s">
        <v>2291</v>
      </c>
      <c r="D1" s="3652"/>
      <c r="E1" s="3652"/>
      <c r="F1" s="3652"/>
      <c r="G1" s="3652"/>
      <c r="H1" s="3652"/>
      <c r="I1" s="3652"/>
      <c r="J1" s="3652"/>
      <c r="K1" s="3652"/>
      <c r="L1" s="3652"/>
      <c r="M1" s="3652"/>
      <c r="N1" s="3652"/>
      <c r="O1" s="3652"/>
      <c r="P1" s="3652"/>
      <c r="Q1" s="3652"/>
      <c r="R1" s="3652"/>
      <c r="S1" s="3653"/>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85030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2291</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48" t="s">
        <v>20</v>
      </c>
      <c r="D22" s="3649"/>
      <c r="E22" s="3649"/>
      <c r="F22" s="3649"/>
      <c r="G22" s="3649"/>
      <c r="H22" s="3649"/>
      <c r="I22" s="3649"/>
      <c r="J22" s="3649"/>
      <c r="K22" s="3649"/>
      <c r="L22" s="3649"/>
      <c r="M22" s="3649"/>
      <c r="N22" s="3649"/>
      <c r="O22" s="3649"/>
      <c r="P22" s="3649"/>
      <c r="Q22" s="3650"/>
      <c r="R22" s="484">
        <f ca="1">ROUND(S22*10000/B22,0)</f>
        <v>2291</v>
      </c>
      <c r="S22" s="53">
        <f ca="1">SUM(S24:S10000)</f>
        <v>85030</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2303</v>
      </c>
      <c r="S24" s="949">
        <f t="shared" ref="S24:S54" ca="1" si="11">ROUND(R24*B24/10000,0)</f>
        <v>31336</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2303</v>
      </c>
      <c r="S26" s="789">
        <f t="shared" ca="1" si="11"/>
        <v>32352</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2257</v>
      </c>
      <c r="S27" s="789">
        <f t="shared" ca="1" si="11"/>
        <v>21342</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0"/>
  <sheetViews>
    <sheetView tabSelected="1" workbookViewId="0">
      <selection activeCell="H23" sqref="H23"/>
    </sheetView>
  </sheetViews>
  <sheetFormatPr defaultRowHeight="13.5"/>
  <sheetData>
    <row r="5" spans="3:6">
      <c r="D5" s="3248" t="s">
        <v>3170</v>
      </c>
      <c r="E5" s="3248" t="s">
        <v>3171</v>
      </c>
    </row>
    <row r="6" spans="3:6">
      <c r="C6">
        <v>23</v>
      </c>
      <c r="D6">
        <f ca="1">系统读取表!D14</f>
        <v>31332</v>
      </c>
      <c r="E6">
        <f ca="1">结果表!N74</f>
        <v>3692</v>
      </c>
      <c r="F6">
        <f ca="1">D6-E6</f>
        <v>27640</v>
      </c>
    </row>
    <row r="7" spans="3:6">
      <c r="C7">
        <v>24</v>
      </c>
      <c r="D7">
        <f ca="1">系统读取表!D16</f>
        <v>32352</v>
      </c>
      <c r="E7">
        <f ca="1">'结果表-24净值'!N74</f>
        <v>3812</v>
      </c>
      <c r="F7">
        <f t="shared" ref="F7:F9" ca="1" si="0">D7-E7</f>
        <v>28540</v>
      </c>
    </row>
    <row r="8" spans="3:6">
      <c r="C8">
        <v>27</v>
      </c>
      <c r="D8">
        <f ca="1">系统读取表!D17</f>
        <v>21342</v>
      </c>
      <c r="E8">
        <f ca="1">'结果表-27净值'!N74</f>
        <v>2401</v>
      </c>
      <c r="F8">
        <f t="shared" ca="1" si="0"/>
        <v>18941</v>
      </c>
    </row>
    <row r="9" spans="3:6">
      <c r="C9">
        <v>20</v>
      </c>
      <c r="D9">
        <f ca="1">系统读取表!D18</f>
        <v>20647</v>
      </c>
      <c r="E9">
        <f ca="1">[1]结果表!$N$74</f>
        <v>5036</v>
      </c>
      <c r="F9">
        <f t="shared" ca="1" si="0"/>
        <v>15611</v>
      </c>
    </row>
    <row r="10" spans="3:6">
      <c r="D10">
        <f ca="1">SUM(D6:D9)</f>
        <v>105673</v>
      </c>
      <c r="F10">
        <f ca="1">SUM(F6:F9)</f>
        <v>90732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1" t="s">
        <v>2026</v>
      </c>
      <c r="B1" s="3351"/>
      <c r="C1" s="3351"/>
      <c r="D1" s="3351"/>
      <c r="E1" s="3351"/>
      <c r="F1" s="3351"/>
      <c r="G1" s="3351"/>
      <c r="H1" s="3351"/>
      <c r="I1" s="3351"/>
      <c r="J1" s="3351"/>
      <c r="K1" s="3351"/>
      <c r="L1" s="3351"/>
      <c r="M1" s="3351"/>
      <c r="N1" s="3351"/>
      <c r="O1" s="3351"/>
      <c r="P1" s="3351"/>
      <c r="Q1" s="3351"/>
      <c r="R1" s="3351"/>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2" t="s">
        <v>2017</v>
      </c>
      <c r="B3" s="3352" t="s">
        <v>2710</v>
      </c>
      <c r="C3" s="3353" t="s">
        <v>2018</v>
      </c>
      <c r="D3" s="3352" t="s">
        <v>2714</v>
      </c>
      <c r="E3" s="3347" t="s">
        <v>2019</v>
      </c>
      <c r="F3" s="3347"/>
      <c r="G3" s="3347"/>
      <c r="H3" s="3347" t="s">
        <v>2020</v>
      </c>
      <c r="I3" s="3347"/>
      <c r="J3" s="3347"/>
      <c r="K3" s="3353" t="s">
        <v>2021</v>
      </c>
      <c r="L3" s="3353" t="s">
        <v>2022</v>
      </c>
      <c r="M3" s="3352" t="s">
        <v>2711</v>
      </c>
      <c r="N3" s="3354" t="str">
        <f>"（分摊）"&amp;项目基本情况!B16&amp;"国有建设用地使用权面积/㎡"</f>
        <v>（分摊）出让国有建设用地使用权面积/㎡</v>
      </c>
      <c r="O3" s="3352" t="s">
        <v>2051</v>
      </c>
      <c r="P3" s="3353" t="s">
        <v>2031</v>
      </c>
      <c r="Q3" s="3353" t="s">
        <v>2052</v>
      </c>
      <c r="R3" s="3353" t="s">
        <v>2023</v>
      </c>
    </row>
    <row r="4" spans="1:18" ht="36.75" customHeight="1">
      <c r="A4" s="3352"/>
      <c r="B4" s="3352"/>
      <c r="C4" s="3353"/>
      <c r="D4" s="3352"/>
      <c r="E4" s="2491" t="s">
        <v>2030</v>
      </c>
      <c r="F4" s="2491" t="s">
        <v>2723</v>
      </c>
      <c r="G4" s="2491" t="s">
        <v>2024</v>
      </c>
      <c r="H4" s="2491" t="s">
        <v>2025</v>
      </c>
      <c r="I4" s="2491" t="s">
        <v>2724</v>
      </c>
      <c r="J4" s="2491" t="s">
        <v>2024</v>
      </c>
      <c r="K4" s="3353"/>
      <c r="L4" s="3353"/>
      <c r="M4" s="3352"/>
      <c r="N4" s="3354"/>
      <c r="O4" s="3352"/>
      <c r="P4" s="3353"/>
      <c r="Q4" s="3353"/>
      <c r="R4" s="3353"/>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5757</v>
      </c>
      <c r="Q5" s="1725">
        <f ca="1">结果表!D42</f>
        <v>2303</v>
      </c>
      <c r="R5" s="1726">
        <f ca="1">结果表!C42</f>
        <v>31332</v>
      </c>
    </row>
    <row r="6" spans="1:18">
      <c r="A6" s="3348" t="str">
        <f>IF(项目基本情况!B9="市场价格","——","抵押价格")</f>
        <v>抵押价格</v>
      </c>
      <c r="B6" s="3349"/>
      <c r="C6" s="3349"/>
      <c r="D6" s="3349"/>
      <c r="E6" s="3349"/>
      <c r="F6" s="3349"/>
      <c r="G6" s="3349"/>
      <c r="H6" s="3349"/>
      <c r="I6" s="3349"/>
      <c r="J6" s="3349"/>
      <c r="K6" s="3349"/>
      <c r="L6" s="3349"/>
      <c r="M6" s="3349"/>
      <c r="N6" s="3349"/>
      <c r="O6" s="3349"/>
      <c r="P6" s="3349"/>
      <c r="Q6" s="3350"/>
      <c r="R6" s="1727">
        <f ca="1">结果表!O39</f>
        <v>31332</v>
      </c>
    </row>
    <row r="7" spans="1:18">
      <c r="A7" s="3348" t="str">
        <f>IF(项目基本情况!B9="市场价格","——",IF(项目基本情况!E8="已注销及未注销","抵押担保权已注销时的抵押价格","——"))</f>
        <v>——</v>
      </c>
      <c r="B7" s="3349"/>
      <c r="C7" s="3349"/>
      <c r="D7" s="3349"/>
      <c r="E7" s="3349"/>
      <c r="F7" s="3349"/>
      <c r="G7" s="3349"/>
      <c r="H7" s="3349"/>
      <c r="I7" s="3349"/>
      <c r="J7" s="3349"/>
      <c r="K7" s="3349"/>
      <c r="L7" s="3349"/>
      <c r="M7" s="3349"/>
      <c r="N7" s="3349"/>
      <c r="O7" s="3349"/>
      <c r="P7" s="3349"/>
      <c r="Q7" s="3350"/>
      <c r="R7" s="1727" t="str">
        <f>结果表!O40</f>
        <v>——</v>
      </c>
    </row>
    <row r="8" spans="1:18">
      <c r="A8" s="3348">
        <f>IF(项目基本情况!B9="市场价格","——",项目基本情况!E9)</f>
        <v>0</v>
      </c>
      <c r="B8" s="3349"/>
      <c r="C8" s="3349"/>
      <c r="D8" s="3349"/>
      <c r="E8" s="3349"/>
      <c r="F8" s="3349"/>
      <c r="G8" s="3349"/>
      <c r="H8" s="3349"/>
      <c r="I8" s="3349"/>
      <c r="J8" s="3349"/>
      <c r="K8" s="3349"/>
      <c r="L8" s="3349"/>
      <c r="M8" s="3349"/>
      <c r="N8" s="3349"/>
      <c r="O8" s="3349"/>
      <c r="P8" s="3349"/>
      <c r="Q8" s="3350"/>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6" t="s">
        <v>2053</v>
      </c>
      <c r="B1" s="3356"/>
      <c r="C1" s="3356"/>
      <c r="D1" s="3356"/>
    </row>
    <row r="2" spans="1:4" ht="47.25" customHeight="1">
      <c r="A2" s="3357" t="str">
        <f>"1.权利限制："&amp;项目基本情况!L24&amp;"未设定租赁等其他他项权利。"</f>
        <v>1.权利限制：根据估价对象《不动产权证书》原件、《国有土地使用权》复印件，截至估价期日，估价对象抵押权未见登记。未设定租赁等其他他项权利。</v>
      </c>
      <c r="B2" s="3357"/>
      <c r="C2" s="3357"/>
      <c r="D2" s="3357"/>
    </row>
    <row r="3" spans="1:4" ht="48" customHeight="1">
      <c r="A3" s="33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6"/>
      <c r="C3" s="3356"/>
      <c r="D3" s="3356"/>
    </row>
    <row r="4" spans="1:4" ht="36.75" customHeight="1">
      <c r="A4" s="3356" t="str">
        <f>"3.估价规划限制条件：详见"&amp;项目基本情况!E21&amp;"。"</f>
        <v>3.估价规划限制条件：详见《建设工程规划许可证》[]、《出让合同》[]。</v>
      </c>
      <c r="B4" s="3356"/>
      <c r="C4" s="3356"/>
      <c r="D4" s="3356"/>
    </row>
    <row r="5" spans="1:4">
      <c r="A5" s="3355" t="s">
        <v>2054</v>
      </c>
      <c r="B5" s="3355"/>
      <c r="C5" s="3355"/>
      <c r="D5" s="3355"/>
    </row>
    <row r="6" spans="1:4">
      <c r="A6" s="3356" t="s">
        <v>2032</v>
      </c>
      <c r="B6" s="3356"/>
      <c r="C6" s="3356"/>
      <c r="D6" s="3356"/>
    </row>
    <row r="7" spans="1:4" ht="33" customHeight="1">
      <c r="A7" s="3356" t="s">
        <v>2554</v>
      </c>
      <c r="B7" s="3356"/>
      <c r="C7" s="3356"/>
      <c r="D7" s="3356"/>
    </row>
    <row r="8" spans="1:4" ht="32.25" customHeight="1">
      <c r="A8" s="33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6"/>
      <c r="C8" s="3356"/>
      <c r="D8" s="3356"/>
    </row>
    <row r="9" spans="1:4" ht="33.75" customHeight="1">
      <c r="A9" s="33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6"/>
      <c r="C9" s="3356"/>
      <c r="D9" s="3356"/>
    </row>
    <row r="10" spans="1:4">
      <c r="A10" s="3356" t="str">
        <f>IF(项目基本情况!B8="抵押","4.估价师所知悉的法定优先受偿款情况为：","——")</f>
        <v>4.估价师所知悉的法定优先受偿款情况为：</v>
      </c>
      <c r="B10" s="3356"/>
      <c r="C10" s="3356"/>
      <c r="D10" s="3356"/>
    </row>
    <row r="11" spans="1:4" ht="37.5" customHeight="1">
      <c r="A11" s="33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8"/>
      <c r="C11" s="3358"/>
      <c r="D11" s="3358"/>
    </row>
    <row r="12" spans="1:4" ht="168" customHeight="1">
      <c r="A12" s="3355" t="s">
        <v>2056</v>
      </c>
      <c r="B12" s="3355"/>
      <c r="C12" s="3355"/>
      <c r="D12" s="3355"/>
    </row>
    <row r="13" spans="1:4">
      <c r="A13" s="3359" t="s">
        <v>2725</v>
      </c>
      <c r="B13" s="3359"/>
      <c r="C13" s="3359"/>
      <c r="D13" s="3359"/>
    </row>
    <row r="14" spans="1:4">
      <c r="A14" s="3358" t="str">
        <f>IF(项目基本情况!B8="抵押","综上，"&amp;结果表!K47,"——")</f>
        <v>综上，本次评估不存在估价师知悉的法定优先受偿款</v>
      </c>
      <c r="B14" s="3358"/>
      <c r="C14" s="3358"/>
      <c r="D14" s="3358"/>
    </row>
    <row r="15" spans="1:4" ht="58.5" customHeight="1">
      <c r="A15" s="33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6"/>
      <c r="C15" s="3356"/>
      <c r="D15" s="3356"/>
    </row>
    <row r="16" spans="1:4" ht="70.5" customHeight="1">
      <c r="A16" s="33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6"/>
      <c r="C16" s="3356"/>
      <c r="D16" s="3356"/>
    </row>
    <row r="17" spans="1:4">
      <c r="A17" s="3356" t="s">
        <v>2681</v>
      </c>
      <c r="B17" s="3356"/>
      <c r="C17" s="3356"/>
      <c r="D17" s="3356"/>
    </row>
    <row r="18" spans="1:4">
      <c r="A18" s="3356" t="s">
        <v>2673</v>
      </c>
      <c r="B18" s="3356"/>
      <c r="C18" s="3356"/>
      <c r="D18" s="3356"/>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56" t="s">
        <v>2678</v>
      </c>
      <c r="B23" s="3356"/>
      <c r="C23" s="3356"/>
      <c r="D23" s="3356"/>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67" t="s">
        <v>53</v>
      </c>
      <c r="B15" s="3368" t="s">
        <v>837</v>
      </c>
      <c r="C15" s="3364"/>
    </row>
    <row r="16" spans="1:7" ht="14.25">
      <c r="A16" s="3367"/>
      <c r="B16" s="3365" t="s">
        <v>54</v>
      </c>
      <c r="C16" s="1154" t="s">
        <v>53</v>
      </c>
    </row>
    <row r="17" spans="1:3" ht="14.25">
      <c r="A17" s="3367"/>
      <c r="B17" s="3365"/>
      <c r="C17" s="1154" t="s">
        <v>55</v>
      </c>
    </row>
    <row r="18" spans="1:3" ht="14.25">
      <c r="A18" s="3367"/>
      <c r="B18" s="3365"/>
      <c r="C18" s="1154" t="s">
        <v>56</v>
      </c>
    </row>
    <row r="19" spans="1:3" ht="14.25">
      <c r="A19" s="3367"/>
      <c r="B19" s="3363" t="s">
        <v>57</v>
      </c>
      <c r="C19" s="3364"/>
    </row>
    <row r="20" spans="1:3" ht="14.25">
      <c r="A20" s="1155" t="s">
        <v>58</v>
      </c>
      <c r="B20" s="1156"/>
      <c r="C20" s="1157"/>
    </row>
    <row r="21" spans="1:3" ht="14.25">
      <c r="A21" s="3366" t="s">
        <v>59</v>
      </c>
      <c r="B21" s="3363" t="s">
        <v>60</v>
      </c>
      <c r="C21" s="3364"/>
    </row>
    <row r="22" spans="1:3" ht="14.25">
      <c r="A22" s="3366"/>
      <c r="B22" s="3363" t="s">
        <v>61</v>
      </c>
      <c r="C22" s="3364"/>
    </row>
    <row r="23" spans="1:3" ht="14.25">
      <c r="A23" s="3366"/>
      <c r="B23" s="3363" t="s">
        <v>62</v>
      </c>
      <c r="C23" s="3364"/>
    </row>
    <row r="24" spans="1:3" ht="14.25">
      <c r="A24" s="3366"/>
      <c r="B24" s="3369" t="s">
        <v>63</v>
      </c>
      <c r="C24" s="1158" t="s">
        <v>828</v>
      </c>
    </row>
    <row r="25" spans="1:3" ht="14.25">
      <c r="A25" s="3366"/>
      <c r="B25" s="3370"/>
      <c r="C25" s="1158" t="s">
        <v>829</v>
      </c>
    </row>
    <row r="26" spans="1:3" ht="14.25">
      <c r="A26" s="3366"/>
      <c r="B26" s="3370"/>
      <c r="C26" s="1158" t="s">
        <v>830</v>
      </c>
    </row>
    <row r="27" spans="1:3" ht="14.25">
      <c r="A27" s="3366"/>
      <c r="B27" s="3370"/>
      <c r="C27" s="1158" t="s">
        <v>831</v>
      </c>
    </row>
    <row r="28" spans="1:3" ht="14.25">
      <c r="A28" s="3366"/>
      <c r="B28" s="3370"/>
      <c r="C28" s="1158" t="s">
        <v>832</v>
      </c>
    </row>
    <row r="29" spans="1:3" ht="14.25">
      <c r="A29" s="3366"/>
      <c r="B29" s="3370"/>
      <c r="C29" s="1158" t="s">
        <v>833</v>
      </c>
    </row>
    <row r="30" spans="1:3" ht="14.25">
      <c r="A30" s="3366"/>
      <c r="B30" s="3370"/>
      <c r="C30" s="1158" t="s">
        <v>834</v>
      </c>
    </row>
    <row r="31" spans="1:3" ht="14.25">
      <c r="A31" s="3366"/>
      <c r="B31" s="3370"/>
      <c r="C31" s="1158" t="s">
        <v>835</v>
      </c>
    </row>
    <row r="32" spans="1:3" ht="14.25">
      <c r="A32" s="3366"/>
      <c r="B32" s="3370"/>
      <c r="C32" s="1158" t="s">
        <v>1636</v>
      </c>
    </row>
    <row r="33" spans="1:3" ht="14.25">
      <c r="A33" s="3366"/>
      <c r="B33" s="3360" t="s">
        <v>1642</v>
      </c>
      <c r="C33" s="1158" t="s">
        <v>1637</v>
      </c>
    </row>
    <row r="34" spans="1:3" ht="14.25">
      <c r="A34" s="3366"/>
      <c r="B34" s="3361"/>
      <c r="C34" s="1163" t="s">
        <v>1638</v>
      </c>
    </row>
    <row r="35" spans="1:3" ht="14.25">
      <c r="A35" s="3366"/>
      <c r="B35" s="3361"/>
      <c r="C35" s="1164" t="s">
        <v>1639</v>
      </c>
    </row>
    <row r="36" spans="1:3" ht="14.25">
      <c r="A36" s="3366"/>
      <c r="B36" s="3361"/>
      <c r="C36" s="1164" t="s">
        <v>1640</v>
      </c>
    </row>
    <row r="37" spans="1:3" ht="14.25">
      <c r="A37" s="3366"/>
      <c r="B37" s="3362"/>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44259</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74" t="s">
        <v>1914</v>
      </c>
      <c r="B17" s="3375"/>
      <c r="C17" s="3375"/>
      <c r="D17" s="3375"/>
      <c r="E17" s="3375"/>
      <c r="F17" s="3375"/>
      <c r="G17" s="3034"/>
    </row>
    <row r="18" spans="1:7" ht="20.25" customHeight="1">
      <c r="A18" s="3371" t="s">
        <v>1915</v>
      </c>
      <c r="B18" s="3371"/>
      <c r="C18" s="3372"/>
      <c r="D18" s="3373" t="s">
        <v>1916</v>
      </c>
      <c r="E18" s="3371"/>
      <c r="F18" s="3371"/>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76"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76"/>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6"/>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6"/>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6"/>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2021-03-04T03:33:49Z</dcterms:modified>
</cp:coreProperties>
</file>