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314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23净值" sheetId="69" state="hidden" r:id="rId18"/>
    <sheet name="结果表-24净值" sheetId="71" r:id="rId19"/>
    <sheet name="结果表-27净值" sheetId="72" r:id="rId20"/>
    <sheet name="比较法-住宅、综合" sheetId="39" r:id="rId21"/>
    <sheet name="土地案例" sheetId="68"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r:id="rId43"/>
    <sheet name="存贷款利率" sheetId="65" state="hidden" r:id="rId44"/>
    <sheet name="Sheet3" sheetId="70" r:id="rId45"/>
  </sheets>
  <externalReferences>
    <externalReference r:id="rId46"/>
    <externalReference r:id="rId47"/>
  </externalReferences>
  <definedNames>
    <definedName name="_xlnm._FilterDatabase" localSheetId="2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0">'比较法-住宅、综合'!$A$1:$K$67,'比较法-住宅、综合'!$A$71:$N$134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'结果表-23净值'!$A$1:$I$46,'结果表-23净值'!$K$25:$O$44,'结果表-23净值'!$A$62:$I$115,'结果表-23净值'!$K$64:$P$81</definedName>
    <definedName name="_xlnm.Print_Area" localSheetId="18">'结果表-24净值'!$A$1:$I$46,'结果表-24净值'!$K$25:$O$44,'结果表-24净值'!$A$62:$I$115,'结果表-24净值'!$K$64:$P$81</definedName>
    <definedName name="_xlnm.Print_Area" localSheetId="19">'结果表-27净值'!$A$1:$I$46,'结果表-27净值'!$K$25:$O$44,'结果表-27净值'!$A$62:$I$115,'结果表-27净值'!$K$64:$P$81</definedName>
    <definedName name="_xlnm.Print_Area" localSheetId="22">'剩余法-待开发'!$A$1:$K$36</definedName>
    <definedName name="_xlnm.Print_Area" localSheetId="23">'剩余法-现房'!$A$1:$K$32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8" i="66" l="1"/>
  <c r="D17" i="31" l="1"/>
  <c r="E17" i="31"/>
  <c r="F17" i="31"/>
  <c r="B27" i="31" l="1"/>
  <c r="B17" i="66"/>
  <c r="C112" i="72"/>
  <c r="C109" i="72"/>
  <c r="E108" i="72"/>
  <c r="D107" i="72"/>
  <c r="C107" i="72" s="1"/>
  <c r="C105" i="72" s="1"/>
  <c r="H95" i="72"/>
  <c r="D95" i="72"/>
  <c r="C94" i="72"/>
  <c r="F77" i="72"/>
  <c r="P75" i="72" s="1"/>
  <c r="E77" i="72"/>
  <c r="O75" i="72" s="1"/>
  <c r="D77" i="72"/>
  <c r="N75" i="72"/>
  <c r="L75" i="72"/>
  <c r="K75" i="72"/>
  <c r="O74" i="72"/>
  <c r="F74" i="72"/>
  <c r="P74" i="72" s="1"/>
  <c r="O73" i="72"/>
  <c r="I73" i="72"/>
  <c r="F73" i="72" s="1"/>
  <c r="P73" i="72" s="1"/>
  <c r="E66" i="72"/>
  <c r="O72" i="72" s="1"/>
  <c r="C46" i="72"/>
  <c r="A46" i="72"/>
  <c r="A45" i="72"/>
  <c r="C45" i="72" s="1"/>
  <c r="K44" i="72"/>
  <c r="A44" i="72"/>
  <c r="K39" i="72" s="1"/>
  <c r="K43" i="72"/>
  <c r="C43" i="72"/>
  <c r="K47" i="72" s="1"/>
  <c r="K41" i="72"/>
  <c r="K40" i="72"/>
  <c r="K31" i="72"/>
  <c r="K32" i="72" s="1"/>
  <c r="C25" i="72"/>
  <c r="C24" i="72"/>
  <c r="D17" i="72"/>
  <c r="C17" i="72"/>
  <c r="M4" i="72"/>
  <c r="L4" i="72"/>
  <c r="C20" i="72"/>
  <c r="D20" i="72"/>
  <c r="D21" i="72"/>
  <c r="C21" i="72"/>
  <c r="C19" i="72"/>
  <c r="D19" i="72"/>
  <c r="C18" i="72" l="1"/>
  <c r="G21" i="72" s="1"/>
  <c r="L43" i="72"/>
  <c r="D22" i="72"/>
  <c r="L44" i="72"/>
  <c r="C110" i="72"/>
  <c r="D18" i="72"/>
  <c r="M44" i="72" s="1"/>
  <c r="O40" i="72"/>
  <c r="K33" i="72"/>
  <c r="O41" i="72"/>
  <c r="C112" i="71"/>
  <c r="C109" i="71"/>
  <c r="E108" i="71"/>
  <c r="D107" i="71"/>
  <c r="C107" i="71" s="1"/>
  <c r="C105" i="71" s="1"/>
  <c r="H95" i="71"/>
  <c r="D95" i="71"/>
  <c r="C94" i="71"/>
  <c r="F77" i="71"/>
  <c r="P75" i="71" s="1"/>
  <c r="E77" i="71"/>
  <c r="O75" i="71" s="1"/>
  <c r="D77" i="71"/>
  <c r="N75" i="71" s="1"/>
  <c r="L75" i="71"/>
  <c r="K75" i="71"/>
  <c r="O74" i="71"/>
  <c r="F74" i="71"/>
  <c r="P74" i="71" s="1"/>
  <c r="O73" i="71"/>
  <c r="I73" i="71"/>
  <c r="F73" i="71"/>
  <c r="P73" i="71" s="1"/>
  <c r="E66" i="71"/>
  <c r="O72" i="71" s="1"/>
  <c r="A46" i="71"/>
  <c r="C46" i="71" s="1"/>
  <c r="A45" i="71"/>
  <c r="C45" i="71" s="1"/>
  <c r="K44" i="71"/>
  <c r="A44" i="71"/>
  <c r="K43" i="71"/>
  <c r="C43" i="71"/>
  <c r="K47" i="71" s="1"/>
  <c r="K41" i="71"/>
  <c r="K40" i="71"/>
  <c r="K39" i="71"/>
  <c r="K31" i="71"/>
  <c r="K32" i="71" s="1"/>
  <c r="C25" i="71"/>
  <c r="C24" i="71"/>
  <c r="D17" i="71"/>
  <c r="C17" i="71"/>
  <c r="M4" i="71"/>
  <c r="L4" i="71"/>
  <c r="B16" i="66"/>
  <c r="B26" i="31" s="1"/>
  <c r="I40" i="39"/>
  <c r="G40" i="39"/>
  <c r="E40" i="39"/>
  <c r="C40" i="39"/>
  <c r="I9" i="39"/>
  <c r="G9" i="39"/>
  <c r="E9" i="39"/>
  <c r="I7" i="39"/>
  <c r="G7" i="39"/>
  <c r="E7" i="39"/>
  <c r="Q63" i="68"/>
  <c r="Q62" i="68"/>
  <c r="Q64" i="68" s="1"/>
  <c r="Q46" i="68"/>
  <c r="Q45" i="68"/>
  <c r="Q47" i="68" s="1"/>
  <c r="Q35" i="68"/>
  <c r="Q34" i="68"/>
  <c r="Q36" i="68" s="1"/>
  <c r="C112" i="69"/>
  <c r="C109" i="69"/>
  <c r="E108" i="69"/>
  <c r="D107" i="69"/>
  <c r="C107" i="69" s="1"/>
  <c r="C105" i="69" s="1"/>
  <c r="H95" i="69"/>
  <c r="D95" i="69"/>
  <c r="C94" i="69"/>
  <c r="F77" i="69"/>
  <c r="P75" i="69" s="1"/>
  <c r="E77" i="69"/>
  <c r="D77" i="69"/>
  <c r="N75" i="69" s="1"/>
  <c r="O75" i="69"/>
  <c r="L75" i="69"/>
  <c r="K75" i="69"/>
  <c r="O74" i="69"/>
  <c r="F74" i="69"/>
  <c r="P74" i="69" s="1"/>
  <c r="O73" i="69"/>
  <c r="I73" i="69"/>
  <c r="F73" i="69" s="1"/>
  <c r="P73" i="69" s="1"/>
  <c r="E66" i="69"/>
  <c r="O72" i="69" s="1"/>
  <c r="A46" i="69"/>
  <c r="C46" i="69" s="1"/>
  <c r="A45" i="69"/>
  <c r="C45" i="69" s="1"/>
  <c r="K44" i="69"/>
  <c r="A44" i="69"/>
  <c r="K39" i="69" s="1"/>
  <c r="K43" i="69"/>
  <c r="C43" i="69"/>
  <c r="K47" i="69" s="1"/>
  <c r="K41" i="69"/>
  <c r="K40" i="69"/>
  <c r="K31" i="69"/>
  <c r="K32" i="69" s="1"/>
  <c r="C25" i="69"/>
  <c r="C24" i="69"/>
  <c r="D17" i="69"/>
  <c r="C17" i="69"/>
  <c r="C18" i="69" s="1"/>
  <c r="M4" i="69"/>
  <c r="L4" i="69"/>
  <c r="D20" i="71"/>
  <c r="D21" i="69"/>
  <c r="C19" i="69"/>
  <c r="D21" i="71"/>
  <c r="D19" i="69"/>
  <c r="C20" i="69"/>
  <c r="C20" i="71"/>
  <c r="C19" i="71"/>
  <c r="D19" i="71"/>
  <c r="C21" i="69"/>
  <c r="D20" i="69"/>
  <c r="C21" i="71"/>
  <c r="M43" i="72" l="1"/>
  <c r="G20" i="72"/>
  <c r="C18" i="71"/>
  <c r="K34" i="72"/>
  <c r="G19" i="72"/>
  <c r="D22" i="71"/>
  <c r="L43" i="71"/>
  <c r="L44" i="71"/>
  <c r="M43" i="71"/>
  <c r="D18" i="71"/>
  <c r="M44" i="71" s="1"/>
  <c r="O40" i="71"/>
  <c r="C110" i="71"/>
  <c r="K33" i="71"/>
  <c r="O41" i="71"/>
  <c r="L43" i="69"/>
  <c r="D22" i="69"/>
  <c r="L44" i="69"/>
  <c r="M43" i="69"/>
  <c r="D18" i="69"/>
  <c r="M44" i="69" s="1"/>
  <c r="O40" i="69"/>
  <c r="C110" i="69"/>
  <c r="K33" i="69"/>
  <c r="O41" i="69"/>
  <c r="G19" i="69" l="1"/>
  <c r="N43" i="69" s="1"/>
  <c r="G19" i="71"/>
  <c r="C32" i="71" s="1"/>
  <c r="N43" i="72"/>
  <c r="C32" i="72"/>
  <c r="K34" i="71"/>
  <c r="G20" i="71"/>
  <c r="G21" i="71"/>
  <c r="N43" i="71"/>
  <c r="K34" i="69"/>
  <c r="G20" i="69"/>
  <c r="G21" i="69"/>
  <c r="C32" i="69" l="1"/>
  <c r="C42" i="69" s="1"/>
  <c r="O43" i="72"/>
  <c r="O38" i="72"/>
  <c r="C42" i="72"/>
  <c r="C42" i="71"/>
  <c r="O43" i="71"/>
  <c r="O38" i="71"/>
  <c r="O43" i="69" l="1"/>
  <c r="O38" i="69"/>
  <c r="K25" i="69" s="1"/>
  <c r="C44" i="72"/>
  <c r="K26" i="72"/>
  <c r="K25" i="72"/>
  <c r="K25" i="71"/>
  <c r="K26" i="71"/>
  <c r="C44" i="71"/>
  <c r="N68" i="69"/>
  <c r="C44" i="69"/>
  <c r="K26" i="69" l="1"/>
  <c r="O39" i="72"/>
  <c r="K29" i="72" s="1"/>
  <c r="K30" i="72" s="1"/>
  <c r="O39" i="71"/>
  <c r="K29" i="71" s="1"/>
  <c r="K30" i="71" s="1"/>
  <c r="N69" i="69"/>
  <c r="O39" i="69"/>
  <c r="K29" i="69" s="1"/>
  <c r="K30" i="69" s="1"/>
  <c r="M84" i="69" l="1"/>
  <c r="N84" i="69" s="1"/>
  <c r="M83" i="69"/>
  <c r="N83" i="69" s="1"/>
  <c r="N89" i="69" s="1"/>
  <c r="O89" i="69" s="1"/>
  <c r="M88" i="69"/>
  <c r="N88" i="69" s="1"/>
  <c r="M87" i="69"/>
  <c r="N87" i="69" s="1"/>
  <c r="M86" i="69"/>
  <c r="N86" i="69" s="1"/>
  <c r="M85" i="69"/>
  <c r="N85" i="69" s="1"/>
  <c r="C33" i="21" l="1"/>
  <c r="F19" i="6"/>
  <c r="AH5" i="59"/>
  <c r="AG5" i="59"/>
  <c r="AE5" i="59"/>
  <c r="AF5" i="59" s="1"/>
  <c r="AD5" i="59"/>
  <c r="Q5" i="59"/>
  <c r="P5" i="59"/>
  <c r="O5" i="59"/>
  <c r="N5" i="59"/>
  <c r="AH6" i="59" l="1"/>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c r="AD10" i="59"/>
  <c r="Q11" i="59"/>
  <c r="Q12" i="59"/>
  <c r="P11" i="59"/>
  <c r="P12" i="59"/>
  <c r="O11" i="59"/>
  <c r="O12" i="59"/>
  <c r="N11" i="59"/>
  <c r="N12" i="59"/>
  <c r="AH11" i="59"/>
  <c r="AG11" i="59"/>
  <c r="AE11" i="59"/>
  <c r="AF11" i="59" s="1"/>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s="1"/>
  <c r="AD16" i="59"/>
  <c r="AE17" i="59"/>
  <c r="AF17" i="59" s="1"/>
  <c r="AG17" i="59"/>
  <c r="AH17" i="59"/>
  <c r="AD17" i="59"/>
  <c r="Q17" i="59"/>
  <c r="P17" i="59"/>
  <c r="O17" i="59"/>
  <c r="N17" i="59"/>
  <c r="N18" i="59"/>
  <c r="Q18" i="59"/>
  <c r="P18" i="59"/>
  <c r="O18" i="59"/>
  <c r="K59" i="15"/>
  <c r="P62" i="15" s="1"/>
  <c r="P75" i="15"/>
  <c r="Q74" i="44"/>
  <c r="Q61" i="44"/>
  <c r="Q60" i="44"/>
  <c r="Q53" i="44"/>
  <c r="J51" i="44"/>
  <c r="J52" i="44" s="1"/>
  <c r="M48" i="44"/>
  <c r="A16" i="55"/>
  <c r="B67" i="63" s="1"/>
  <c r="A15" i="55"/>
  <c r="B66" i="63" s="1"/>
  <c r="A10" i="55"/>
  <c r="B61" i="63" s="1"/>
  <c r="A9" i="55"/>
  <c r="B60" i="63" s="1"/>
  <c r="A8" i="55"/>
  <c r="B59" i="63" s="1"/>
  <c r="A6" i="54"/>
  <c r="A8" i="54"/>
  <c r="B53" i="63" s="1"/>
  <c r="A7" i="54"/>
  <c r="A27" i="51"/>
  <c r="B20" i="63" s="1"/>
  <c r="Q19" i="59"/>
  <c r="O19" i="59"/>
  <c r="N20" i="59"/>
  <c r="O20" i="59"/>
  <c r="P20" i="59"/>
  <c r="Q20" i="59"/>
  <c r="N19" i="59"/>
  <c r="P19" i="59"/>
  <c r="K75" i="9"/>
  <c r="K6" i="4"/>
  <c r="O76" i="9"/>
  <c r="L76" i="9"/>
  <c r="K76" i="9"/>
  <c r="E19" i="66"/>
  <c r="F19" i="66"/>
  <c r="E20" i="66"/>
  <c r="F20" i="66"/>
  <c r="E21" i="66"/>
  <c r="F21" i="66"/>
  <c r="E22" i="66"/>
  <c r="F22" i="66"/>
  <c r="E23" i="66"/>
  <c r="F23" i="66"/>
  <c r="B3" i="66"/>
  <c r="B17" i="59"/>
  <c r="B16" i="59" s="1"/>
  <c r="B15" i="59" s="1"/>
  <c r="E17" i="59"/>
  <c r="F17" i="59"/>
  <c r="V17" i="59" s="1"/>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17" i="59"/>
  <c r="C3" i="65"/>
  <c r="C1" i="65"/>
  <c r="N1" i="65" s="1"/>
  <c r="T17" i="59"/>
  <c r="D17" i="59"/>
  <c r="B76" i="63"/>
  <c r="M5" i="54"/>
  <c r="B41" i="63" s="1"/>
  <c r="A23" i="51"/>
  <c r="Y12" i="46"/>
  <c r="AA9" i="46"/>
  <c r="AA10" i="46" s="1"/>
  <c r="AB9" i="46"/>
  <c r="AB10" i="46" s="1"/>
  <c r="AC9" i="46"/>
  <c r="AC10" i="46" s="1"/>
  <c r="AD9" i="46"/>
  <c r="AD10" i="46" s="1"/>
  <c r="AE9" i="46"/>
  <c r="AF9" i="46"/>
  <c r="AF10" i="46" s="1"/>
  <c r="AG9" i="46"/>
  <c r="AG10" i="46" s="1"/>
  <c r="AH9" i="46"/>
  <c r="AH10" i="46"/>
  <c r="AI9" i="46"/>
  <c r="AJ9" i="46"/>
  <c r="AJ10" i="46" s="1"/>
  <c r="Z9" i="46"/>
  <c r="Z10" i="46" s="1"/>
  <c r="AI10" i="46"/>
  <c r="Y10" i="46"/>
  <c r="Z12" i="46"/>
  <c r="AI12" i="46"/>
  <c r="AC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K40" i="9"/>
  <c r="B58" i="63"/>
  <c r="B51" i="63"/>
  <c r="A46" i="9"/>
  <c r="K41" i="9" s="1"/>
  <c r="B8" i="63"/>
  <c r="A21" i="55"/>
  <c r="B71" i="63"/>
  <c r="A20" i="55"/>
  <c r="B69" i="63"/>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c r="B40" i="50"/>
  <c r="B3" i="63"/>
  <c r="I19" i="46"/>
  <c r="Q21" i="59"/>
  <c r="F21" i="59" s="1"/>
  <c r="V21" i="59" s="1"/>
  <c r="P21" i="59"/>
  <c r="E21" i="59" s="1"/>
  <c r="O21" i="59"/>
  <c r="C21" i="59" s="1"/>
  <c r="N21" i="59"/>
  <c r="D82" i="59"/>
  <c r="F81" i="59"/>
  <c r="F80" i="59" s="1"/>
  <c r="F79" i="59" s="1"/>
  <c r="E81" i="59"/>
  <c r="E80" i="59" s="1"/>
  <c r="E79" i="59" s="1"/>
  <c r="C81" i="59"/>
  <c r="D81" i="59" s="1"/>
  <c r="B81" i="59"/>
  <c r="B80" i="59" s="1"/>
  <c r="B79" i="59" s="1"/>
  <c r="D78" i="59"/>
  <c r="F77" i="59"/>
  <c r="F76" i="59" s="1"/>
  <c r="F75" i="59" s="1"/>
  <c r="E77" i="59"/>
  <c r="E76" i="59" s="1"/>
  <c r="E75" i="59" s="1"/>
  <c r="C77" i="59"/>
  <c r="D77" i="59" s="1"/>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s="1"/>
  <c r="E61" i="59"/>
  <c r="E60" i="59" s="1"/>
  <c r="C61" i="59"/>
  <c r="B61" i="59"/>
  <c r="N61" i="59" s="1"/>
  <c r="F60" i="59"/>
  <c r="B60" i="59"/>
  <c r="N60" i="59" s="1"/>
  <c r="D58" i="59"/>
  <c r="Q57" i="59"/>
  <c r="P57" i="59"/>
  <c r="O57" i="59"/>
  <c r="N57" i="59"/>
  <c r="Q56" i="59"/>
  <c r="P56" i="59"/>
  <c r="O56" i="59"/>
  <c r="N56" i="59"/>
  <c r="Q55" i="59"/>
  <c r="P55" i="59"/>
  <c r="O55" i="59"/>
  <c r="N55" i="59"/>
  <c r="Q54" i="59"/>
  <c r="F55"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C36" i="59" s="1"/>
  <c r="D36" i="59" s="1"/>
  <c r="N34" i="59"/>
  <c r="B35" i="59" s="1"/>
  <c r="D34" i="59"/>
  <c r="Q33" i="59"/>
  <c r="P33" i="59"/>
  <c r="O33" i="59"/>
  <c r="N33" i="59"/>
  <c r="Q32" i="59"/>
  <c r="AB32" i="59" s="1"/>
  <c r="P32" i="59"/>
  <c r="AA32" i="59" s="1"/>
  <c r="O32" i="59"/>
  <c r="Y32" i="59"/>
  <c r="Z32" i="59" s="1"/>
  <c r="N32" i="59"/>
  <c r="X32" i="59" s="1"/>
  <c r="Q31" i="59"/>
  <c r="AB31" i="59" s="1"/>
  <c r="P31" i="59"/>
  <c r="O31" i="59"/>
  <c r="Y31" i="59" s="1"/>
  <c r="Z31" i="59" s="1"/>
  <c r="N31" i="59"/>
  <c r="X31" i="59" s="1"/>
  <c r="Q30" i="59"/>
  <c r="AB30" i="59" s="1"/>
  <c r="P30" i="59"/>
  <c r="O30" i="59"/>
  <c r="N30" i="59"/>
  <c r="D30" i="59"/>
  <c r="Q29" i="59"/>
  <c r="P29" i="59"/>
  <c r="AA29" i="59" s="1"/>
  <c r="O29" i="59"/>
  <c r="N29" i="59"/>
  <c r="X29" i="59" s="1"/>
  <c r="Q28" i="59"/>
  <c r="P28" i="59"/>
  <c r="AA28" i="59" s="1"/>
  <c r="O28" i="59"/>
  <c r="N28" i="59"/>
  <c r="X28" i="59" s="1"/>
  <c r="Q27" i="59"/>
  <c r="P27" i="59"/>
  <c r="AA27" i="59" s="1"/>
  <c r="O27" i="59"/>
  <c r="N27" i="59"/>
  <c r="X27" i="59" s="1"/>
  <c r="Q26" i="59"/>
  <c r="F27" i="59"/>
  <c r="F28" i="59" s="1"/>
  <c r="F29" i="59" s="1"/>
  <c r="V29" i="59" s="1"/>
  <c r="P26" i="59"/>
  <c r="O26" i="59"/>
  <c r="N26" i="59"/>
  <c r="D26" i="59"/>
  <c r="Q25" i="59"/>
  <c r="P25" i="59"/>
  <c r="O25" i="59"/>
  <c r="N25" i="59"/>
  <c r="Q24" i="59"/>
  <c r="P24" i="59"/>
  <c r="O24" i="59"/>
  <c r="N24" i="59"/>
  <c r="Q23" i="59"/>
  <c r="P23" i="59"/>
  <c r="O23" i="59"/>
  <c r="N23" i="59"/>
  <c r="Q22" i="59"/>
  <c r="P22" i="59"/>
  <c r="AA19" i="59" s="1"/>
  <c r="O22" i="59"/>
  <c r="N22" i="59"/>
  <c r="D22" i="59"/>
  <c r="X20" i="59"/>
  <c r="Y19" i="59"/>
  <c r="Z19" i="59" s="1"/>
  <c r="E23" i="59"/>
  <c r="E24" i="59" s="1"/>
  <c r="E25" i="59" s="1"/>
  <c r="U25" i="59" s="1"/>
  <c r="E44" i="59"/>
  <c r="E45" i="59" s="1"/>
  <c r="U45" i="59" s="1"/>
  <c r="S61" i="59"/>
  <c r="F40" i="59"/>
  <c r="F41" i="59"/>
  <c r="V41" i="59" s="1"/>
  <c r="F56" i="59"/>
  <c r="F57" i="59" s="1"/>
  <c r="V57" i="59" s="1"/>
  <c r="C44" i="59"/>
  <c r="D44" i="59" s="1"/>
  <c r="C48" i="59"/>
  <c r="C56" i="59"/>
  <c r="B59" i="59"/>
  <c r="N58" i="59" s="1"/>
  <c r="T61" i="59"/>
  <c r="O61" i="59"/>
  <c r="D61" i="59"/>
  <c r="C60" i="59"/>
  <c r="P61" i="59"/>
  <c r="U61" i="59"/>
  <c r="Q61" i="59"/>
  <c r="E64" i="59"/>
  <c r="E63" i="59" s="1"/>
  <c r="C68" i="59"/>
  <c r="D68" i="59" s="1"/>
  <c r="E68" i="59"/>
  <c r="E67" i="59" s="1"/>
  <c r="D69" i="59"/>
  <c r="E72" i="59"/>
  <c r="E71" i="59" s="1"/>
  <c r="C76" i="59"/>
  <c r="D76" i="59" s="1"/>
  <c r="C80" i="59"/>
  <c r="D80" i="59" s="1"/>
  <c r="U16" i="4"/>
  <c r="S16" i="4"/>
  <c r="Q16" i="4"/>
  <c r="O16" i="4"/>
  <c r="M16" i="4"/>
  <c r="L16" i="4" s="1"/>
  <c r="K16" i="4"/>
  <c r="C79" i="59"/>
  <c r="D79" i="59" s="1"/>
  <c r="C59" i="59"/>
  <c r="O59" i="59" s="1"/>
  <c r="O60" i="59"/>
  <c r="D60" i="59"/>
  <c r="C75" i="59"/>
  <c r="D75" i="59" s="1"/>
  <c r="C67" i="59"/>
  <c r="D67" i="59" s="1"/>
  <c r="N59" i="59"/>
  <c r="C57" i="59"/>
  <c r="D57" i="59" s="1"/>
  <c r="D56" i="59"/>
  <c r="C49" i="59"/>
  <c r="D49" i="59" s="1"/>
  <c r="D48" i="59"/>
  <c r="C37" i="59"/>
  <c r="D37" i="59" s="1"/>
  <c r="T37" i="59"/>
  <c r="T49" i="59"/>
  <c r="D5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C21" i="21"/>
  <c r="Q27" i="40"/>
  <c r="Z27" i="40" s="1"/>
  <c r="D96" i="40"/>
  <c r="E96" i="40" s="1"/>
  <c r="F96" i="40" s="1"/>
  <c r="F27" i="40"/>
  <c r="AA27" i="40" s="1"/>
  <c r="Q31" i="39"/>
  <c r="Z31" i="39" s="1"/>
  <c r="D105" i="39"/>
  <c r="G20" i="20"/>
  <c r="B85" i="46" s="1"/>
  <c r="C22" i="20"/>
  <c r="B65" i="46" s="1"/>
  <c r="S18" i="36"/>
  <c r="S18" i="35"/>
  <c r="S21" i="37"/>
  <c r="C31" i="39"/>
  <c r="B74" i="46"/>
  <c r="E66" i="36"/>
  <c r="H18" i="35"/>
  <c r="J18" i="35"/>
  <c r="H21" i="37"/>
  <c r="J21" i="37"/>
  <c r="E84" i="34"/>
  <c r="F84" i="34" s="1"/>
  <c r="G84" i="34" s="1"/>
  <c r="J21" i="34"/>
  <c r="H21" i="34"/>
  <c r="F21" i="33"/>
  <c r="H21" i="33"/>
  <c r="J21" i="33"/>
  <c r="H27" i="40"/>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s="1"/>
  <c r="G19" i="46"/>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W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23" i="21" s="1"/>
  <c r="AA23" i="21" s="1"/>
  <c r="D81" i="21"/>
  <c r="E81" i="21" s="1"/>
  <c r="D77" i="21"/>
  <c r="E77" i="21" s="1"/>
  <c r="F15" i="21" s="1"/>
  <c r="B130" i="21"/>
  <c r="B128" i="21"/>
  <c r="B126" i="21"/>
  <c r="J44" i="21" s="1"/>
  <c r="AC44" i="21" s="1"/>
  <c r="B98" i="21"/>
  <c r="B96" i="21"/>
  <c r="F30" i="21" s="1"/>
  <c r="S30" i="21" s="1"/>
  <c r="B94" i="21"/>
  <c r="B92" i="21"/>
  <c r="J28" i="21" s="1"/>
  <c r="AC28" i="21" s="1"/>
  <c r="B90" i="21"/>
  <c r="B74" i="21"/>
  <c r="J14" i="21" s="1"/>
  <c r="B72" i="2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S33" i="21" s="1"/>
  <c r="J10" i="21"/>
  <c r="AC10" i="21" s="1"/>
  <c r="H26" i="21"/>
  <c r="J12" i="21"/>
  <c r="J26" i="21"/>
  <c r="W26" i="21" s="1"/>
  <c r="F26" i="21"/>
  <c r="AA26" i="21" s="1"/>
  <c r="AB41" i="21"/>
  <c r="S41" i="21"/>
  <c r="AA41" i="21"/>
  <c r="W41" i="21"/>
  <c r="S10" i="39"/>
  <c r="U30" i="37"/>
  <c r="E103" i="37"/>
  <c r="F103" i="37" s="1"/>
  <c r="F39" i="37"/>
  <c r="S39" i="37" s="1"/>
  <c r="W39" i="37"/>
  <c r="F29" i="36"/>
  <c r="AA29" i="36" s="1"/>
  <c r="F16" i="36"/>
  <c r="AA16" i="36" s="1"/>
  <c r="U22" i="36"/>
  <c r="W22" i="36"/>
  <c r="AC31" i="36"/>
  <c r="J33" i="36"/>
  <c r="W33" i="36" s="1"/>
  <c r="AC27" i="35"/>
  <c r="U31" i="35"/>
  <c r="W36" i="35"/>
  <c r="S31" i="35"/>
  <c r="W31" i="35"/>
  <c r="F36" i="34"/>
  <c r="S36" i="34" s="1"/>
  <c r="W9" i="34"/>
  <c r="S34" i="34"/>
  <c r="H39" i="33"/>
  <c r="AB39" i="33" s="1"/>
  <c r="F26" i="33"/>
  <c r="AA26" i="33" s="1"/>
  <c r="W38" i="33"/>
  <c r="S40" i="33"/>
  <c r="S33" i="33"/>
  <c r="W33" i="33"/>
  <c r="U38" i="33"/>
  <c r="H39" i="37"/>
  <c r="AB39" i="37" s="1"/>
  <c r="AB27" i="35"/>
  <c r="S10" i="40"/>
  <c r="W10" i="40"/>
  <c r="S11" i="40"/>
  <c r="U11" i="40"/>
  <c r="S36" i="40"/>
  <c r="U36" i="40"/>
  <c r="S36" i="39"/>
  <c r="F11" i="21"/>
  <c r="S11" i="21" s="1"/>
  <c r="AB36" i="21"/>
  <c r="AC35" i="21"/>
  <c r="C29" i="39"/>
  <c r="C23" i="39"/>
  <c r="U36" i="39"/>
  <c r="S42" i="39"/>
  <c r="H32" i="33"/>
  <c r="AB32" i="33" s="1"/>
  <c r="H11" i="21"/>
  <c r="U11" i="21" s="1"/>
  <c r="J11" i="21"/>
  <c r="W11" i="21" s="1"/>
  <c r="F100" i="40"/>
  <c r="F86" i="40"/>
  <c r="G86" i="40" s="1"/>
  <c r="AA12" i="33"/>
  <c r="J27" i="36"/>
  <c r="W27"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AC8" i="35"/>
  <c r="F35" i="37"/>
  <c r="E101" i="37"/>
  <c r="F101" i="37" s="1"/>
  <c r="G101" i="37" s="1"/>
  <c r="H101" i="37" s="1"/>
  <c r="I101" i="37" s="1"/>
  <c r="J101" i="37" s="1"/>
  <c r="K101" i="37" s="1"/>
  <c r="L101" i="37" s="1"/>
  <c r="M101" i="37" s="1"/>
  <c r="J34" i="37"/>
  <c r="W34"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U14" i="21" s="1"/>
  <c r="H28" i="21"/>
  <c r="AB28" i="21" s="1"/>
  <c r="F28" i="21"/>
  <c r="AA28" i="21" s="1"/>
  <c r="H30" i="21"/>
  <c r="U30" i="21" s="1"/>
  <c r="J30" i="21"/>
  <c r="AC30" i="21" s="1"/>
  <c r="H44" i="21"/>
  <c r="U44" i="21" s="1"/>
  <c r="H46" i="21"/>
  <c r="AB46" i="21" s="1"/>
  <c r="J46" i="21"/>
  <c r="W46" i="21" s="1"/>
  <c r="F46" i="21"/>
  <c r="AA46" i="21" s="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G105" i="37"/>
  <c r="AB28" i="36"/>
  <c r="AB31" i="21"/>
  <c r="AB13" i="21"/>
  <c r="U46" i="21"/>
  <c r="W30" i="21"/>
  <c r="S28" i="21"/>
  <c r="AB14" i="21"/>
  <c r="S46" i="33"/>
  <c r="U36" i="37"/>
  <c r="AB45" i="33"/>
  <c r="AB31" i="33"/>
  <c r="AA27" i="33"/>
  <c r="AB27" i="33"/>
  <c r="S45" i="21"/>
  <c r="U28"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K26" i="31"/>
  <c r="I27" i="31"/>
  <c r="K27" i="31"/>
  <c r="I28" i="31"/>
  <c r="K28" i="31"/>
  <c r="AC28" i="34"/>
  <c r="H25" i="21"/>
  <c r="U25" i="21" s="1"/>
  <c r="F25" i="21"/>
  <c r="S25" i="21" s="1"/>
  <c r="J25" i="21"/>
  <c r="AC25" i="21" s="1"/>
  <c r="E125" i="33"/>
  <c r="F125" i="33" s="1"/>
  <c r="G125" i="33" s="1"/>
  <c r="H43" i="33"/>
  <c r="U43" i="33"/>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S27" i="37"/>
  <c r="U39" i="37"/>
  <c r="AC8" i="37"/>
  <c r="AC36" i="34"/>
  <c r="AB8" i="34"/>
  <c r="AC37" i="33"/>
  <c r="AA13" i="33"/>
  <c r="AC45" i="33"/>
  <c r="AC33" i="21"/>
  <c r="AA36" i="21"/>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G483" i="3"/>
  <c r="G515" i="3"/>
  <c r="G507" i="3"/>
  <c r="G501" i="3"/>
  <c r="BA15" i="3"/>
  <c r="BL17" i="3"/>
  <c r="BL15" i="3"/>
  <c r="BA14" i="3"/>
  <c r="AZ14" i="3" s="1"/>
  <c r="J57" i="39"/>
  <c r="H13" i="40"/>
  <c r="U13" i="40" s="1"/>
  <c r="H12" i="48"/>
  <c r="I4" i="4"/>
  <c r="K141" i="21"/>
  <c r="K143" i="21"/>
  <c r="K144" i="21"/>
  <c r="I59" i="40"/>
  <c r="C59" i="40"/>
  <c r="I60" i="40"/>
  <c r="C60" i="40"/>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s="1"/>
  <c r="BL115" i="3"/>
  <c r="G116" i="3"/>
  <c r="BA118" i="3"/>
  <c r="AZ118" i="3" s="1"/>
  <c r="BL119" i="3"/>
  <c r="AZ119" i="3" s="1"/>
  <c r="G120" i="3"/>
  <c r="BA122" i="3"/>
  <c r="AZ122" i="3" s="1"/>
  <c r="BL123" i="3"/>
  <c r="AZ123" i="3" s="1"/>
  <c r="G124" i="3"/>
  <c r="BA126" i="3"/>
  <c r="BL127" i="3"/>
  <c r="G128" i="3"/>
  <c r="BA130" i="3"/>
  <c r="AZ130" i="3" s="1"/>
  <c r="BL131" i="3"/>
  <c r="G132" i="3"/>
  <c r="BA134" i="3"/>
  <c r="BL135" i="3"/>
  <c r="AZ135" i="3" s="1"/>
  <c r="G136" i="3"/>
  <c r="BA138" i="3"/>
  <c r="BL139" i="3"/>
  <c r="AZ139" i="3" s="1"/>
  <c r="G140" i="3"/>
  <c r="BA142" i="3"/>
  <c r="BL143" i="3"/>
  <c r="AZ143" i="3" s="1"/>
  <c r="G144" i="3"/>
  <c r="BA146" i="3"/>
  <c r="BL147" i="3"/>
  <c r="G148" i="3"/>
  <c r="BA150" i="3"/>
  <c r="BL151" i="3"/>
  <c r="BA153" i="3"/>
  <c r="BL154" i="3"/>
  <c r="AZ154" i="3" s="1"/>
  <c r="G155" i="3"/>
  <c r="BA157" i="3"/>
  <c r="AZ157" i="3" s="1"/>
  <c r="BL158" i="3"/>
  <c r="G159" i="3"/>
  <c r="BA161" i="3"/>
  <c r="BL162" i="3"/>
  <c r="AZ162" i="3" s="1"/>
  <c r="G163" i="3"/>
  <c r="BA165" i="3"/>
  <c r="BL166" i="3"/>
  <c r="G167" i="3"/>
  <c r="BA169" i="3"/>
  <c r="BL170" i="3"/>
  <c r="G171" i="3"/>
  <c r="BA173" i="3"/>
  <c r="BL174" i="3"/>
  <c r="G175" i="3"/>
  <c r="BA178" i="3"/>
  <c r="BL179" i="3"/>
  <c r="G180" i="3"/>
  <c r="AZ23" i="3"/>
  <c r="AZ31" i="3"/>
  <c r="AZ39" i="3"/>
  <c r="AZ47" i="3"/>
  <c r="AZ55" i="3"/>
  <c r="G537" i="3"/>
  <c r="BL181" i="3"/>
  <c r="G182" i="3"/>
  <c r="BA184" i="3"/>
  <c r="AZ184" i="3" s="1"/>
  <c r="BL185" i="3"/>
  <c r="G186" i="3"/>
  <c r="BA188" i="3"/>
  <c r="AZ188" i="3" s="1"/>
  <c r="BL189" i="3"/>
  <c r="AZ189" i="3" s="1"/>
  <c r="G190" i="3"/>
  <c r="BA192" i="3"/>
  <c r="BL193" i="3"/>
  <c r="G194" i="3"/>
  <c r="BA196" i="3"/>
  <c r="AZ196" i="3" s="1"/>
  <c r="BL197" i="3"/>
  <c r="G198" i="3"/>
  <c r="BA200" i="3"/>
  <c r="AZ200" i="3" s="1"/>
  <c r="BL201" i="3"/>
  <c r="AZ70" i="3"/>
  <c r="AZ78" i="3"/>
  <c r="AZ90" i="3"/>
  <c r="AZ94"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BA381" i="3"/>
  <c r="BL381" i="3"/>
  <c r="G382" i="3"/>
  <c r="G385" i="3"/>
  <c r="AZ158" i="3"/>
  <c r="AZ166" i="3"/>
  <c r="AZ170" i="3"/>
  <c r="AZ187" i="3"/>
  <c r="G523" i="3"/>
  <c r="BL297" i="3"/>
  <c r="G298" i="3"/>
  <c r="BA300" i="3"/>
  <c r="BL301" i="3"/>
  <c r="G302" i="3"/>
  <c r="BA304" i="3"/>
  <c r="AZ304" i="3" s="1"/>
  <c r="BL305" i="3"/>
  <c r="G306" i="3"/>
  <c r="BA308" i="3"/>
  <c r="BL309" i="3"/>
  <c r="G310" i="3"/>
  <c r="BA310" i="3"/>
  <c r="AZ310" i="3" s="1"/>
  <c r="BL311" i="3"/>
  <c r="AZ311" i="3" s="1"/>
  <c r="G312" i="3"/>
  <c r="BA312" i="3"/>
  <c r="AZ312" i="3" s="1"/>
  <c r="BL313" i="3"/>
  <c r="AZ313" i="3" s="1"/>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BL367" i="3"/>
  <c r="AZ367" i="3" s="1"/>
  <c r="AZ229" i="3"/>
  <c r="AZ233" i="3"/>
  <c r="AZ245" i="3"/>
  <c r="AZ353" i="3"/>
  <c r="AZ363" i="3"/>
  <c r="G368" i="3"/>
  <c r="BA370" i="3"/>
  <c r="BL371" i="3"/>
  <c r="G372" i="3"/>
  <c r="BA374" i="3"/>
  <c r="AZ374" i="3" s="1"/>
  <c r="BL375" i="3"/>
  <c r="G376" i="3"/>
  <c r="BA378" i="3"/>
  <c r="AZ378" i="3" s="1"/>
  <c r="BL379" i="3"/>
  <c r="G380" i="3"/>
  <c r="BA382" i="3"/>
  <c r="BL383" i="3"/>
  <c r="G384" i="3"/>
  <c r="AZ249" i="3"/>
  <c r="AZ383" i="3"/>
  <c r="AZ282" i="3"/>
  <c r="AZ286" i="3"/>
  <c r="AZ303" i="3"/>
  <c r="AZ347" i="3"/>
  <c r="AZ385" i="3"/>
  <c r="AZ414" i="3"/>
  <c r="H7" i="48"/>
  <c r="F33"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s="1"/>
  <c r="AC26" i="36"/>
  <c r="W25" i="35"/>
  <c r="AZ300" i="3"/>
  <c r="AZ322" i="3"/>
  <c r="H13" i="39"/>
  <c r="AB13" i="39" s="1"/>
  <c r="F13" i="39"/>
  <c r="J13" i="39"/>
  <c r="AC13" i="39" s="1"/>
  <c r="AA36" i="35"/>
  <c r="H11" i="37"/>
  <c r="AB11" i="37" s="1"/>
  <c r="W37" i="37"/>
  <c r="AA36" i="37"/>
  <c r="U32" i="33"/>
  <c r="AB17" i="37"/>
  <c r="AC29" i="33"/>
  <c r="AA45" i="33"/>
  <c r="AC11" i="36"/>
  <c r="AC10" i="36"/>
  <c r="AB45" i="34"/>
  <c r="AC14" i="37"/>
  <c r="AB35" i="35"/>
  <c r="W44" i="33"/>
  <c r="W30" i="33"/>
  <c r="AC29" i="37"/>
  <c r="W32" i="36"/>
  <c r="AC32" i="36"/>
  <c r="U28" i="33"/>
  <c r="AB28" i="33"/>
  <c r="J33" i="34"/>
  <c r="AC33" i="34" s="1"/>
  <c r="AB36" i="34"/>
  <c r="J40" i="34"/>
  <c r="W40" i="34" s="1"/>
  <c r="F16" i="35"/>
  <c r="AA16" i="35" s="1"/>
  <c r="S24" i="36"/>
  <c r="W42" i="33"/>
  <c r="J35" i="34"/>
  <c r="W35" i="34" s="1"/>
  <c r="F107" i="34"/>
  <c r="G107" i="34" s="1"/>
  <c r="H107" i="34" s="1"/>
  <c r="I107" i="34"/>
  <c r="J107" i="34" s="1"/>
  <c r="K107" i="34" s="1"/>
  <c r="L107" i="34" s="1"/>
  <c r="M107" i="34" s="1"/>
  <c r="S30" i="36"/>
  <c r="H16" i="36"/>
  <c r="AB16" i="36" s="1"/>
  <c r="G103" i="37"/>
  <c r="H103" i="37" s="1"/>
  <c r="I103" i="37"/>
  <c r="J103" i="37" s="1"/>
  <c r="K103" i="37" s="1"/>
  <c r="L103" i="37" s="1"/>
  <c r="M103" i="37" s="1"/>
  <c r="H35" i="37"/>
  <c r="AB35" i="37"/>
  <c r="S26" i="21"/>
  <c r="H32" i="21"/>
  <c r="U32" i="21" s="1"/>
  <c r="AB26" i="21"/>
  <c r="U26" i="21"/>
  <c r="AA33" i="21"/>
  <c r="U39"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U38" i="21"/>
  <c r="AB34" i="21"/>
  <c r="BL571" i="3"/>
  <c r="BA571" i="3"/>
  <c r="BL570" i="3"/>
  <c r="BE5" i="3"/>
  <c r="AB40" i="33"/>
  <c r="U40" i="33"/>
  <c r="AA35" i="34"/>
  <c r="S35" i="34"/>
  <c r="E90" i="34"/>
  <c r="H27" i="34"/>
  <c r="AB27" i="34" s="1"/>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S35" i="21"/>
  <c r="AB10" i="21"/>
  <c r="AB8"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15" i="3"/>
  <c r="B41" i="1"/>
  <c r="J42" i="40"/>
  <c r="AC42" i="40" s="1"/>
  <c r="J40" i="40"/>
  <c r="AC40" i="40" s="1"/>
  <c r="J34" i="40"/>
  <c r="AC34" i="40" s="1"/>
  <c r="H16" i="40"/>
  <c r="AB16" i="40" s="1"/>
  <c r="H14" i="40"/>
  <c r="U14" i="40" s="1"/>
  <c r="F32" i="40"/>
  <c r="AA32" i="40" s="1"/>
  <c r="AZ452" i="3"/>
  <c r="M1" i="46"/>
  <c r="M6" i="46"/>
  <c r="M10" i="46"/>
  <c r="N2" i="46"/>
  <c r="N5" i="46"/>
  <c r="F58" i="46"/>
  <c r="H61" i="46" s="1"/>
  <c r="N7" i="46"/>
  <c r="AZ231" i="3"/>
  <c r="AZ247" i="3"/>
  <c r="AZ252" i="3"/>
  <c r="AZ281" i="3"/>
  <c r="AZ284" i="3"/>
  <c r="AZ121" i="3"/>
  <c r="M7" i="46"/>
  <c r="M11" i="46"/>
  <c r="N3" i="46"/>
  <c r="N6" i="46"/>
  <c r="N10" i="46"/>
  <c r="F69" i="46"/>
  <c r="H71" i="46"/>
  <c r="AZ32" i="3"/>
  <c r="AZ48" i="3"/>
  <c r="AZ63" i="3"/>
  <c r="AZ79" i="3"/>
  <c r="J13" i="40"/>
  <c r="W13" i="40" s="1"/>
  <c r="W40" i="40"/>
  <c r="F27" i="43"/>
  <c r="F71" i="9"/>
  <c r="S33" i="40"/>
  <c r="S47" i="39"/>
  <c r="AB37" i="34"/>
  <c r="W41" i="40"/>
  <c r="J23" i="40"/>
  <c r="AC23" i="40" s="1"/>
  <c r="F23" i="40"/>
  <c r="S23" i="40" s="1"/>
  <c r="AC15" i="40"/>
  <c r="W15" i="40"/>
  <c r="AB16" i="39"/>
  <c r="W14" i="39"/>
  <c r="U23" i="35"/>
  <c r="H20" i="35"/>
  <c r="AB20" i="35" s="1"/>
  <c r="F20" i="35"/>
  <c r="S20" i="35" s="1"/>
  <c r="H15" i="34"/>
  <c r="AB15" i="34" s="1"/>
  <c r="J15" i="34"/>
  <c r="AC15" i="34" s="1"/>
  <c r="H41" i="33"/>
  <c r="U41" i="33" s="1"/>
  <c r="F30" i="40"/>
  <c r="AA30" i="40" s="1"/>
  <c r="H100" i="40"/>
  <c r="I100" i="40" s="1"/>
  <c r="J100" i="40" s="1"/>
  <c r="K100" i="40" s="1"/>
  <c r="L100" i="40" s="1"/>
  <c r="M100" i="40" s="1"/>
  <c r="AB38" i="34"/>
  <c r="AZ486" i="3"/>
  <c r="AZ497" i="3"/>
  <c r="AZ504" i="3"/>
  <c r="AZ529" i="3"/>
  <c r="AZ530" i="3"/>
  <c r="AZ537" i="3"/>
  <c r="AZ547" i="3"/>
  <c r="AZ548" i="3"/>
  <c r="AZ549" i="3"/>
  <c r="AB37" i="39"/>
  <c r="AA29" i="35"/>
  <c r="U39" i="39"/>
  <c r="J29" i="39"/>
  <c r="AC29" i="39" s="1"/>
  <c r="AB21" i="39"/>
  <c r="U21" i="39"/>
  <c r="AB33" i="36"/>
  <c r="AA11" i="36"/>
  <c r="AA14" i="35"/>
  <c r="G99" i="37"/>
  <c r="F33" i="37"/>
  <c r="U46" i="34"/>
  <c r="AC30" i="34"/>
  <c r="AA14" i="34"/>
  <c r="W12" i="34"/>
  <c r="U29" i="33"/>
  <c r="AC13" i="33"/>
  <c r="U17" i="34"/>
  <c r="AA11" i="34"/>
  <c r="W32" i="33"/>
  <c r="H15" i="33"/>
  <c r="U15" i="33" s="1"/>
  <c r="AA11" i="33"/>
  <c r="AA40" i="21"/>
  <c r="S13" i="39"/>
  <c r="AA13" i="39"/>
  <c r="W34" i="40"/>
  <c r="AB42" i="40"/>
  <c r="U42" i="40"/>
  <c r="AC16" i="40"/>
  <c r="W32" i="40"/>
  <c r="H25" i="40"/>
  <c r="AB25" i="40" s="1"/>
  <c r="F94" i="40"/>
  <c r="G94" i="40" s="1"/>
  <c r="U47" i="39"/>
  <c r="W15" i="39"/>
  <c r="J37" i="34"/>
  <c r="AC37" i="34" s="1"/>
  <c r="J36" i="33"/>
  <c r="W36" i="33" s="1"/>
  <c r="S41" i="40"/>
  <c r="H23" i="39"/>
  <c r="AB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H11" i="33"/>
  <c r="U11" i="33" s="1"/>
  <c r="H10" i="33"/>
  <c r="U10" i="33" s="1"/>
  <c r="I66" i="33"/>
  <c r="J10" i="33"/>
  <c r="AC10" i="33" s="1"/>
  <c r="U11" i="37"/>
  <c r="U13" i="39"/>
  <c r="AC16" i="35"/>
  <c r="AC13" i="40"/>
  <c r="J11" i="34"/>
  <c r="W11" i="34" s="1"/>
  <c r="F25" i="40"/>
  <c r="AA25" i="40" s="1"/>
  <c r="J11" i="33"/>
  <c r="W11" i="33" s="1"/>
  <c r="H33" i="37"/>
  <c r="AB33" i="37" s="1"/>
  <c r="W15" i="34"/>
  <c r="U20" i="35"/>
  <c r="W23" i="40"/>
  <c r="AP11" i="1"/>
  <c r="B11" i="1"/>
  <c r="E11" i="1" s="1"/>
  <c r="K11" i="1"/>
  <c r="M11" i="1" s="1"/>
  <c r="O11" i="1" s="1"/>
  <c r="B9" i="1"/>
  <c r="E9" i="1" s="1"/>
  <c r="K9" i="1"/>
  <c r="M9" i="1" s="1"/>
  <c r="O9" i="1" s="1"/>
  <c r="B7" i="1"/>
  <c r="E7" i="1" s="1"/>
  <c r="K7" i="1"/>
  <c r="M7" i="1" s="1"/>
  <c r="O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U14" i="36" s="1"/>
  <c r="F14" i="36"/>
  <c r="AA14" i="36" s="1"/>
  <c r="W20" i="36"/>
  <c r="U27" i="36"/>
  <c r="U32" i="36"/>
  <c r="U9" i="36"/>
  <c r="S33" i="36"/>
  <c r="AA27" i="36"/>
  <c r="S16" i="36"/>
  <c r="S29" i="36"/>
  <c r="AC33" i="35"/>
  <c r="AA13" i="35"/>
  <c r="AC9" i="35"/>
  <c r="S8" i="35"/>
  <c r="U33" i="35"/>
  <c r="AA20" i="35"/>
  <c r="S23" i="35"/>
  <c r="S16" i="35"/>
  <c r="AB14" i="35"/>
  <c r="AC10" i="35"/>
  <c r="U9"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AB19" i="37" s="1"/>
  <c r="J17" i="37"/>
  <c r="S15" i="37"/>
  <c r="AC10" i="37"/>
  <c r="AC21" i="37"/>
  <c r="W21" i="37"/>
  <c r="AC11" i="37"/>
  <c r="AC9" i="37"/>
  <c r="W32" i="37"/>
  <c r="U35" i="37"/>
  <c r="U8"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s="1"/>
  <c r="F23" i="34"/>
  <c r="AA23" i="34" s="1"/>
  <c r="H23" i="34"/>
  <c r="W17" i="34"/>
  <c r="U11" i="34"/>
  <c r="W10" i="34"/>
  <c r="U10" i="34"/>
  <c r="AC40" i="34"/>
  <c r="W44" i="34"/>
  <c r="W19" i="34"/>
  <c r="W29" i="34"/>
  <c r="AC21" i="34"/>
  <c r="W21" i="34"/>
  <c r="U15" i="34"/>
  <c r="AB21" i="34"/>
  <c r="U21" i="34"/>
  <c r="U19" i="34"/>
  <c r="AB41" i="34"/>
  <c r="S13" i="34"/>
  <c r="AA41" i="34"/>
  <c r="S9" i="34"/>
  <c r="S10" i="34"/>
  <c r="U39" i="33"/>
  <c r="U37" i="33"/>
  <c r="S35"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AC11" i="33"/>
  <c r="S14" i="33"/>
  <c r="W10" i="33"/>
  <c r="AC21" i="33"/>
  <c r="W21" i="33"/>
  <c r="W14" i="33"/>
  <c r="AB10" i="33"/>
  <c r="AB21" i="33"/>
  <c r="U21" i="33"/>
  <c r="AA21" i="33"/>
  <c r="S21" i="33"/>
  <c r="AA44" i="33"/>
  <c r="AA36" i="33"/>
  <c r="W39" i="21"/>
  <c r="AC34" i="21"/>
  <c r="U35" i="21"/>
  <c r="W43" i="21"/>
  <c r="AB32" i="21"/>
  <c r="W28" i="21"/>
  <c r="AC46" i="21"/>
  <c r="AC26" i="21"/>
  <c r="F85" i="21"/>
  <c r="G85" i="21" s="1"/>
  <c r="J23" i="21"/>
  <c r="W23" i="21" s="1"/>
  <c r="H23" i="21"/>
  <c r="AB23" i="21" s="1"/>
  <c r="F77" i="21"/>
  <c r="G77" i="21" s="1"/>
  <c r="J15" i="21"/>
  <c r="AC15" i="21" s="1"/>
  <c r="AC11" i="21"/>
  <c r="AB11" i="21"/>
  <c r="W13" i="21"/>
  <c r="AA11" i="21"/>
  <c r="W44" i="21"/>
  <c r="W10" i="21"/>
  <c r="AC38" i="21"/>
  <c r="AB29" i="21"/>
  <c r="AA30" i="21"/>
  <c r="AA31" i="21"/>
  <c r="W33" i="40"/>
  <c r="U33" i="40"/>
  <c r="S35" i="40"/>
  <c r="U15" i="40"/>
  <c r="S14" i="40"/>
  <c r="S15" i="40"/>
  <c r="AB13" i="40"/>
  <c r="S16" i="40"/>
  <c r="W11" i="40"/>
  <c r="AA21" i="40"/>
  <c r="U21" i="40"/>
  <c r="W25" i="40"/>
  <c r="W42"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F88" i="40"/>
  <c r="G88" i="40" s="1"/>
  <c r="F19" i="40"/>
  <c r="H19" i="40"/>
  <c r="AB19" i="40" s="1"/>
  <c r="J19" i="40"/>
  <c r="W17" i="40"/>
  <c r="AC17" i="40"/>
  <c r="F17" i="40"/>
  <c r="AA17" i="40" s="1"/>
  <c r="H17" i="40"/>
  <c r="AB17" i="40" s="1"/>
  <c r="W21" i="40"/>
  <c r="U10" i="40"/>
  <c r="U27" i="40"/>
  <c r="AB27" i="40"/>
  <c r="W13" i="39"/>
  <c r="S11" i="39"/>
  <c r="AA21" i="39"/>
  <c r="AC38" i="39"/>
  <c r="S14" i="39"/>
  <c r="AB15" i="39"/>
  <c r="U11" i="39"/>
  <c r="S38" i="39"/>
  <c r="M20" i="15"/>
  <c r="D96" i="9"/>
  <c r="F28" i="15"/>
  <c r="M18" i="15"/>
  <c r="A18" i="64"/>
  <c r="B74" i="63"/>
  <c r="C53" i="10"/>
  <c r="A25" i="64" s="1"/>
  <c r="A18" i="51"/>
  <c r="B14" i="63" s="1"/>
  <c r="BA16" i="3"/>
  <c r="BA17" i="3"/>
  <c r="AZ17" i="3" s="1"/>
  <c r="F3" i="35"/>
  <c r="K1" i="43"/>
  <c r="K1" i="12"/>
  <c r="G1" i="44"/>
  <c r="I4" i="6"/>
  <c r="G3" i="46"/>
  <c r="Y11" i="46" s="1"/>
  <c r="Y13" i="46" s="1"/>
  <c r="AZ15" i="3"/>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C51" i="10"/>
  <c r="A9" i="51"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T41" i="4"/>
  <c r="A17" i="64" s="1"/>
  <c r="B46" i="50"/>
  <c r="B4" i="63" s="1"/>
  <c r="C46" i="36"/>
  <c r="D46" i="36" s="1"/>
  <c r="E46" i="36" s="1"/>
  <c r="F46" i="36" s="1"/>
  <c r="G46" i="36" s="1"/>
  <c r="H46" i="36" s="1"/>
  <c r="O19" i="46"/>
  <c r="H86" i="46"/>
  <c r="H82" i="46"/>
  <c r="H10" i="48"/>
  <c r="H87" i="46"/>
  <c r="H85" i="46"/>
  <c r="H83" i="46"/>
  <c r="K10" i="1"/>
  <c r="M10" i="1" s="1"/>
  <c r="O10" i="1" s="1"/>
  <c r="S11" i="1"/>
  <c r="R11" i="1"/>
  <c r="S13" i="1"/>
  <c r="R13" i="1"/>
  <c r="B6" i="1"/>
  <c r="E6" i="1" s="1"/>
  <c r="B10" i="1"/>
  <c r="E10" i="1" s="1"/>
  <c r="S10" i="1"/>
  <c r="B8" i="1"/>
  <c r="E8" i="1" s="1"/>
  <c r="B12" i="1"/>
  <c r="E12" i="1" s="1"/>
  <c r="S12" i="1"/>
  <c r="K6" i="1"/>
  <c r="G1" i="15"/>
  <c r="F66" i="36"/>
  <c r="G66" i="36" s="1"/>
  <c r="H18" i="36"/>
  <c r="U18" i="36" s="1"/>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AC25" i="33"/>
  <c r="S43" i="33"/>
  <c r="AB42" i="33"/>
  <c r="AB14" i="33"/>
  <c r="S26" i="33"/>
  <c r="S15" i="33"/>
  <c r="S9" i="33"/>
  <c r="S39" i="21"/>
  <c r="AB25" i="21"/>
  <c r="AB45" i="21"/>
  <c r="W25" i="21"/>
  <c r="AA25" i="21"/>
  <c r="AA29" i="21"/>
  <c r="U27" i="21"/>
  <c r="W31" i="21"/>
  <c r="S27" i="21"/>
  <c r="AC27" i="21"/>
  <c r="W29" i="21"/>
  <c r="G96" i="40"/>
  <c r="J27" i="40"/>
  <c r="AC27" i="40" s="1"/>
  <c r="W37" i="40"/>
  <c r="S17" i="40"/>
  <c r="S34" i="40"/>
  <c r="U38" i="40"/>
  <c r="S40" i="40"/>
  <c r="S42" i="40"/>
  <c r="J31" i="39"/>
  <c r="W31" i="39" s="1"/>
  <c r="AB43" i="39"/>
  <c r="AB33" i="39"/>
  <c r="AC46" i="39"/>
  <c r="W42" i="39"/>
  <c r="W36" i="39"/>
  <c r="AC37" i="39"/>
  <c r="U14" i="39"/>
  <c r="W16" i="39"/>
  <c r="S15" i="39"/>
  <c r="W25" i="39"/>
  <c r="AA46" i="39"/>
  <c r="W10" i="39"/>
  <c r="W11" i="39"/>
  <c r="U42" i="39"/>
  <c r="C27" i="39"/>
  <c r="C17" i="40"/>
  <c r="C19" i="40"/>
  <c r="C17" i="39"/>
  <c r="C19" i="39"/>
  <c r="C21" i="39"/>
  <c r="C23" i="40"/>
  <c r="B48" i="46"/>
  <c r="B51" i="46"/>
  <c r="B55" i="46"/>
  <c r="B59" i="46"/>
  <c r="B62" i="46"/>
  <c r="B66" i="46"/>
  <c r="B53" i="46"/>
  <c r="B64" i="46"/>
  <c r="D24" i="15"/>
  <c r="F29" i="6"/>
  <c r="S14" i="36"/>
  <c r="AA20" i="36"/>
  <c r="AC14" i="36"/>
  <c r="W14" i="36"/>
  <c r="AB14" i="36"/>
  <c r="AB18" i="36"/>
  <c r="S26" i="35"/>
  <c r="U26" i="35"/>
  <c r="AB26" i="35"/>
  <c r="W26" i="35"/>
  <c r="AC26" i="35"/>
  <c r="S19" i="37"/>
  <c r="W19" i="37"/>
  <c r="U19" i="37"/>
  <c r="AC17" i="37"/>
  <c r="W17" i="37"/>
  <c r="AB25" i="34"/>
  <c r="AA25" i="34"/>
  <c r="S25" i="34"/>
  <c r="W25" i="34"/>
  <c r="AC25" i="34"/>
  <c r="U23" i="34"/>
  <c r="AB23" i="34"/>
  <c r="S23" i="34"/>
  <c r="W23" i="34"/>
  <c r="AA25" i="33"/>
  <c r="S25" i="33"/>
  <c r="AB23" i="33"/>
  <c r="AC23" i="33"/>
  <c r="S23" i="33"/>
  <c r="AA23" i="33"/>
  <c r="AC17" i="33"/>
  <c r="S17" i="33"/>
  <c r="U17" i="33"/>
  <c r="AB17" i="33"/>
  <c r="AB39" i="40"/>
  <c r="U39" i="40"/>
  <c r="W39" i="40"/>
  <c r="AA39" i="40"/>
  <c r="S39" i="40"/>
  <c r="U37" i="40"/>
  <c r="AB37" i="40"/>
  <c r="S37" i="40"/>
  <c r="U29" i="40"/>
  <c r="AB29" i="40"/>
  <c r="W29" i="40"/>
  <c r="S29" i="40"/>
  <c r="W19" i="40"/>
  <c r="AC19" i="40"/>
  <c r="AA19" i="40"/>
  <c r="S19" i="40"/>
  <c r="U19" i="40"/>
  <c r="A17" i="51"/>
  <c r="B13" i="63" s="1"/>
  <c r="AT6" i="3"/>
  <c r="AZ16" i="3"/>
  <c r="A9" i="64"/>
  <c r="B9" i="63"/>
  <c r="E4" i="4"/>
  <c r="B21" i="55" s="1"/>
  <c r="B72" i="63" s="1"/>
  <c r="C4" i="4"/>
  <c r="B20" i="55" s="1"/>
  <c r="B70" i="63" s="1"/>
  <c r="J18" i="36"/>
  <c r="AC18" i="36" s="1"/>
  <c r="AE8" i="1"/>
  <c r="AE7" i="1"/>
  <c r="AE6" i="1"/>
  <c r="W18" i="36"/>
  <c r="AG6" i="1"/>
  <c r="L20" i="6"/>
  <c r="S7" i="1"/>
  <c r="S8" i="1"/>
  <c r="S9" i="1"/>
  <c r="R9" i="1"/>
  <c r="R7" i="1"/>
  <c r="R8" i="1"/>
  <c r="C45" i="9"/>
  <c r="H14" i="66" s="1"/>
  <c r="B7" i="66" s="1"/>
  <c r="N76" i="9"/>
  <c r="C46" i="9"/>
  <c r="K33" i="9" s="1"/>
  <c r="H58" i="46"/>
  <c r="J17" i="46"/>
  <c r="C17" i="46"/>
  <c r="F34" i="46"/>
  <c r="F38" i="46"/>
  <c r="F37" i="46"/>
  <c r="H113" i="46"/>
  <c r="H49" i="46"/>
  <c r="F16" i="59"/>
  <c r="F15" i="59" s="1"/>
  <c r="F14" i="59" s="1"/>
  <c r="F13" i="59" s="1"/>
  <c r="Y15" i="59"/>
  <c r="Z15" i="59" s="1"/>
  <c r="AA15" i="59"/>
  <c r="AB15" i="59"/>
  <c r="Y14" i="59"/>
  <c r="Z14" i="59" s="1"/>
  <c r="Y13" i="59"/>
  <c r="Z13" i="59" s="1"/>
  <c r="Y12" i="59"/>
  <c r="Z12" i="59" s="1"/>
  <c r="AB14" i="59"/>
  <c r="AB13" i="59"/>
  <c r="AB12" i="59"/>
  <c r="AA17" i="59"/>
  <c r="X15" i="59"/>
  <c r="X13" i="59"/>
  <c r="X12" i="59"/>
  <c r="AA13" i="59"/>
  <c r="AA12" i="59"/>
  <c r="H1" i="65"/>
  <c r="H51" i="46"/>
  <c r="X7" i="46"/>
  <c r="E17" i="46"/>
  <c r="N17" i="46"/>
  <c r="O17" i="46"/>
  <c r="M17" i="46"/>
  <c r="L17" i="46"/>
  <c r="H22" i="46"/>
  <c r="H101" i="46"/>
  <c r="H102" i="46" s="1"/>
  <c r="J22" i="46"/>
  <c r="D101" i="46"/>
  <c r="D106" i="46" s="1"/>
  <c r="P7" i="1"/>
  <c r="P9" i="1"/>
  <c r="G13" i="1"/>
  <c r="H70" i="46"/>
  <c r="H73" i="46"/>
  <c r="H48" i="46"/>
  <c r="F35" i="46"/>
  <c r="I17" i="46"/>
  <c r="H63" i="46"/>
  <c r="I101" i="46"/>
  <c r="I109" i="46" s="1"/>
  <c r="N101" i="46"/>
  <c r="N105" i="46" s="1"/>
  <c r="AD11" i="46"/>
  <c r="H64" i="46"/>
  <c r="H66" i="46"/>
  <c r="D100" i="46"/>
  <c r="H62" i="46"/>
  <c r="AF12" i="46"/>
  <c r="K100" i="46"/>
  <c r="AB12" i="46"/>
  <c r="AJ12" i="46"/>
  <c r="C101" i="46"/>
  <c r="C109" i="46" s="1"/>
  <c r="J101" i="46"/>
  <c r="J106" i="46" s="1"/>
  <c r="N104" i="45"/>
  <c r="F22" i="46"/>
  <c r="Z7" i="46"/>
  <c r="E22" i="46"/>
  <c r="AA11" i="46"/>
  <c r="AA13" i="46" s="1"/>
  <c r="AF11" i="46"/>
  <c r="H60" i="46"/>
  <c r="H59" i="46"/>
  <c r="H74" i="46"/>
  <c r="H65" i="46"/>
  <c r="AB11" i="46"/>
  <c r="AB13" i="46" s="1"/>
  <c r="H75" i="46"/>
  <c r="E10" i="46"/>
  <c r="E9" i="46"/>
  <c r="E11" i="46"/>
  <c r="E8" i="46"/>
  <c r="H72" i="46"/>
  <c r="H69" i="46"/>
  <c r="H77" i="46"/>
  <c r="H76" i="46"/>
  <c r="H55" i="46"/>
  <c r="H52" i="46"/>
  <c r="AD12" i="46"/>
  <c r="AH12" i="46"/>
  <c r="B14" i="59"/>
  <c r="B13" i="59" s="1"/>
  <c r="B12" i="59" s="1"/>
  <c r="B11" i="59" s="1"/>
  <c r="B10" i="59" s="1"/>
  <c r="D109" i="46"/>
  <c r="C7" i="46"/>
  <c r="G20" i="46"/>
  <c r="E41" i="46" s="1"/>
  <c r="C41" i="46" s="1"/>
  <c r="S2" i="46"/>
  <c r="S7" i="46"/>
  <c r="S4" i="46"/>
  <c r="E11" i="67"/>
  <c r="F9" i="67"/>
  <c r="F13" i="15"/>
  <c r="F8" i="44"/>
  <c r="M30" i="44"/>
  <c r="E14" i="67"/>
  <c r="L48" i="15"/>
  <c r="M25" i="44"/>
  <c r="E8" i="67"/>
  <c r="C19" i="44"/>
  <c r="F40" i="44"/>
  <c r="F37" i="44"/>
  <c r="F6" i="15"/>
  <c r="N4" i="65"/>
  <c r="M26" i="44"/>
  <c r="F9" i="44"/>
  <c r="E10" i="67"/>
  <c r="F26" i="15"/>
  <c r="F11" i="67"/>
  <c r="F45" i="44"/>
  <c r="L48" i="44"/>
  <c r="F10" i="67"/>
  <c r="J36" i="15"/>
  <c r="L47" i="15"/>
  <c r="F10" i="44"/>
  <c r="M28" i="44"/>
  <c r="M26" i="15"/>
  <c r="B8" i="67"/>
  <c r="M21" i="15"/>
  <c r="F28" i="44"/>
  <c r="M29" i="44"/>
  <c r="F38" i="44"/>
  <c r="F43" i="15"/>
  <c r="F13" i="67"/>
  <c r="F14" i="67"/>
  <c r="F15" i="44"/>
  <c r="B9" i="67"/>
  <c r="B11" i="67"/>
  <c r="E13" i="67"/>
  <c r="F16" i="15"/>
  <c r="E12" i="67"/>
  <c r="F11" i="44"/>
  <c r="M24" i="15"/>
  <c r="M8" i="44"/>
  <c r="J17" i="44"/>
  <c r="M22" i="15"/>
  <c r="B10" i="67"/>
  <c r="F12" i="67"/>
  <c r="B12" i="67"/>
  <c r="F18" i="44"/>
  <c r="M24" i="44"/>
  <c r="M31" i="44"/>
  <c r="F39" i="44"/>
  <c r="F8" i="67"/>
  <c r="E9" i="67"/>
  <c r="M23" i="44"/>
  <c r="L49" i="44"/>
  <c r="M8" i="15"/>
  <c r="B13" i="67"/>
  <c r="J5" i="65"/>
  <c r="B14" i="67"/>
  <c r="M11" i="44"/>
  <c r="J6" i="65"/>
  <c r="M29" i="15"/>
  <c r="M6" i="15"/>
  <c r="N5" i="65"/>
  <c r="F46" i="44"/>
  <c r="M10" i="44"/>
  <c r="J3" i="65"/>
  <c r="N7" i="65"/>
  <c r="J7" i="65"/>
  <c r="N3" i="65"/>
  <c r="N6" i="65"/>
  <c r="F43" i="44"/>
  <c r="J4" i="65"/>
  <c r="I3" i="65"/>
  <c r="I4" i="65"/>
  <c r="I7" i="65"/>
  <c r="F28" i="6" l="1"/>
  <c r="G29" i="6"/>
  <c r="E29" i="6" s="1"/>
  <c r="AC36" i="33"/>
  <c r="AZ489" i="3"/>
  <c r="AZ513" i="3"/>
  <c r="AZ514" i="3"/>
  <c r="AZ515" i="3"/>
  <c r="AZ379" i="3"/>
  <c r="AZ488" i="3"/>
  <c r="AB13" i="35"/>
  <c r="AF13" i="46"/>
  <c r="O41" i="9"/>
  <c r="R8" i="54" s="1"/>
  <c r="B54" i="63" s="1"/>
  <c r="AZ339" i="3"/>
  <c r="AZ331" i="3"/>
  <c r="AZ323" i="3"/>
  <c r="AZ299" i="3"/>
  <c r="AZ377" i="3"/>
  <c r="AZ343" i="3"/>
  <c r="AZ327" i="3"/>
  <c r="AC23" i="37"/>
  <c r="AZ493" i="3"/>
  <c r="BA572" i="3"/>
  <c r="AZ572" i="3" s="1"/>
  <c r="H12" i="33"/>
  <c r="U12" i="33" s="1"/>
  <c r="J12" i="33"/>
  <c r="BA454" i="3"/>
  <c r="AZ454" i="3" s="1"/>
  <c r="BL454" i="3"/>
  <c r="BA456" i="3"/>
  <c r="AZ456" i="3" s="1"/>
  <c r="BL456" i="3"/>
  <c r="G457" i="3"/>
  <c r="G459" i="3"/>
  <c r="BL461" i="3"/>
  <c r="G462" i="3"/>
  <c r="G464" i="3"/>
  <c r="BA465" i="3"/>
  <c r="BL465" i="3"/>
  <c r="BA467" i="3"/>
  <c r="BL467" i="3"/>
  <c r="BA468" i="3"/>
  <c r="AZ468" i="3" s="1"/>
  <c r="BA469" i="3"/>
  <c r="AZ469" i="3" s="1"/>
  <c r="BA471" i="3"/>
  <c r="AZ471" i="3" s="1"/>
  <c r="BL471" i="3"/>
  <c r="BL472" i="3"/>
  <c r="G473" i="3"/>
  <c r="G475" i="3"/>
  <c r="H26" i="37"/>
  <c r="G569" i="3"/>
  <c r="G568" i="3"/>
  <c r="G543" i="3"/>
  <c r="G541" i="3"/>
  <c r="G531" i="3"/>
  <c r="G520" i="3"/>
  <c r="G519" i="3"/>
  <c r="G504" i="3"/>
  <c r="G503" i="3"/>
  <c r="G487" i="3"/>
  <c r="G486" i="3"/>
  <c r="G15" i="3"/>
  <c r="G14" i="3"/>
  <c r="A11" i="55"/>
  <c r="B62" i="63" s="1"/>
  <c r="BA390" i="3"/>
  <c r="BL390" i="3"/>
  <c r="BL392" i="3"/>
  <c r="G393" i="3"/>
  <c r="G395" i="3"/>
  <c r="BA396" i="3"/>
  <c r="AZ396" i="3" s="1"/>
  <c r="BL396" i="3"/>
  <c r="BA397" i="3"/>
  <c r="AZ397" i="3" s="1"/>
  <c r="BA398" i="3"/>
  <c r="AZ398" i="3" s="1"/>
  <c r="BA399" i="3"/>
  <c r="AZ399" i="3" s="1"/>
  <c r="BA401" i="3"/>
  <c r="BL401" i="3"/>
  <c r="BA402" i="3"/>
  <c r="AZ402" i="3" s="1"/>
  <c r="BA403" i="3"/>
  <c r="AZ403" i="3" s="1"/>
  <c r="BL405" i="3"/>
  <c r="G406" i="3"/>
  <c r="G408" i="3"/>
  <c r="BA409" i="3"/>
  <c r="AZ409" i="3" s="1"/>
  <c r="BL409" i="3"/>
  <c r="BL411" i="3"/>
  <c r="G412" i="3"/>
  <c r="G417" i="3"/>
  <c r="BL418" i="3"/>
  <c r="G419" i="3"/>
  <c r="G422" i="3"/>
  <c r="G424" i="3"/>
  <c r="BA425" i="3"/>
  <c r="BL425" i="3"/>
  <c r="BL427" i="3"/>
  <c r="G428" i="3"/>
  <c r="BA429" i="3"/>
  <c r="BL429" i="3"/>
  <c r="BA431" i="3"/>
  <c r="BL431" i="3"/>
  <c r="BA432" i="3"/>
  <c r="AZ432" i="3" s="1"/>
  <c r="BA433" i="3"/>
  <c r="AZ433" i="3" s="1"/>
  <c r="BA434" i="3"/>
  <c r="AZ434" i="3" s="1"/>
  <c r="BA436" i="3"/>
  <c r="AZ436" i="3" s="1"/>
  <c r="BL436" i="3"/>
  <c r="BA437" i="3"/>
  <c r="AZ437" i="3" s="1"/>
  <c r="BA438" i="3"/>
  <c r="AZ438" i="3" s="1"/>
  <c r="BA439" i="3"/>
  <c r="AZ439" i="3" s="1"/>
  <c r="BA441" i="3"/>
  <c r="BL441" i="3"/>
  <c r="BL443" i="3"/>
  <c r="G444" i="3"/>
  <c r="BA445" i="3"/>
  <c r="BL445" i="3"/>
  <c r="BL447" i="3"/>
  <c r="G448" i="3"/>
  <c r="G450" i="3"/>
  <c r="AZ297" i="3"/>
  <c r="AZ301" i="3"/>
  <c r="AZ321" i="3"/>
  <c r="BL476" i="3"/>
  <c r="G477" i="3"/>
  <c r="BA478" i="3"/>
  <c r="BL478" i="3"/>
  <c r="BL480" i="3"/>
  <c r="G301" i="3"/>
  <c r="BL302" i="3"/>
  <c r="G305" i="3"/>
  <c r="G315" i="3"/>
  <c r="BL316" i="3"/>
  <c r="G317" i="3"/>
  <c r="BA319" i="3"/>
  <c r="AZ319" i="3" s="1"/>
  <c r="G325" i="3"/>
  <c r="BL326" i="3"/>
  <c r="AZ326" i="3" s="1"/>
  <c r="G329" i="3"/>
  <c r="BL335" i="3"/>
  <c r="G336" i="3"/>
  <c r="BA350" i="3"/>
  <c r="BL350" i="3"/>
  <c r="G365" i="3"/>
  <c r="BL366" i="3"/>
  <c r="AZ366" i="3" s="1"/>
  <c r="BL368" i="3"/>
  <c r="G381" i="3"/>
  <c r="BL382" i="3"/>
  <c r="AZ382" i="3" s="1"/>
  <c r="BL384" i="3"/>
  <c r="BA387" i="3"/>
  <c r="BL387" i="3"/>
  <c r="BA205" i="3"/>
  <c r="AZ205" i="3" s="1"/>
  <c r="BL205" i="3"/>
  <c r="BL206" i="3"/>
  <c r="G207" i="3"/>
  <c r="BA208" i="3"/>
  <c r="AZ208" i="3" s="1"/>
  <c r="BL208" i="3"/>
  <c r="BA210" i="3"/>
  <c r="AZ210" i="3" s="1"/>
  <c r="BA212" i="3"/>
  <c r="BL212" i="3"/>
  <c r="BL214" i="3"/>
  <c r="G215" i="3"/>
  <c r="BA216" i="3"/>
  <c r="BL216" i="3"/>
  <c r="BA218" i="3"/>
  <c r="AZ218" i="3" s="1"/>
  <c r="BA220" i="3"/>
  <c r="AZ220" i="3" s="1"/>
  <c r="BL220" i="3"/>
  <c r="BA222" i="3"/>
  <c r="AZ222" i="3" s="1"/>
  <c r="BA223" i="3"/>
  <c r="AZ223" i="3" s="1"/>
  <c r="BA225" i="3"/>
  <c r="AZ225" i="3" s="1"/>
  <c r="BL225" i="3"/>
  <c r="BL226" i="3"/>
  <c r="G227" i="3"/>
  <c r="G229" i="3"/>
  <c r="G233" i="3"/>
  <c r="BA234" i="3"/>
  <c r="AZ234" i="3" s="1"/>
  <c r="BA236" i="3"/>
  <c r="BL236" i="3"/>
  <c r="BL238" i="3"/>
  <c r="G239" i="3"/>
  <c r="BA240" i="3"/>
  <c r="BL240" i="3"/>
  <c r="BL242" i="3"/>
  <c r="G243" i="3"/>
  <c r="G245" i="3"/>
  <c r="G249" i="3"/>
  <c r="G252" i="3"/>
  <c r="G254" i="3"/>
  <c r="BL255" i="3"/>
  <c r="G256" i="3"/>
  <c r="G258" i="3"/>
  <c r="BA259" i="3"/>
  <c r="BL259" i="3"/>
  <c r="BA261" i="3"/>
  <c r="AZ261" i="3" s="1"/>
  <c r="BL261" i="3"/>
  <c r="BA262" i="3"/>
  <c r="AZ262" i="3" s="1"/>
  <c r="BA263" i="3"/>
  <c r="AZ263" i="3" s="1"/>
  <c r="BA265" i="3"/>
  <c r="AZ265" i="3" s="1"/>
  <c r="BL265" i="3"/>
  <c r="BA266" i="3"/>
  <c r="AZ266" i="3" s="1"/>
  <c r="BA268" i="3"/>
  <c r="BL268" i="3"/>
  <c r="BA269" i="3"/>
  <c r="AZ269" i="3" s="1"/>
  <c r="BA270" i="3"/>
  <c r="AZ270" i="3" s="1"/>
  <c r="BL272" i="3"/>
  <c r="G273" i="3"/>
  <c r="BL274" i="3"/>
  <c r="G275" i="3"/>
  <c r="G277" i="3"/>
  <c r="BL278" i="3"/>
  <c r="G279" i="3"/>
  <c r="G284" i="3"/>
  <c r="G288" i="3"/>
  <c r="BL289" i="3"/>
  <c r="G290" i="3"/>
  <c r="BA291" i="3"/>
  <c r="AZ291" i="3" s="1"/>
  <c r="BL291" i="3"/>
  <c r="BL293" i="3"/>
  <c r="G294" i="3"/>
  <c r="G296" i="3"/>
  <c r="BA113" i="3"/>
  <c r="BL113" i="3"/>
  <c r="BA115" i="3"/>
  <c r="AZ115" i="3" s="1"/>
  <c r="G125" i="3"/>
  <c r="G127" i="3"/>
  <c r="BL128" i="3"/>
  <c r="G129" i="3"/>
  <c r="G130" i="3"/>
  <c r="G133" i="3"/>
  <c r="G135" i="3"/>
  <c r="BL136" i="3"/>
  <c r="G137" i="3"/>
  <c r="G139" i="3"/>
  <c r="BA140" i="3"/>
  <c r="AZ140" i="3" s="1"/>
  <c r="BL140" i="3"/>
  <c r="BA141" i="3"/>
  <c r="AZ141" i="3" s="1"/>
  <c r="BL142" i="3"/>
  <c r="AZ142" i="3" s="1"/>
  <c r="BA144" i="3"/>
  <c r="AZ144" i="3" s="1"/>
  <c r="BL146" i="3"/>
  <c r="AZ146" i="3" s="1"/>
  <c r="G147" i="3"/>
  <c r="BL149" i="3"/>
  <c r="G150" i="3"/>
  <c r="BA151" i="3"/>
  <c r="AZ151" i="3" s="1"/>
  <c r="G152" i="3"/>
  <c r="G154" i="3"/>
  <c r="BL155" i="3"/>
  <c r="G156" i="3"/>
  <c r="BA159" i="3"/>
  <c r="AZ159" i="3" s="1"/>
  <c r="BL159" i="3"/>
  <c r="BA160" i="3"/>
  <c r="AZ160" i="3" s="1"/>
  <c r="BL161" i="3"/>
  <c r="AZ161" i="3" s="1"/>
  <c r="BA163" i="3"/>
  <c r="AZ163" i="3" s="1"/>
  <c r="BL163" i="3"/>
  <c r="G164" i="3"/>
  <c r="G166" i="3"/>
  <c r="BA167" i="3"/>
  <c r="AZ167" i="3" s="1"/>
  <c r="BL167" i="3"/>
  <c r="BA168" i="3"/>
  <c r="AZ168" i="3" s="1"/>
  <c r="BL169" i="3"/>
  <c r="AZ169" i="3" s="1"/>
  <c r="BA171" i="3"/>
  <c r="AZ171" i="3" s="1"/>
  <c r="BL173" i="3"/>
  <c r="AZ173" i="3" s="1"/>
  <c r="G174" i="3"/>
  <c r="BL176" i="3"/>
  <c r="G177" i="3"/>
  <c r="G179" i="3"/>
  <c r="BA180" i="3"/>
  <c r="AZ180" i="3" s="1"/>
  <c r="BA181" i="3"/>
  <c r="AZ181" i="3" s="1"/>
  <c r="G184" i="3"/>
  <c r="G187" i="3"/>
  <c r="BA190" i="3"/>
  <c r="AZ190" i="3" s="1"/>
  <c r="BL190" i="3"/>
  <c r="BL192" i="3"/>
  <c r="AZ192" i="3" s="1"/>
  <c r="G193" i="3"/>
  <c r="BA195" i="3"/>
  <c r="AZ195" i="3" s="1"/>
  <c r="BL195" i="3"/>
  <c r="BA197" i="3"/>
  <c r="AZ197" i="3" s="1"/>
  <c r="G200" i="3"/>
  <c r="G202" i="3"/>
  <c r="BL203" i="3"/>
  <c r="G204" i="3"/>
  <c r="G23" i="3"/>
  <c r="G25" i="3"/>
  <c r="BA26" i="3"/>
  <c r="BL26" i="3"/>
  <c r="BL28" i="3"/>
  <c r="G29" i="3"/>
  <c r="G34" i="3"/>
  <c r="BL35" i="3"/>
  <c r="G36" i="3"/>
  <c r="G39" i="3"/>
  <c r="G41" i="3"/>
  <c r="BA42" i="3"/>
  <c r="AZ42" i="3" s="1"/>
  <c r="BL42" i="3"/>
  <c r="D51" i="59"/>
  <c r="C52" i="59"/>
  <c r="P60" i="59"/>
  <c r="E59" i="59"/>
  <c r="BL44" i="3"/>
  <c r="G45" i="3"/>
  <c r="G50" i="3"/>
  <c r="BL51" i="3"/>
  <c r="G52" i="3"/>
  <c r="G55" i="3"/>
  <c r="G57" i="3"/>
  <c r="BA58" i="3"/>
  <c r="BL58" i="3"/>
  <c r="BL60" i="3"/>
  <c r="G61" i="3"/>
  <c r="G65" i="3"/>
  <c r="BL66" i="3"/>
  <c r="G67" i="3"/>
  <c r="G70" i="3"/>
  <c r="G72" i="3"/>
  <c r="BA73" i="3"/>
  <c r="AZ73" i="3" s="1"/>
  <c r="BL73" i="3"/>
  <c r="BL75" i="3"/>
  <c r="G76" i="3"/>
  <c r="G81" i="3"/>
  <c r="BL82" i="3"/>
  <c r="G83" i="3"/>
  <c r="G85" i="3"/>
  <c r="BL86" i="3"/>
  <c r="G87" i="3"/>
  <c r="G90" i="3"/>
  <c r="G92" i="3"/>
  <c r="G96" i="3"/>
  <c r="BA97" i="3"/>
  <c r="AZ97" i="3" s="1"/>
  <c r="BL97" i="3"/>
  <c r="BA99" i="3"/>
  <c r="AZ99" i="3" s="1"/>
  <c r="BL99" i="3"/>
  <c r="BA100" i="3"/>
  <c r="AZ100" i="3" s="1"/>
  <c r="BA102" i="3"/>
  <c r="BL102" i="3"/>
  <c r="BL103" i="3"/>
  <c r="G104" i="3"/>
  <c r="BL106" i="3"/>
  <c r="G107" i="3"/>
  <c r="BA108" i="3"/>
  <c r="BL108" i="3"/>
  <c r="BL109" i="3"/>
  <c r="G110" i="3"/>
  <c r="BA111" i="3"/>
  <c r="BL111" i="3"/>
  <c r="E26" i="57"/>
  <c r="I15" i="57"/>
  <c r="AB19" i="59"/>
  <c r="C16" i="59"/>
  <c r="AA3" i="59"/>
  <c r="T57" i="59"/>
  <c r="C45" i="59"/>
  <c r="D35" i="59"/>
  <c r="AB3" i="59"/>
  <c r="Y23" i="59"/>
  <c r="Z23" i="59" s="1"/>
  <c r="AB23" i="59"/>
  <c r="Y24" i="59"/>
  <c r="Z24" i="59" s="1"/>
  <c r="AB24" i="59"/>
  <c r="Y25" i="59"/>
  <c r="Z25" i="59" s="1"/>
  <c r="AB25" i="59"/>
  <c r="F42" i="21"/>
  <c r="AA42" i="21" s="1"/>
  <c r="H42" i="21"/>
  <c r="AB42" i="21" s="1"/>
  <c r="S15" i="21"/>
  <c r="AA15" i="21"/>
  <c r="F30" i="6"/>
  <c r="AD13" i="46"/>
  <c r="H105" i="46"/>
  <c r="S13" i="59"/>
  <c r="H47" i="46"/>
  <c r="H54" i="46"/>
  <c r="H103" i="46"/>
  <c r="H50" i="46"/>
  <c r="W27" i="40"/>
  <c r="AB20" i="36"/>
  <c r="S32" i="40"/>
  <c r="W34" i="39"/>
  <c r="W45" i="39"/>
  <c r="S34" i="39"/>
  <c r="S45" i="39"/>
  <c r="U17" i="40"/>
  <c r="W30" i="40"/>
  <c r="AB12" i="33"/>
  <c r="U16" i="36"/>
  <c r="C20" i="46"/>
  <c r="AB38" i="39"/>
  <c r="AC21" i="39"/>
  <c r="AB45" i="39"/>
  <c r="AB40" i="40"/>
  <c r="AA23" i="40"/>
  <c r="U35" i="40"/>
  <c r="U25" i="40"/>
  <c r="H15" i="21"/>
  <c r="U15" i="21" s="1"/>
  <c r="AB37" i="21"/>
  <c r="S10" i="33"/>
  <c r="AB34" i="33"/>
  <c r="AB11" i="33"/>
  <c r="W34" i="33"/>
  <c r="U27" i="34"/>
  <c r="W37" i="34"/>
  <c r="AC11" i="34"/>
  <c r="AC35" i="34"/>
  <c r="W20" i="35"/>
  <c r="U22" i="35"/>
  <c r="S17" i="34"/>
  <c r="U40" i="21"/>
  <c r="AC15" i="33"/>
  <c r="U11" i="36"/>
  <c r="J23" i="39"/>
  <c r="AC23" i="39" s="1"/>
  <c r="AB23" i="40"/>
  <c r="AB34" i="40"/>
  <c r="U16" i="40"/>
  <c r="U41" i="40"/>
  <c r="AC47" i="39"/>
  <c r="AC14" i="40"/>
  <c r="AB14" i="40"/>
  <c r="F34" i="44"/>
  <c r="F71" i="72"/>
  <c r="D86" i="72"/>
  <c r="F72" i="72"/>
  <c r="F70" i="72"/>
  <c r="F66" i="72"/>
  <c r="P72" i="72" s="1"/>
  <c r="D86" i="71"/>
  <c r="F72" i="71"/>
  <c r="F70" i="71"/>
  <c r="F66" i="71"/>
  <c r="P72" i="71" s="1"/>
  <c r="D86" i="69"/>
  <c r="F71" i="69"/>
  <c r="F71" i="71"/>
  <c r="F72" i="69"/>
  <c r="F70" i="69"/>
  <c r="F66" i="69"/>
  <c r="P72" i="69" s="1"/>
  <c r="AZ526" i="3"/>
  <c r="F103" i="39"/>
  <c r="G103" i="39" s="1"/>
  <c r="F29" i="39"/>
  <c r="H29" i="39"/>
  <c r="U29" i="39" s="1"/>
  <c r="AC26" i="37"/>
  <c r="AB34" i="36"/>
  <c r="AA12" i="21"/>
  <c r="S12" i="21"/>
  <c r="W14" i="21"/>
  <c r="AC14" i="21"/>
  <c r="F81" i="21"/>
  <c r="G81" i="21" s="1"/>
  <c r="F19" i="21"/>
  <c r="AA19" i="21" s="1"/>
  <c r="J19" i="21"/>
  <c r="H19" i="21"/>
  <c r="AB19" i="21" s="1"/>
  <c r="F79" i="21"/>
  <c r="G79" i="21" s="1"/>
  <c r="F17" i="21"/>
  <c r="S17" i="21" s="1"/>
  <c r="J17" i="21"/>
  <c r="AC17" i="21" s="1"/>
  <c r="H113" i="21"/>
  <c r="J37" i="21"/>
  <c r="F37" i="21"/>
  <c r="AB9" i="33"/>
  <c r="U9" i="33"/>
  <c r="AA31" i="33"/>
  <c r="S31" i="33"/>
  <c r="AC23" i="35"/>
  <c r="W23" i="35"/>
  <c r="AZ325" i="3"/>
  <c r="AZ346" i="3"/>
  <c r="AZ302" i="3"/>
  <c r="AZ492" i="3"/>
  <c r="AZ544" i="3"/>
  <c r="BF5" i="3"/>
  <c r="D111" i="9"/>
  <c r="D111" i="72"/>
  <c r="D96" i="72"/>
  <c r="D96" i="71"/>
  <c r="D111" i="69"/>
  <c r="D96" i="69"/>
  <c r="D111" i="71"/>
  <c r="BB5" i="3"/>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BL458" i="3"/>
  <c r="AZ458" i="3" s="1"/>
  <c r="BA460" i="3"/>
  <c r="AZ460" i="3" s="1"/>
  <c r="BA461" i="3"/>
  <c r="AZ461" i="3" s="1"/>
  <c r="BL463" i="3"/>
  <c r="AZ463" i="3" s="1"/>
  <c r="BA464" i="3"/>
  <c r="AZ464" i="3" s="1"/>
  <c r="BL466" i="3"/>
  <c r="AZ466" i="3" s="1"/>
  <c r="G469" i="3"/>
  <c r="G470" i="3"/>
  <c r="BL470" i="3"/>
  <c r="BA472" i="3"/>
  <c r="AZ472" i="3" s="1"/>
  <c r="BL474" i="3"/>
  <c r="AZ474"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AZ490" i="3"/>
  <c r="AZ507" i="3"/>
  <c r="AZ517" i="3"/>
  <c r="AZ534" i="3"/>
  <c r="AZ539" i="3"/>
  <c r="AZ571" i="3"/>
  <c r="S25" i="35"/>
  <c r="S42" i="33"/>
  <c r="AA30" i="33"/>
  <c r="AB15" i="37"/>
  <c r="AZ370" i="3"/>
  <c r="AZ356" i="3"/>
  <c r="AZ345" i="3"/>
  <c r="AZ340" i="3"/>
  <c r="AZ332" i="3"/>
  <c r="AZ329" i="3"/>
  <c r="AZ324" i="3"/>
  <c r="AZ316" i="3"/>
  <c r="AZ315" i="3"/>
  <c r="AZ308" i="3"/>
  <c r="AZ305" i="3"/>
  <c r="AZ381" i="3"/>
  <c r="AZ359" i="3"/>
  <c r="AZ358" i="3"/>
  <c r="AZ355" i="3"/>
  <c r="AZ307" i="3"/>
  <c r="U12" i="37"/>
  <c r="AZ502" i="3"/>
  <c r="AZ550" i="3"/>
  <c r="AZ562" i="3"/>
  <c r="AZ569" i="3"/>
  <c r="AC28" i="33"/>
  <c r="AC13" i="36"/>
  <c r="AB30" i="21"/>
  <c r="S46" i="21"/>
  <c r="U30" i="33"/>
  <c r="AA38" i="37"/>
  <c r="F44" i="21"/>
  <c r="AA44" i="21" s="1"/>
  <c r="BL13" i="3"/>
  <c r="AZ13" i="3" s="1"/>
  <c r="AB40" i="34"/>
  <c r="J34" i="36"/>
  <c r="AA38" i="21"/>
  <c r="U33" i="33"/>
  <c r="W39" i="34"/>
  <c r="W24" i="35"/>
  <c r="U26" i="36"/>
  <c r="H12" i="21"/>
  <c r="H5" i="3"/>
  <c r="BI5" i="3"/>
  <c r="BA570" i="3"/>
  <c r="AZ570" i="3" s="1"/>
  <c r="BT5" i="3"/>
  <c r="G28" i="6" s="1"/>
  <c r="BG5" i="3"/>
  <c r="F9" i="35"/>
  <c r="G559" i="3"/>
  <c r="G551" i="3"/>
  <c r="G547" i="3"/>
  <c r="G532" i="3"/>
  <c r="G505" i="3"/>
  <c r="G497" i="3"/>
  <c r="L19" i="6"/>
  <c r="AZ470" i="3"/>
  <c r="BA335" i="3"/>
  <c r="AZ335" i="3" s="1"/>
  <c r="G345" i="3"/>
  <c r="G349" i="3"/>
  <c r="BA351" i="3"/>
  <c r="AZ351" i="3" s="1"/>
  <c r="BA357" i="3"/>
  <c r="AZ357" i="3" s="1"/>
  <c r="BL364" i="3"/>
  <c r="AZ364" i="3" s="1"/>
  <c r="BA368" i="3"/>
  <c r="AZ368" i="3" s="1"/>
  <c r="BA371" i="3"/>
  <c r="AZ371" i="3" s="1"/>
  <c r="BA375" i="3"/>
  <c r="AZ375" i="3" s="1"/>
  <c r="BL380" i="3"/>
  <c r="AZ380" i="3" s="1"/>
  <c r="BA384" i="3"/>
  <c r="AZ384" i="3" s="1"/>
  <c r="BA386" i="3"/>
  <c r="AZ386" i="3" s="1"/>
  <c r="BL388" i="3"/>
  <c r="AZ388" i="3" s="1"/>
  <c r="BA206" i="3"/>
  <c r="AZ206" i="3" s="1"/>
  <c r="BA207" i="3"/>
  <c r="AZ207" i="3" s="1"/>
  <c r="BL209" i="3"/>
  <c r="AZ209" i="3" s="1"/>
  <c r="G211" i="3"/>
  <c r="BL211" i="3"/>
  <c r="BL213" i="3"/>
  <c r="AZ213" i="3" s="1"/>
  <c r="BA214" i="3"/>
  <c r="AZ214" i="3" s="1"/>
  <c r="BA215" i="3"/>
  <c r="AZ215" i="3" s="1"/>
  <c r="BL217" i="3"/>
  <c r="AZ217" i="3" s="1"/>
  <c r="G219" i="3"/>
  <c r="BL219" i="3"/>
  <c r="BL221" i="3"/>
  <c r="AZ221" i="3" s="1"/>
  <c r="G223" i="3"/>
  <c r="G224" i="3"/>
  <c r="BL224" i="3"/>
  <c r="AZ224"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AZ271" i="3" s="1"/>
  <c r="BA272" i="3"/>
  <c r="AZ272" i="3" s="1"/>
  <c r="BA273" i="3"/>
  <c r="AZ273" i="3" s="1"/>
  <c r="BA274" i="3"/>
  <c r="AZ274" i="3" s="1"/>
  <c r="BL276" i="3"/>
  <c r="AZ276" i="3" s="1"/>
  <c r="BA277" i="3"/>
  <c r="AZ277" i="3" s="1"/>
  <c r="BA278" i="3"/>
  <c r="AZ278" i="3" s="1"/>
  <c r="G281" i="3"/>
  <c r="G282" i="3"/>
  <c r="G283" i="3"/>
  <c r="BL283" i="3"/>
  <c r="AZ283" i="3" s="1"/>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AZ248" i="3"/>
  <c r="AZ267"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C42" i="1"/>
  <c r="N67" i="72"/>
  <c r="N67" i="69"/>
  <c r="N67" i="71"/>
  <c r="E83" i="21"/>
  <c r="F83" i="21" s="1"/>
  <c r="G83" i="21" s="1"/>
  <c r="H21" i="21"/>
  <c r="J21" i="21"/>
  <c r="BA164" i="3"/>
  <c r="AZ164" i="3" s="1"/>
  <c r="BL165" i="3"/>
  <c r="AZ165" i="3" s="1"/>
  <c r="G169" i="3"/>
  <c r="G172" i="3"/>
  <c r="BL172" i="3"/>
  <c r="AZ172" i="3" s="1"/>
  <c r="BA174" i="3"/>
  <c r="AZ174" i="3" s="1"/>
  <c r="BL175" i="3"/>
  <c r="BA176" i="3"/>
  <c r="AZ176" i="3" s="1"/>
  <c r="BA177" i="3"/>
  <c r="AZ177" i="3" s="1"/>
  <c r="BL178" i="3"/>
  <c r="AZ178"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G94" i="3"/>
  <c r="G95" i="3"/>
  <c r="BL95" i="3"/>
  <c r="AZ95" i="3" s="1"/>
  <c r="BA96" i="3"/>
  <c r="AZ96" i="3" s="1"/>
  <c r="A2" i="72"/>
  <c r="A2" i="69"/>
  <c r="A2" i="71"/>
  <c r="E105" i="39"/>
  <c r="F105" i="39" s="1"/>
  <c r="G105" i="39" s="1"/>
  <c r="F31" i="39"/>
  <c r="AA31" i="39" s="1"/>
  <c r="H31" i="39"/>
  <c r="F21" i="21"/>
  <c r="AA21" i="21" s="1"/>
  <c r="BL98" i="3"/>
  <c r="AZ98" i="3" s="1"/>
  <c r="G101" i="3"/>
  <c r="BL101" i="3"/>
  <c r="AZ101" i="3" s="1"/>
  <c r="BA103" i="3"/>
  <c r="AZ103" i="3" s="1"/>
  <c r="BA105" i="3"/>
  <c r="AZ105" i="3" s="1"/>
  <c r="BA106" i="3"/>
  <c r="AZ106" i="3" s="1"/>
  <c r="BA107" i="3"/>
  <c r="AZ107" i="3" s="1"/>
  <c r="BA109" i="3"/>
  <c r="AZ109" i="3" s="1"/>
  <c r="BA110" i="3"/>
  <c r="AZ110" i="3" s="1"/>
  <c r="BL112" i="3"/>
  <c r="AZ112" i="3" s="1"/>
  <c r="I10" i="57"/>
  <c r="Y22" i="59"/>
  <c r="Z22" i="59" s="1"/>
  <c r="C23" i="59"/>
  <c r="Y20" i="59"/>
  <c r="Z20" i="59" s="1"/>
  <c r="AB22" i="59"/>
  <c r="AB21" i="59"/>
  <c r="AB20" i="59"/>
  <c r="Y26" i="59"/>
  <c r="Z26" i="59" s="1"/>
  <c r="C27" i="59"/>
  <c r="Y30" i="59"/>
  <c r="Z30" i="59" s="1"/>
  <c r="C31" i="59"/>
  <c r="C40" i="59"/>
  <c r="D40" i="59" s="1"/>
  <c r="D39" i="59"/>
  <c r="F59" i="59"/>
  <c r="Q59" i="59" s="1"/>
  <c r="Q60" i="59"/>
  <c r="AE10" i="46"/>
  <c r="AE12" i="46"/>
  <c r="X19" i="59"/>
  <c r="AA18" i="59"/>
  <c r="AA20" i="59"/>
  <c r="X3" i="59"/>
  <c r="Y21" i="59"/>
  <c r="Z21" i="59" s="1"/>
  <c r="AA21" i="59"/>
  <c r="X18" i="59"/>
  <c r="X22" i="59"/>
  <c r="B23" i="59"/>
  <c r="B24" i="59" s="1"/>
  <c r="B25" i="59" s="1"/>
  <c r="S25" i="59" s="1"/>
  <c r="X26" i="59"/>
  <c r="B27" i="59"/>
  <c r="B28" i="59" s="1"/>
  <c r="B29" i="59" s="1"/>
  <c r="S29" i="59" s="1"/>
  <c r="X30" i="59"/>
  <c r="B31" i="59"/>
  <c r="B32" i="59" s="1"/>
  <c r="B33" i="59" s="1"/>
  <c r="S33" i="59" s="1"/>
  <c r="T65" i="59"/>
  <c r="C64" i="59"/>
  <c r="D65" i="59"/>
  <c r="T73" i="59"/>
  <c r="C72" i="59"/>
  <c r="D73" i="59"/>
  <c r="B21" i="59"/>
  <c r="B20" i="59" s="1"/>
  <c r="B19" i="59" s="1"/>
  <c r="X21" i="59"/>
  <c r="AG12" i="46"/>
  <c r="S17" i="59"/>
  <c r="E16" i="59"/>
  <c r="E15" i="59" s="1"/>
  <c r="E14" i="59" s="1"/>
  <c r="E13" i="59" s="1"/>
  <c r="U17" i="59"/>
  <c r="Y18" i="59"/>
  <c r="Z18" i="59" s="1"/>
  <c r="AB18" i="59"/>
  <c r="N16" i="4"/>
  <c r="K17" i="4" s="1"/>
  <c r="A22" i="51" s="1"/>
  <c r="B16" i="63" s="1"/>
  <c r="AA22" i="59"/>
  <c r="X23" i="59"/>
  <c r="AA23" i="59"/>
  <c r="X24" i="59"/>
  <c r="AA24" i="59"/>
  <c r="X25" i="59"/>
  <c r="AA25" i="59"/>
  <c r="AA26" i="59"/>
  <c r="AB26" i="59"/>
  <c r="Y27" i="59"/>
  <c r="Z27" i="59" s="1"/>
  <c r="AB27" i="59"/>
  <c r="Y28" i="59"/>
  <c r="Z28" i="59" s="1"/>
  <c r="AB28" i="59"/>
  <c r="Y29" i="59"/>
  <c r="Z29" i="59" s="1"/>
  <c r="AB29" i="59"/>
  <c r="AA30" i="59"/>
  <c r="B36" i="59"/>
  <c r="B37" i="59" s="1"/>
  <c r="S37" i="59" s="1"/>
  <c r="N76" i="72"/>
  <c r="K76" i="72"/>
  <c r="K77" i="72" s="1"/>
  <c r="K79" i="72" s="1"/>
  <c r="K81" i="72" s="1"/>
  <c r="O76" i="72"/>
  <c r="L76" i="72"/>
  <c r="O76" i="71"/>
  <c r="L76" i="71"/>
  <c r="O76" i="69"/>
  <c r="L76" i="69"/>
  <c r="N76" i="71"/>
  <c r="K76" i="71"/>
  <c r="K77" i="71" s="1"/>
  <c r="K79" i="71" s="1"/>
  <c r="K81" i="71" s="1"/>
  <c r="N76" i="69"/>
  <c r="K76" i="69"/>
  <c r="K77" i="69" s="1"/>
  <c r="K79" i="69" s="1"/>
  <c r="K81" i="69" s="1"/>
  <c r="E5" i="6"/>
  <c r="D21" i="12" s="1"/>
  <c r="C21" i="12" s="1"/>
  <c r="E8" i="6"/>
  <c r="E14" i="6"/>
  <c r="E13" i="6"/>
  <c r="E10" i="6"/>
  <c r="E15" i="6"/>
  <c r="E62" i="40" s="1"/>
  <c r="E12" i="6"/>
  <c r="E11" i="6"/>
  <c r="S6" i="46"/>
  <c r="S3" i="46"/>
  <c r="S5" i="46"/>
  <c r="C103" i="46"/>
  <c r="C23" i="46"/>
  <c r="H104" i="46"/>
  <c r="AE11" i="46"/>
  <c r="AE13" i="46" s="1"/>
  <c r="AI11" i="46"/>
  <c r="AI13" i="46" s="1"/>
  <c r="AH11" i="46"/>
  <c r="AH13" i="46" s="1"/>
  <c r="Z11" i="46"/>
  <c r="Z13" i="46" s="1"/>
  <c r="AG11" i="46"/>
  <c r="AG13" i="46" s="1"/>
  <c r="K101" i="46"/>
  <c r="E101" i="46"/>
  <c r="L101" i="46"/>
  <c r="B113" i="46"/>
  <c r="G101" i="46"/>
  <c r="AJ11" i="46"/>
  <c r="AJ13" i="46" s="1"/>
  <c r="AC11" i="46"/>
  <c r="AC13" i="46" s="1"/>
  <c r="M101" i="46"/>
  <c r="M104" i="46" s="1"/>
  <c r="P11" i="1"/>
  <c r="F101" i="46"/>
  <c r="F103" i="46" s="1"/>
  <c r="G22" i="46"/>
  <c r="D22" i="46"/>
  <c r="C21" i="46" s="1"/>
  <c r="C106" i="46"/>
  <c r="C104" i="46"/>
  <c r="D103" i="46"/>
  <c r="U42" i="21"/>
  <c r="C18" i="9"/>
  <c r="M43" i="9" s="1"/>
  <c r="AC45" i="21"/>
  <c r="S44" i="21"/>
  <c r="AB44" i="21"/>
  <c r="W42" i="21"/>
  <c r="S42" i="21"/>
  <c r="S34" i="21"/>
  <c r="AB33" i="21"/>
  <c r="W32" i="21"/>
  <c r="AC23" i="21"/>
  <c r="U23" i="21"/>
  <c r="S23" i="21"/>
  <c r="S21" i="21"/>
  <c r="U19" i="21"/>
  <c r="S19" i="21"/>
  <c r="U17" i="21"/>
  <c r="AA17" i="21"/>
  <c r="W17" i="21"/>
  <c r="AB15" i="21"/>
  <c r="W15" i="21"/>
  <c r="S10" i="21"/>
  <c r="W9" i="21"/>
  <c r="S8" i="21"/>
  <c r="W40" i="39"/>
  <c r="U40" i="39"/>
  <c r="S40" i="39"/>
  <c r="AC44" i="39"/>
  <c r="AA44" i="39"/>
  <c r="U41" i="39"/>
  <c r="S41" i="39"/>
  <c r="W41" i="39"/>
  <c r="AC31" i="39"/>
  <c r="S31" i="39"/>
  <c r="W29" i="39"/>
  <c r="AB29" i="39"/>
  <c r="U27" i="39"/>
  <c r="S27" i="39"/>
  <c r="W27" i="39"/>
  <c r="AB25" i="39"/>
  <c r="S25" i="39"/>
  <c r="W23" i="39"/>
  <c r="S23" i="39"/>
  <c r="U23" i="39"/>
  <c r="U19" i="39"/>
  <c r="AA19" i="39"/>
  <c r="AC19" i="39"/>
  <c r="AB17" i="39"/>
  <c r="AC17" i="39"/>
  <c r="G17" i="46"/>
  <c r="C16" i="46" s="1"/>
  <c r="D5" i="46" s="1"/>
  <c r="C105" i="46"/>
  <c r="C102" i="46"/>
  <c r="C107" i="46"/>
  <c r="J102" i="46"/>
  <c r="N106" i="46"/>
  <c r="D104" i="46"/>
  <c r="D105" i="46"/>
  <c r="H106" i="46"/>
  <c r="D102" i="46"/>
  <c r="H109" i="46"/>
  <c r="H107" i="46"/>
  <c r="D107" i="46"/>
  <c r="L27" i="6"/>
  <c r="F27" i="6"/>
  <c r="F31" i="6" s="1"/>
  <c r="E16" i="6"/>
  <c r="J103" i="46"/>
  <c r="J107" i="46"/>
  <c r="I107" i="46"/>
  <c r="N107" i="46"/>
  <c r="E67" i="39"/>
  <c r="E63" i="39"/>
  <c r="K15" i="1"/>
  <c r="J109" i="46"/>
  <c r="J105" i="46"/>
  <c r="J104" i="46"/>
  <c r="N102" i="46"/>
  <c r="I103" i="46"/>
  <c r="I104" i="46"/>
  <c r="E58" i="40"/>
  <c r="P10" i="1"/>
  <c r="I105" i="46"/>
  <c r="N103" i="46"/>
  <c r="N109" i="46"/>
  <c r="N104" i="46"/>
  <c r="AP7" i="1"/>
  <c r="G6" i="1"/>
  <c r="O40" i="9"/>
  <c r="R7" i="54" s="1"/>
  <c r="B52" i="63" s="1"/>
  <c r="A25" i="51"/>
  <c r="B18" i="63" s="1"/>
  <c r="F12" i="59"/>
  <c r="F11" i="59" s="1"/>
  <c r="F10" i="59" s="1"/>
  <c r="F9" i="59" s="1"/>
  <c r="V13" i="59"/>
  <c r="K31" i="9"/>
  <c r="K32" i="9" s="1"/>
  <c r="I102" i="46"/>
  <c r="I106" i="46"/>
  <c r="D12" i="11"/>
  <c r="C12" i="11" s="1"/>
  <c r="B38" i="63"/>
  <c r="A3" i="55"/>
  <c r="B56" i="63" s="1"/>
  <c r="AC23" i="36"/>
  <c r="W23" i="36"/>
  <c r="U25" i="33"/>
  <c r="AB32" i="40"/>
  <c r="W35" i="40"/>
  <c r="F72" i="9"/>
  <c r="F66" i="9"/>
  <c r="P72" i="9" s="1"/>
  <c r="AZ520" i="3"/>
  <c r="S9" i="21"/>
  <c r="AA9" i="21"/>
  <c r="AA39" i="37"/>
  <c r="AC40" i="21"/>
  <c r="W8" i="21"/>
  <c r="H9" i="21"/>
  <c r="J12" i="35"/>
  <c r="J34" i="35"/>
  <c r="H34" i="35"/>
  <c r="F34" i="35"/>
  <c r="H12" i="36"/>
  <c r="F23" i="36"/>
  <c r="G536" i="3"/>
  <c r="G524" i="3"/>
  <c r="G512" i="3"/>
  <c r="G489" i="3"/>
  <c r="G481" i="3"/>
  <c r="S10" i="35"/>
  <c r="AC41" i="34"/>
  <c r="W31" i="34"/>
  <c r="AB40" i="37"/>
  <c r="W46" i="33"/>
  <c r="W35" i="35"/>
  <c r="H25" i="37"/>
  <c r="J25" i="37"/>
  <c r="F25" i="37"/>
  <c r="AZ389" i="3"/>
  <c r="AZ400" i="3"/>
  <c r="AZ404" i="3"/>
  <c r="AZ416" i="3"/>
  <c r="AZ421" i="3"/>
  <c r="AZ435" i="3"/>
  <c r="AZ440" i="3"/>
  <c r="AZ453" i="3"/>
  <c r="A30" i="64"/>
  <c r="A30" i="51"/>
  <c r="B22" i="63" s="1"/>
  <c r="A2" i="55"/>
  <c r="B55" i="63" s="1"/>
  <c r="AZ457" i="3"/>
  <c r="AZ462" i="3"/>
  <c r="AZ473" i="3"/>
  <c r="AZ478" i="3"/>
  <c r="AZ318" i="3"/>
  <c r="AZ334" i="3"/>
  <c r="AZ350" i="3"/>
  <c r="AZ387" i="3"/>
  <c r="AZ219" i="3"/>
  <c r="AZ251" i="3"/>
  <c r="AZ264" i="3"/>
  <c r="AZ287" i="3"/>
  <c r="AZ175" i="3"/>
  <c r="AZ211" i="3"/>
  <c r="AZ240" i="3"/>
  <c r="AZ243" i="3"/>
  <c r="AZ256" i="3"/>
  <c r="AZ259" i="3"/>
  <c r="AZ275" i="3"/>
  <c r="AZ279" i="3"/>
  <c r="AZ113" i="3"/>
  <c r="AZ116" i="3"/>
  <c r="AZ129" i="3"/>
  <c r="AZ132" i="3"/>
  <c r="AZ145" i="3"/>
  <c r="AZ148" i="3"/>
  <c r="AZ186" i="3"/>
  <c r="AZ194" i="3"/>
  <c r="AZ22" i="3"/>
  <c r="AZ33" i="3"/>
  <c r="AZ38" i="3"/>
  <c r="AZ49" i="3"/>
  <c r="AZ54" i="3"/>
  <c r="AZ64" i="3"/>
  <c r="AZ69" i="3"/>
  <c r="AZ80" i="3"/>
  <c r="AZ89" i="3"/>
  <c r="AZ104" i="3"/>
  <c r="AZ108" i="3"/>
  <c r="AZ111" i="3"/>
  <c r="B13" i="1"/>
  <c r="E13" i="1" s="1"/>
  <c r="K13" i="1"/>
  <c r="M13" i="1" s="1"/>
  <c r="I21" i="57"/>
  <c r="D1" i="57" s="1"/>
  <c r="E10" i="57" s="1"/>
  <c r="R12" i="1"/>
  <c r="K12" i="1"/>
  <c r="B54" i="46"/>
  <c r="C27" i="40"/>
  <c r="S27" i="40"/>
  <c r="S21" i="34"/>
  <c r="E27" i="59"/>
  <c r="E28" i="59" s="1"/>
  <c r="E29" i="59" s="1"/>
  <c r="U29" i="59" s="1"/>
  <c r="E20" i="59"/>
  <c r="E19" i="59" s="1"/>
  <c r="U21" i="59"/>
  <c r="N4" i="63"/>
  <c r="B21" i="63"/>
  <c r="X16" i="59"/>
  <c r="O58" i="59"/>
  <c r="F23" i="59"/>
  <c r="F24" i="59" s="1"/>
  <c r="F25" i="59" s="1"/>
  <c r="V25" i="59" s="1"/>
  <c r="E31" i="59"/>
  <c r="E32" i="59" s="1"/>
  <c r="E33" i="59" s="1"/>
  <c r="U33" i="59" s="1"/>
  <c r="F31" i="59"/>
  <c r="F32" i="59" s="1"/>
  <c r="F33" i="59" s="1"/>
  <c r="V33" i="59" s="1"/>
  <c r="AA31" i="59"/>
  <c r="D21" i="59"/>
  <c r="T21" i="59"/>
  <c r="C20" i="59"/>
  <c r="A28" i="64"/>
  <c r="Y17" i="59"/>
  <c r="Z17" i="59" s="1"/>
  <c r="AB17" i="59"/>
  <c r="AA16" i="59"/>
  <c r="AA14" i="59"/>
  <c r="Y11" i="59"/>
  <c r="Z11" i="59" s="1"/>
  <c r="AB11" i="59"/>
  <c r="X7" i="59"/>
  <c r="AA7" i="59"/>
  <c r="X10" i="59"/>
  <c r="AA10" i="59"/>
  <c r="Q58" i="59"/>
  <c r="F20" i="59"/>
  <c r="F19" i="59" s="1"/>
  <c r="S21" i="59"/>
  <c r="X17" i="59"/>
  <c r="X14" i="59"/>
  <c r="Y16" i="59"/>
  <c r="Z16" i="59" s="1"/>
  <c r="AB16" i="59"/>
  <c r="X11" i="59"/>
  <c r="AA11" i="59"/>
  <c r="Y7" i="59"/>
  <c r="Z7" i="59" s="1"/>
  <c r="Y10" i="59"/>
  <c r="Z10" i="59" s="1"/>
  <c r="AB6" i="59"/>
  <c r="AB8" i="59"/>
  <c r="AB10" i="59"/>
  <c r="AB5" i="59"/>
  <c r="AB7" i="59"/>
  <c r="Y6" i="59"/>
  <c r="Z6" i="59" s="1"/>
  <c r="AA5" i="59"/>
  <c r="X6" i="59"/>
  <c r="AA8" i="59"/>
  <c r="X9" i="59"/>
  <c r="Y5" i="59"/>
  <c r="Z5" i="59" s="1"/>
  <c r="AA6" i="59"/>
  <c r="X5" i="59"/>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B9" i="59"/>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C36" i="44"/>
  <c r="Q73" i="44"/>
  <c r="C29" i="44"/>
  <c r="C8" i="44"/>
  <c r="J1" i="65"/>
  <c r="C27" i="15"/>
  <c r="I1" i="65"/>
  <c r="F70" i="15"/>
  <c r="M9" i="44"/>
  <c r="J8" i="44" s="1"/>
  <c r="L59" i="15"/>
  <c r="L58" i="15"/>
  <c r="L60" i="44"/>
  <c r="L59" i="44"/>
  <c r="J53" i="15"/>
  <c r="J57" i="15"/>
  <c r="J55" i="15" s="1"/>
  <c r="J58" i="15" s="1"/>
  <c r="Q51" i="15" s="1"/>
  <c r="I54" i="15"/>
  <c r="L56" i="15"/>
  <c r="J20" i="15"/>
  <c r="I55" i="44"/>
  <c r="J54" i="44"/>
  <c r="L57" i="44"/>
  <c r="J58" i="44"/>
  <c r="J56" i="44" s="1"/>
  <c r="J59" i="44" s="1"/>
  <c r="Q52" i="44" s="1"/>
  <c r="J60" i="44"/>
  <c r="J61" i="44"/>
  <c r="Q50" i="44" s="1"/>
  <c r="Q72" i="15"/>
  <c r="J22" i="44"/>
  <c r="C4" i="65"/>
  <c r="B39" i="1" s="1"/>
  <c r="M23" i="15"/>
  <c r="F38" i="15"/>
  <c r="F42" i="15"/>
  <c r="C18" i="44"/>
  <c r="F7" i="15"/>
  <c r="F40" i="15"/>
  <c r="M28" i="15"/>
  <c r="C16" i="15"/>
  <c r="F37" i="15"/>
  <c r="F9" i="15"/>
  <c r="I6" i="65"/>
  <c r="F8" i="15"/>
  <c r="F41" i="15"/>
  <c r="M27" i="15"/>
  <c r="M9" i="15"/>
  <c r="E3" i="65"/>
  <c r="F35" i="15"/>
  <c r="J15" i="15"/>
  <c r="C17" i="15"/>
  <c r="F36" i="15"/>
  <c r="I5" i="65"/>
  <c r="D16" i="59" l="1"/>
  <c r="C15" i="59"/>
  <c r="AZ58" i="3"/>
  <c r="P58" i="59"/>
  <c r="P59" i="59"/>
  <c r="C53" i="59"/>
  <c r="D52" i="59"/>
  <c r="AZ26" i="3"/>
  <c r="AZ268" i="3"/>
  <c r="AZ236" i="3"/>
  <c r="AZ216" i="3"/>
  <c r="AZ212" i="3"/>
  <c r="AZ445" i="3"/>
  <c r="AZ441" i="3"/>
  <c r="AZ431" i="3"/>
  <c r="AZ429" i="3"/>
  <c r="AZ425" i="3"/>
  <c r="AZ401" i="3"/>
  <c r="AZ390" i="3"/>
  <c r="AZ467" i="3"/>
  <c r="AZ465" i="3"/>
  <c r="W12" i="33"/>
  <c r="AC12" i="33"/>
  <c r="K34" i="9"/>
  <c r="H7" i="34"/>
  <c r="M109" i="46"/>
  <c r="D45" i="59"/>
  <c r="T45" i="59"/>
  <c r="AZ102" i="3"/>
  <c r="AB26" i="37"/>
  <c r="U26" i="37"/>
  <c r="F64" i="15"/>
  <c r="F49" i="15"/>
  <c r="F58" i="15" s="1"/>
  <c r="M7" i="15"/>
  <c r="M17" i="15" s="1"/>
  <c r="F50" i="15"/>
  <c r="C6" i="15"/>
  <c r="F68" i="15"/>
  <c r="C34" i="15"/>
  <c r="F62" i="15"/>
  <c r="C61" i="15" s="1"/>
  <c r="F65" i="15"/>
  <c r="F63" i="15"/>
  <c r="F67" i="15"/>
  <c r="G30" i="6"/>
  <c r="G31" i="6" s="1"/>
  <c r="E28" i="6"/>
  <c r="E12" i="59"/>
  <c r="E11" i="59" s="1"/>
  <c r="E10" i="59" s="1"/>
  <c r="E9" i="59" s="1"/>
  <c r="U13" i="59"/>
  <c r="D72" i="59"/>
  <c r="C71" i="59"/>
  <c r="D71" i="59" s="1"/>
  <c r="C32" i="59"/>
  <c r="D31" i="59"/>
  <c r="D27" i="59"/>
  <c r="C28" i="59"/>
  <c r="C24" i="59"/>
  <c r="D23" i="59"/>
  <c r="AB31" i="39"/>
  <c r="U31" i="39"/>
  <c r="U21" i="21"/>
  <c r="AB21" i="21"/>
  <c r="S37" i="21"/>
  <c r="AA37" i="21"/>
  <c r="AA29" i="39"/>
  <c r="S29" i="39"/>
  <c r="BA5" i="3"/>
  <c r="E27" i="6" s="1"/>
  <c r="F7" i="34"/>
  <c r="J7" i="34"/>
  <c r="H7" i="21"/>
  <c r="AZ5" i="3"/>
  <c r="C63" i="59"/>
  <c r="D63" i="59" s="1"/>
  <c r="D64" i="59"/>
  <c r="W21" i="21"/>
  <c r="AC21" i="21"/>
  <c r="C95" i="72"/>
  <c r="C92" i="72" s="1"/>
  <c r="C95" i="69"/>
  <c r="C92" i="69" s="1"/>
  <c r="C95" i="71"/>
  <c r="C92" i="71" s="1"/>
  <c r="AA9" i="35"/>
  <c r="S9" i="35"/>
  <c r="U12" i="21"/>
  <c r="AB12" i="21"/>
  <c r="AC34" i="36"/>
  <c r="W34" i="36"/>
  <c r="W37" i="21"/>
  <c r="AC37" i="21"/>
  <c r="W19" i="21"/>
  <c r="AC19" i="21"/>
  <c r="BL5" i="3"/>
  <c r="M102" i="46"/>
  <c r="M107" i="46"/>
  <c r="F102" i="46"/>
  <c r="M105" i="46"/>
  <c r="M106" i="46"/>
  <c r="M103" i="46"/>
  <c r="F109" i="46"/>
  <c r="G106" i="46"/>
  <c r="G104" i="46"/>
  <c r="G107" i="46"/>
  <c r="G103" i="46"/>
  <c r="G102" i="46"/>
  <c r="G105" i="46"/>
  <c r="G109" i="46"/>
  <c r="L102" i="46"/>
  <c r="L104" i="46"/>
  <c r="L109" i="46"/>
  <c r="L107" i="46"/>
  <c r="L105" i="46"/>
  <c r="L106" i="46"/>
  <c r="L103" i="46"/>
  <c r="K107" i="46"/>
  <c r="K102" i="46"/>
  <c r="K104" i="46"/>
  <c r="K109" i="46"/>
  <c r="K103" i="46"/>
  <c r="K106" i="46"/>
  <c r="K105" i="46"/>
  <c r="E65" i="39"/>
  <c r="E60" i="40"/>
  <c r="E58" i="39"/>
  <c r="E53" i="40"/>
  <c r="F106" i="46"/>
  <c r="F107" i="46"/>
  <c r="F104" i="46"/>
  <c r="F105" i="46"/>
  <c r="I116" i="46"/>
  <c r="J116" i="46" s="1"/>
  <c r="K116" i="46" s="1"/>
  <c r="L116" i="46" s="1"/>
  <c r="M116" i="46" s="1"/>
  <c r="I118" i="46"/>
  <c r="J118" i="46" s="1"/>
  <c r="K118" i="46" s="1"/>
  <c r="L118" i="46" s="1"/>
  <c r="M118" i="46" s="1"/>
  <c r="D116" i="46"/>
  <c r="E116" i="46" s="1"/>
  <c r="F116" i="46" s="1"/>
  <c r="G116" i="46" s="1"/>
  <c r="H116" i="46" s="1"/>
  <c r="D115" i="46"/>
  <c r="E115" i="46" s="1"/>
  <c r="F115" i="46" s="1"/>
  <c r="G115" i="46" s="1"/>
  <c r="H115" i="46" s="1"/>
  <c r="G118" i="46"/>
  <c r="H118" i="46" s="1"/>
  <c r="B118" i="46"/>
  <c r="C118" i="46" s="1"/>
  <c r="I115" i="46"/>
  <c r="J115" i="46" s="1"/>
  <c r="K115" i="46" s="1"/>
  <c r="L115" i="46" s="1"/>
  <c r="M115" i="46" s="1"/>
  <c r="B115" i="46"/>
  <c r="B116" i="46"/>
  <c r="C116" i="46" s="1"/>
  <c r="D117" i="46"/>
  <c r="E117" i="46" s="1"/>
  <c r="F117" i="46" s="1"/>
  <c r="G117" i="46" s="1"/>
  <c r="H117" i="46" s="1"/>
  <c r="D118" i="46"/>
  <c r="E118" i="46" s="1"/>
  <c r="F118" i="46" s="1"/>
  <c r="I117" i="46"/>
  <c r="J117" i="46" s="1"/>
  <c r="K117" i="46" s="1"/>
  <c r="L117" i="46" s="1"/>
  <c r="M117" i="46" s="1"/>
  <c r="B117" i="46"/>
  <c r="C117" i="46" s="1"/>
  <c r="E104" i="46"/>
  <c r="E105" i="46"/>
  <c r="E102" i="46"/>
  <c r="E109" i="46"/>
  <c r="E106" i="46"/>
  <c r="E103" i="46"/>
  <c r="E107" i="46"/>
  <c r="E59" i="40"/>
  <c r="E64" i="39"/>
  <c r="E66" i="39"/>
  <c r="E61" i="40"/>
  <c r="C5" i="46"/>
  <c r="D18" i="9"/>
  <c r="M44" i="9" s="1"/>
  <c r="K20" i="6"/>
  <c r="M20" i="6" s="1"/>
  <c r="I20" i="6" s="1"/>
  <c r="S20" i="6"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K19" i="6"/>
  <c r="S6" i="1" s="1"/>
  <c r="S16" i="1" s="1"/>
  <c r="G16" i="1"/>
  <c r="J12" i="40" s="1"/>
  <c r="E3" i="6"/>
  <c r="E8" i="59"/>
  <c r="E7" i="59" s="1"/>
  <c r="E6" i="59" s="1"/>
  <c r="E5" i="59" s="1"/>
  <c r="U5" i="59" s="1"/>
  <c r="U9" i="59"/>
  <c r="C19" i="59"/>
  <c r="D19" i="59" s="1"/>
  <c r="D20" i="59"/>
  <c r="M12" i="1"/>
  <c r="H16" i="1"/>
  <c r="Q16" i="1"/>
  <c r="O13" i="1"/>
  <c r="P13" i="1" s="1"/>
  <c r="W25" i="37"/>
  <c r="AC25" i="37"/>
  <c r="G5" i="3"/>
  <c r="B3" i="3" s="1"/>
  <c r="E481" i="3" s="1"/>
  <c r="U12" i="36"/>
  <c r="AB12" i="36"/>
  <c r="AB34" i="35"/>
  <c r="U34" i="35"/>
  <c r="W12" i="35"/>
  <c r="AC12" i="35"/>
  <c r="AP16" i="1"/>
  <c r="F22" i="11" s="1"/>
  <c r="F8" i="59"/>
  <c r="F7" i="59" s="1"/>
  <c r="F6" i="59" s="1"/>
  <c r="F5" i="59" s="1"/>
  <c r="V5" i="59" s="1"/>
  <c r="V9" i="59"/>
  <c r="B8" i="59"/>
  <c r="B7" i="59" s="1"/>
  <c r="B6" i="59" s="1"/>
  <c r="B5" i="59" s="1"/>
  <c r="S5" i="59" s="1"/>
  <c r="S9" i="59"/>
  <c r="F7" i="21"/>
  <c r="S7" i="21" s="1"/>
  <c r="AA25" i="37"/>
  <c r="S25" i="37"/>
  <c r="U25" i="37"/>
  <c r="AB25" i="37"/>
  <c r="AA23" i="36"/>
  <c r="S23" i="36"/>
  <c r="S34" i="35"/>
  <c r="AA34" i="35"/>
  <c r="AC34" i="35"/>
  <c r="W34" i="35"/>
  <c r="AB9" i="21"/>
  <c r="U9" i="21"/>
  <c r="H7" i="35"/>
  <c r="U7" i="35" s="1"/>
  <c r="E65" i="40"/>
  <c r="D67" i="40"/>
  <c r="AC7" i="33"/>
  <c r="V48" i="33" s="1"/>
  <c r="I48" i="33" s="1"/>
  <c r="W7" i="33"/>
  <c r="S7" i="34"/>
  <c r="AA7" i="34"/>
  <c r="R49" i="34" s="1"/>
  <c r="W7" i="34"/>
  <c r="AC7" i="34"/>
  <c r="V49" i="34" s="1"/>
  <c r="I49" i="34" s="1"/>
  <c r="U7" i="21"/>
  <c r="AB7" i="21"/>
  <c r="T48" i="21" s="1"/>
  <c r="G48" i="21" s="1"/>
  <c r="AB7" i="35"/>
  <c r="T38" i="35" s="1"/>
  <c r="G38" i="35" s="1"/>
  <c r="J7" i="37"/>
  <c r="W7" i="21"/>
  <c r="AC7" i="21"/>
  <c r="V48" i="21" s="1"/>
  <c r="I48" i="21" s="1"/>
  <c r="D72" i="39"/>
  <c r="E70"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32" i="15"/>
  <c r="M28" i="46"/>
  <c r="P28" i="46"/>
  <c r="O28" i="46"/>
  <c r="N28" i="46"/>
  <c r="F1" i="44"/>
  <c r="Q54" i="44"/>
  <c r="J20" i="44"/>
  <c r="Q63" i="44"/>
  <c r="Q76" i="44"/>
  <c r="C34" i="44"/>
  <c r="F1" i="15"/>
  <c r="Q53" i="15"/>
  <c r="Q61" i="15"/>
  <c r="Q74" i="15"/>
  <c r="E2" i="65"/>
  <c r="B40" i="1" l="1"/>
  <c r="C48" i="15"/>
  <c r="D53" i="59"/>
  <c r="T53" i="59"/>
  <c r="D15" i="59"/>
  <c r="C14" i="59"/>
  <c r="J6" i="15"/>
  <c r="J18" i="15" s="1"/>
  <c r="D24" i="59"/>
  <c r="C25" i="59"/>
  <c r="D32" i="59"/>
  <c r="C33" i="59"/>
  <c r="C29" i="59"/>
  <c r="D28" i="59"/>
  <c r="K14" i="1"/>
  <c r="E30" i="6"/>
  <c r="E31" i="6" s="1"/>
  <c r="C115" i="46"/>
  <c r="D113" i="46" s="1"/>
  <c r="L38" i="72"/>
  <c r="D45" i="72"/>
  <c r="L38" i="69"/>
  <c r="D46" i="72"/>
  <c r="L38" i="71"/>
  <c r="D46" i="71"/>
  <c r="D45" i="71"/>
  <c r="D45" i="69"/>
  <c r="D46" i="69"/>
  <c r="C33" i="72"/>
  <c r="C33" i="71"/>
  <c r="C33" i="69"/>
  <c r="D44" i="72"/>
  <c r="D44" i="69"/>
  <c r="D44" i="71"/>
  <c r="AA7" i="21"/>
  <c r="R48" i="21" s="1"/>
  <c r="R49" i="21" s="1"/>
  <c r="F12" i="39"/>
  <c r="E489" i="3"/>
  <c r="E512" i="3"/>
  <c r="F12" i="40"/>
  <c r="H12" i="39"/>
  <c r="M19" i="6"/>
  <c r="K27" i="6"/>
  <c r="W12" i="40"/>
  <c r="AC12" i="40"/>
  <c r="H12" i="40"/>
  <c r="J12" i="39"/>
  <c r="E524" i="3"/>
  <c r="E536" i="3"/>
  <c r="D16" i="43"/>
  <c r="C16" i="43" s="1"/>
  <c r="E6" i="6"/>
  <c r="L38" i="9"/>
  <c r="B14" i="66" s="1"/>
  <c r="D45" i="9"/>
  <c r="C21" i="4"/>
  <c r="O5" i="54" s="1"/>
  <c r="B45" i="63" s="1"/>
  <c r="D16" i="12"/>
  <c r="D46" i="9"/>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395" i="3"/>
  <c r="E41" i="3"/>
  <c r="E471" i="3"/>
  <c r="E418" i="3"/>
  <c r="E408" i="3"/>
  <c r="E92" i="3"/>
  <c r="E238" i="3"/>
  <c r="E414" i="3"/>
  <c r="E44" i="3"/>
  <c r="E202" i="3"/>
  <c r="E472" i="3"/>
  <c r="E187" i="3"/>
  <c r="E253" i="3"/>
  <c r="E225" i="3"/>
  <c r="E537" i="3"/>
  <c r="E199" i="3"/>
  <c r="E54" i="3"/>
  <c r="E423" i="3"/>
  <c r="E452" i="3"/>
  <c r="E435"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299" i="3"/>
  <c r="E327" i="3"/>
  <c r="E548" i="3"/>
  <c r="Z6" i="3"/>
  <c r="E454" i="3"/>
  <c r="E520" i="3"/>
  <c r="AK6" i="3"/>
  <c r="E297" i="3"/>
  <c r="E411" i="3"/>
  <c r="E250"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83" i="3"/>
  <c r="E124" i="3"/>
  <c r="E266" i="3"/>
  <c r="E215" i="3"/>
  <c r="I6" i="3"/>
  <c r="H6" i="3" s="1"/>
  <c r="E103" i="3"/>
  <c r="E200" i="3"/>
  <c r="E62" i="3"/>
  <c r="E389" i="3"/>
  <c r="E230" i="3"/>
  <c r="E143" i="3"/>
  <c r="F24" i="43"/>
  <c r="C26" i="43" s="1"/>
  <c r="D24" i="43" s="1"/>
  <c r="F33" i="12"/>
  <c r="C34" i="12" s="1"/>
  <c r="D33" i="12" s="1"/>
  <c r="O12" i="1"/>
  <c r="AY6" i="3"/>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4" i="46"/>
  <c r="G34" i="46"/>
  <c r="I34" i="46" s="1"/>
  <c r="C40" i="44"/>
  <c r="J28" i="44"/>
  <c r="J31" i="44" s="1"/>
  <c r="J26" i="44"/>
  <c r="C52" i="15"/>
  <c r="C47" i="15" s="1"/>
  <c r="C10" i="15"/>
  <c r="C5" i="15" s="1"/>
  <c r="C20" i="11"/>
  <c r="C21" i="11" s="1"/>
  <c r="C22" i="11" s="1"/>
  <c r="C23" i="11" s="1"/>
  <c r="B2" i="11" s="1"/>
  <c r="E36" i="46" l="1"/>
  <c r="C13" i="59"/>
  <c r="D14" i="59"/>
  <c r="J5" i="15"/>
  <c r="J26" i="15" s="1"/>
  <c r="J29" i="15" s="1"/>
  <c r="M14" i="1"/>
  <c r="K16" i="1"/>
  <c r="L22" i="1" s="1"/>
  <c r="L23" i="1" s="1"/>
  <c r="D29" i="59"/>
  <c r="T29" i="59"/>
  <c r="D33" i="59"/>
  <c r="T33" i="59"/>
  <c r="D25" i="59"/>
  <c r="T25" i="59"/>
  <c r="B24" i="31"/>
  <c r="D42" i="69"/>
  <c r="N38" i="69"/>
  <c r="K28" i="69" s="1"/>
  <c r="N38" i="72"/>
  <c r="K28" i="72" s="1"/>
  <c r="D42" i="72"/>
  <c r="D42" i="71"/>
  <c r="N38" i="71"/>
  <c r="K28" i="71" s="1"/>
  <c r="E48" i="21"/>
  <c r="E53" i="21" s="1"/>
  <c r="F53" i="21" s="1"/>
  <c r="S12" i="39"/>
  <c r="AA12" i="39"/>
  <c r="AC6" i="3"/>
  <c r="E6" i="3" s="1"/>
  <c r="U12" i="39"/>
  <c r="AB12" i="39"/>
  <c r="I19" i="6"/>
  <c r="M27" i="6"/>
  <c r="S12" i="40"/>
  <c r="AA12" i="40"/>
  <c r="W12" i="39"/>
  <c r="AC12" i="39"/>
  <c r="U12" i="40"/>
  <c r="AB12" i="40"/>
  <c r="G33" i="46"/>
  <c r="I33" i="46" s="1"/>
  <c r="E37" i="46"/>
  <c r="E35" i="46"/>
  <c r="E38"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P12" i="1"/>
  <c r="D13" i="11"/>
  <c r="C13" i="11" s="1"/>
  <c r="D22" i="12"/>
  <c r="C22" i="12" s="1"/>
  <c r="C20" i="12" s="1"/>
  <c r="D19" i="12"/>
  <c r="C19" i="12" s="1"/>
  <c r="C16" i="12"/>
  <c r="F67" i="40"/>
  <c r="G65" i="40"/>
  <c r="C50" i="34"/>
  <c r="B3" i="34" s="1"/>
  <c r="B2" i="34" s="1"/>
  <c r="C49" i="34"/>
  <c r="G70" i="39"/>
  <c r="F72" i="39"/>
  <c r="R49" i="33"/>
  <c r="E48" i="33"/>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E29" i="46"/>
  <c r="C27" i="46"/>
  <c r="C65" i="15"/>
  <c r="C59" i="15"/>
  <c r="B5" i="11"/>
  <c r="B3" i="11"/>
  <c r="B4" i="11"/>
  <c r="C38" i="15"/>
  <c r="Q58" i="44"/>
  <c r="Q67" i="44"/>
  <c r="Q49" i="44"/>
  <c r="Q55" i="44" s="1"/>
  <c r="F7" i="67"/>
  <c r="T13" i="59" l="1"/>
  <c r="C12" i="59"/>
  <c r="D13" i="59"/>
  <c r="J24" i="15"/>
  <c r="N22" i="1"/>
  <c r="N23" i="1"/>
  <c r="O14" i="1"/>
  <c r="P14" i="1" s="1"/>
  <c r="T8" i="1"/>
  <c r="T12" i="1"/>
  <c r="T10" i="1"/>
  <c r="T6" i="1"/>
  <c r="T7" i="1"/>
  <c r="T9" i="1"/>
  <c r="T13" i="1"/>
  <c r="T11" i="1"/>
  <c r="T16" i="1" s="1"/>
  <c r="K38" i="72"/>
  <c r="E46" i="72"/>
  <c r="F46" i="72"/>
  <c r="K38" i="71"/>
  <c r="F45" i="72"/>
  <c r="E45" i="72"/>
  <c r="K38" i="69"/>
  <c r="E46" i="69"/>
  <c r="E46" i="71"/>
  <c r="F45" i="71"/>
  <c r="E45" i="71"/>
  <c r="F45" i="69"/>
  <c r="E45" i="69"/>
  <c r="F46" i="69"/>
  <c r="F46" i="71"/>
  <c r="G22" i="71"/>
  <c r="G22" i="69"/>
  <c r="G22" i="72"/>
  <c r="C35" i="72"/>
  <c r="F42" i="72" s="1"/>
  <c r="C35" i="69"/>
  <c r="F42" i="69" s="1"/>
  <c r="C34" i="72"/>
  <c r="C35" i="71"/>
  <c r="F42" i="71" s="1"/>
  <c r="C34" i="69"/>
  <c r="C34" i="71"/>
  <c r="F44" i="72"/>
  <c r="E44" i="72"/>
  <c r="F44" i="71"/>
  <c r="E44" i="69"/>
  <c r="E44" i="71"/>
  <c r="F44" i="69"/>
  <c r="B22" i="31"/>
  <c r="C25" i="31"/>
  <c r="C27" i="31"/>
  <c r="C26" i="31"/>
  <c r="B2" i="21"/>
  <c r="C10" i="12" s="1"/>
  <c r="C6" i="12" s="1"/>
  <c r="C29" i="12" s="1"/>
  <c r="C8" i="12"/>
  <c r="E52" i="21"/>
  <c r="F52" i="21" s="1"/>
  <c r="I53" i="21"/>
  <c r="J53" i="21" s="1"/>
  <c r="I27" i="6"/>
  <c r="S19" i="6"/>
  <c r="S27" i="6" s="1"/>
  <c r="C22" i="4"/>
  <c r="D21" i="6"/>
  <c r="D10" i="6"/>
  <c r="H21" i="6"/>
  <c r="D6" i="6"/>
  <c r="D14" i="6"/>
  <c r="D20" i="6"/>
  <c r="H23" i="6"/>
  <c r="F45" i="9"/>
  <c r="E68" i="39"/>
  <c r="D24" i="6"/>
  <c r="H20" i="6"/>
  <c r="D9" i="6"/>
  <c r="D29" i="6"/>
  <c r="D15" i="6"/>
  <c r="E46" i="9"/>
  <c r="E63" i="40"/>
  <c r="D19" i="6"/>
  <c r="D25" i="6"/>
  <c r="D13" i="6"/>
  <c r="H24" i="6"/>
  <c r="D23" i="6"/>
  <c r="D28" i="6"/>
  <c r="D8" i="6"/>
  <c r="E45" i="9"/>
  <c r="K38" i="9"/>
  <c r="C14" i="66" s="1"/>
  <c r="C17" i="31" s="1"/>
  <c r="D26" i="6"/>
  <c r="D22" i="6"/>
  <c r="D12" i="6"/>
  <c r="H25" i="6"/>
  <c r="D5" i="6"/>
  <c r="H22" i="6"/>
  <c r="H26" i="6"/>
  <c r="F46" i="9"/>
  <c r="H19" i="6"/>
  <c r="D11"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6" i="44"/>
  <c r="C14" i="15"/>
  <c r="E7" i="67"/>
  <c r="B7" i="67"/>
  <c r="D12" i="59" l="1"/>
  <c r="C11" i="59"/>
  <c r="C18" i="15"/>
  <c r="C15" i="15"/>
  <c r="C17" i="44"/>
  <c r="C20" i="44"/>
  <c r="N24" i="1"/>
  <c r="M24" i="1" s="1"/>
  <c r="L6" i="1" s="1"/>
  <c r="D30" i="6"/>
  <c r="M38" i="71"/>
  <c r="K27" i="71" s="1"/>
  <c r="E42" i="71"/>
  <c r="E42" i="69"/>
  <c r="M38" i="69"/>
  <c r="K27" i="69" s="1"/>
  <c r="E42" i="72"/>
  <c r="M38" i="72"/>
  <c r="K27" i="72" s="1"/>
  <c r="C24" i="12"/>
  <c r="H27" i="6"/>
  <c r="D16" i="6"/>
  <c r="R23" i="6"/>
  <c r="R24" i="6"/>
  <c r="R20" i="6"/>
  <c r="R22" i="6"/>
  <c r="R25" i="6"/>
  <c r="R21" i="6"/>
  <c r="R26" i="6"/>
  <c r="R19" i="6"/>
  <c r="D27" i="6"/>
  <c r="A6" i="51"/>
  <c r="B7" i="63" s="1"/>
  <c r="A6" i="64"/>
  <c r="A20" i="51"/>
  <c r="B15" i="63" s="1"/>
  <c r="N5" i="54"/>
  <c r="B43" i="63" s="1"/>
  <c r="A20" i="64"/>
  <c r="I65" i="40"/>
  <c r="H67" i="40"/>
  <c r="H72" i="39"/>
  <c r="I70" i="39"/>
  <c r="N46" i="36"/>
  <c r="E3" i="67"/>
  <c r="B2" i="67"/>
  <c r="D4" i="46"/>
  <c r="B3" i="46"/>
  <c r="B4" i="46"/>
  <c r="D11" i="59" l="1"/>
  <c r="C10" i="59"/>
  <c r="C21" i="44"/>
  <c r="C22" i="44" s="1"/>
  <c r="C19" i="15"/>
  <c r="C20" i="15" s="1"/>
  <c r="C26" i="15" s="1"/>
  <c r="M6" i="1"/>
  <c r="D31" i="6"/>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194"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27" i="31"/>
  <c r="Q364" i="31"/>
  <c r="Q366" i="31"/>
  <c r="Q368" i="31"/>
  <c r="Q370"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5" i="31"/>
  <c r="Q26" i="31"/>
  <c r="Q28" i="31"/>
  <c r="R27" i="6"/>
  <c r="R6" i="1"/>
  <c r="R16" i="1" s="1"/>
  <c r="I5" i="6"/>
  <c r="I6" i="6"/>
  <c r="O46" i="36"/>
  <c r="J7" i="36" s="1"/>
  <c r="H7" i="36"/>
  <c r="J65" i="40"/>
  <c r="I67" i="40"/>
  <c r="J70" i="39"/>
  <c r="I72" i="39"/>
  <c r="B3" i="67"/>
  <c r="B4" i="67"/>
  <c r="D10" i="59" l="1"/>
  <c r="C9" i="59"/>
  <c r="C28" i="44"/>
  <c r="M16" i="1"/>
  <c r="C15" i="43"/>
  <c r="O6" i="1"/>
  <c r="O16" i="1" s="1"/>
  <c r="P6" i="1"/>
  <c r="F7" i="36"/>
  <c r="K70" i="39"/>
  <c r="J72" i="39"/>
  <c r="U7" i="36"/>
  <c r="AB7" i="36"/>
  <c r="T36" i="36" s="1"/>
  <c r="G36" i="36" s="1"/>
  <c r="AC7" i="36"/>
  <c r="V36" i="36" s="1"/>
  <c r="I36" i="36" s="1"/>
  <c r="W7" i="36"/>
  <c r="J67" i="40"/>
  <c r="K65" i="40"/>
  <c r="S7" i="36"/>
  <c r="AA7" i="36"/>
  <c r="R36" i="36" s="1"/>
  <c r="T9" i="59" l="1"/>
  <c r="C8" i="59"/>
  <c r="D9" i="59"/>
  <c r="C15" i="12"/>
  <c r="P16" i="1"/>
  <c r="C13" i="12" s="1"/>
  <c r="C13" i="43"/>
  <c r="L16" i="1"/>
  <c r="N16" i="1"/>
  <c r="C29" i="43" s="1"/>
  <c r="R37" i="36"/>
  <c r="E36" i="36"/>
  <c r="K67" i="40"/>
  <c r="L65" i="40"/>
  <c r="G41" i="36"/>
  <c r="H41" i="36" s="1"/>
  <c r="G40" i="36"/>
  <c r="H40" i="36" s="1"/>
  <c r="I40" i="36"/>
  <c r="J40" i="36" s="1"/>
  <c r="I41" i="36"/>
  <c r="J41" i="36" s="1"/>
  <c r="L70" i="39"/>
  <c r="K72" i="39"/>
  <c r="C7" i="59" l="1"/>
  <c r="D8" i="59"/>
  <c r="C17" i="43"/>
  <c r="C14" i="43"/>
  <c r="C14" i="12"/>
  <c r="C17" i="12"/>
  <c r="L72" i="39"/>
  <c r="M70" i="39"/>
  <c r="M65" i="40"/>
  <c r="L67" i="40"/>
  <c r="E40" i="36"/>
  <c r="F40" i="36" s="1"/>
  <c r="E41" i="36"/>
  <c r="F41" i="36" s="1"/>
  <c r="C37" i="36"/>
  <c r="B3" i="36" s="1"/>
  <c r="B2" i="36" s="1"/>
  <c r="C36" i="36"/>
  <c r="D7" i="59" l="1"/>
  <c r="C6" i="59"/>
  <c r="C18" i="43"/>
  <c r="C19" i="43" s="1"/>
  <c r="C25" i="43" s="1"/>
  <c r="C24" i="43" s="1"/>
  <c r="C18" i="12"/>
  <c r="C23" i="12" s="1"/>
  <c r="C35" i="12" s="1"/>
  <c r="C33" i="12" s="1"/>
  <c r="N65" i="40"/>
  <c r="N67" i="40" s="1"/>
  <c r="M67" i="40"/>
  <c r="N70" i="39"/>
  <c r="N72" i="39" s="1"/>
  <c r="M72" i="39"/>
  <c r="D6" i="59" l="1"/>
  <c r="C5" i="59"/>
  <c r="J9" i="40"/>
  <c r="H9" i="40"/>
  <c r="F9" i="40"/>
  <c r="J9" i="39"/>
  <c r="H9" i="39"/>
  <c r="F9" i="39"/>
  <c r="T5" i="59" l="1"/>
  <c r="D5" i="59"/>
  <c r="M20" i="46"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0" i="9"/>
  <c r="C21"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L44" i="9" l="1"/>
  <c r="G19" i="9"/>
  <c r="D22"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Q72" i="44"/>
  <c r="C39" i="44"/>
  <c r="C43" i="44"/>
  <c r="D21" i="9"/>
  <c r="D20" i="9"/>
  <c r="G20" i="9" l="1"/>
  <c r="R24" i="31" s="1"/>
  <c r="R27" i="31" s="1"/>
  <c r="S27" i="31" s="1"/>
  <c r="D17" i="66" s="1"/>
  <c r="N68" i="72" s="1"/>
  <c r="N69" i="72" s="1"/>
  <c r="G21" i="9"/>
  <c r="N43" i="9"/>
  <c r="C32" i="9"/>
  <c r="G22" i="9"/>
  <c r="L46" i="15"/>
  <c r="J22" i="15"/>
  <c r="J15" i="44"/>
  <c r="J25" i="44" s="1"/>
  <c r="C37" i="15"/>
  <c r="C30" i="15" s="1"/>
  <c r="C39" i="15" s="1"/>
  <c r="C40" i="15" s="1"/>
  <c r="C63" i="15"/>
  <c r="J35" i="15"/>
  <c r="C32" i="44"/>
  <c r="C42" i="44" s="1"/>
  <c r="Q71" i="44" s="1"/>
  <c r="Q70" i="44" s="1"/>
  <c r="C55" i="15"/>
  <c r="C64" i="15" s="1"/>
  <c r="J18" i="44"/>
  <c r="J27" i="44" s="1"/>
  <c r="J16" i="15"/>
  <c r="J25" i="15" s="1"/>
  <c r="M84" i="72" l="1"/>
  <c r="N84" i="72" s="1"/>
  <c r="M88" i="72"/>
  <c r="N88" i="72" s="1"/>
  <c r="M86" i="72"/>
  <c r="N86" i="72" s="1"/>
  <c r="M83" i="72"/>
  <c r="N83" i="72" s="1"/>
  <c r="M87" i="72"/>
  <c r="N87" i="72" s="1"/>
  <c r="M85" i="72"/>
  <c r="N85" i="72" s="1"/>
  <c r="D8" i="70"/>
  <c r="D63" i="72"/>
  <c r="G17" i="66"/>
  <c r="F17" i="66"/>
  <c r="E17" i="66"/>
  <c r="S24" i="31"/>
  <c r="D14" i="66" s="1"/>
  <c r="R26" i="31"/>
  <c r="S26" i="31" s="1"/>
  <c r="D16" i="66" s="1"/>
  <c r="N68" i="71" s="1"/>
  <c r="N69" i="71" s="1"/>
  <c r="R25" i="31"/>
  <c r="S25" i="31" s="1"/>
  <c r="C42" i="9"/>
  <c r="C33" i="9"/>
  <c r="O38" i="9"/>
  <c r="O43" i="9"/>
  <c r="C34" i="9"/>
  <c r="C35" i="9"/>
  <c r="F42" i="9" s="1"/>
  <c r="C57" i="15"/>
  <c r="C66" i="15" s="1"/>
  <c r="C67" i="15" s="1"/>
  <c r="C70" i="15" s="1"/>
  <c r="C44" i="44"/>
  <c r="C45" i="44" s="1"/>
  <c r="L52" i="44" s="1"/>
  <c r="J39" i="15"/>
  <c r="J40" i="15" s="1"/>
  <c r="Q70" i="15"/>
  <c r="Q69" i="15" s="1"/>
  <c r="Q57" i="15"/>
  <c r="B2" i="15"/>
  <c r="B3" i="15" s="1"/>
  <c r="Q48" i="15"/>
  <c r="Q54" i="15" s="1"/>
  <c r="Q66" i="15"/>
  <c r="C43" i="15"/>
  <c r="J42" i="15"/>
  <c r="J43" i="15" s="1"/>
  <c r="L51" i="15"/>
  <c r="G14" i="66" l="1"/>
  <c r="D6" i="70"/>
  <c r="N89" i="72"/>
  <c r="O89" i="72" s="1"/>
  <c r="D7" i="70"/>
  <c r="D63" i="71"/>
  <c r="L57" i="15"/>
  <c r="L60" i="15" s="1"/>
  <c r="Q67" i="15" s="1"/>
  <c r="Q76" i="15" s="1"/>
  <c r="Q68" i="15"/>
  <c r="C96" i="72"/>
  <c r="C91" i="72" s="1"/>
  <c r="D71" i="72"/>
  <c r="D66" i="72" s="1"/>
  <c r="N72" i="72" s="1"/>
  <c r="D70" i="72"/>
  <c r="C111" i="72"/>
  <c r="C104" i="72" s="1"/>
  <c r="C103" i="72"/>
  <c r="C90" i="72"/>
  <c r="C82" i="72"/>
  <c r="C81" i="72" s="1"/>
  <c r="C85" i="72" s="1"/>
  <c r="C86" i="72" s="1"/>
  <c r="D72" i="72" s="1"/>
  <c r="D73" i="72"/>
  <c r="N73" i="72" s="1"/>
  <c r="G16" i="66"/>
  <c r="G15" i="66"/>
  <c r="D63" i="69"/>
  <c r="F16" i="66"/>
  <c r="E16" i="66"/>
  <c r="F15" i="66"/>
  <c r="E15" i="66"/>
  <c r="S22" i="31"/>
  <c r="B2" i="44"/>
  <c r="B3" i="44" s="1"/>
  <c r="C46" i="15"/>
  <c r="N38" i="9"/>
  <c r="K28" i="9" s="1"/>
  <c r="D42" i="9"/>
  <c r="Q5" i="54" s="1"/>
  <c r="B47" i="63" s="1"/>
  <c r="M38" i="9"/>
  <c r="K27" i="9" s="1"/>
  <c r="E42" i="9"/>
  <c r="P5" i="54" s="1"/>
  <c r="B46" i="63" s="1"/>
  <c r="K25" i="9"/>
  <c r="K26" i="9"/>
  <c r="C44" i="9"/>
  <c r="R5" i="54"/>
  <c r="B48" i="63" s="1"/>
  <c r="D63" i="9"/>
  <c r="N68" i="9"/>
  <c r="Q69" i="44"/>
  <c r="L58" i="44"/>
  <c r="L61" i="44" s="1"/>
  <c r="M88" i="71" l="1"/>
  <c r="N88" i="71" s="1"/>
  <c r="Q58" i="15"/>
  <c r="Q63" i="15" s="1"/>
  <c r="C113" i="72"/>
  <c r="C114" i="72" s="1"/>
  <c r="E114" i="72" s="1"/>
  <c r="E115" i="72" s="1"/>
  <c r="C97" i="72"/>
  <c r="D71" i="71"/>
  <c r="D66" i="71" s="1"/>
  <c r="N72" i="71" s="1"/>
  <c r="C111" i="71"/>
  <c r="C104" i="71" s="1"/>
  <c r="D73" i="71"/>
  <c r="N73" i="71" s="1"/>
  <c r="C96" i="71"/>
  <c r="C91" i="71" s="1"/>
  <c r="D70" i="71"/>
  <c r="C103" i="71"/>
  <c r="C82" i="71"/>
  <c r="C81" i="71" s="1"/>
  <c r="C85" i="71" s="1"/>
  <c r="C86" i="71" s="1"/>
  <c r="D72" i="71" s="1"/>
  <c r="C90" i="71"/>
  <c r="C111" i="69"/>
  <c r="C104" i="69" s="1"/>
  <c r="C96" i="69"/>
  <c r="C91" i="69" s="1"/>
  <c r="D70" i="69"/>
  <c r="C103" i="69"/>
  <c r="C82" i="69"/>
  <c r="C81" i="69" s="1"/>
  <c r="C85" i="69" s="1"/>
  <c r="C86" i="69" s="1"/>
  <c r="D72" i="69" s="1"/>
  <c r="D71" i="69"/>
  <c r="D66" i="69" s="1"/>
  <c r="N72" i="69" s="1"/>
  <c r="C90" i="69"/>
  <c r="D73" i="69"/>
  <c r="N73" i="69" s="1"/>
  <c r="B20" i="31"/>
  <c r="R22" i="31"/>
  <c r="B21" i="31" s="1"/>
  <c r="B5" i="44"/>
  <c r="B4" i="44"/>
  <c r="E14" i="66"/>
  <c r="F14" i="66"/>
  <c r="D73" i="9"/>
  <c r="N73" i="9" s="1"/>
  <c r="C96" i="9"/>
  <c r="C91" i="9" s="1"/>
  <c r="C103" i="9"/>
  <c r="C90" i="9"/>
  <c r="C111" i="9"/>
  <c r="C104" i="9" s="1"/>
  <c r="C82" i="9"/>
  <c r="C81" i="9" s="1"/>
  <c r="C85" i="9" s="1"/>
  <c r="C86" i="9" s="1"/>
  <c r="D72" i="9" s="1"/>
  <c r="D70" i="9"/>
  <c r="D71" i="9"/>
  <c r="D66" i="9" s="1"/>
  <c r="N72" i="9" s="1"/>
  <c r="O39" i="9"/>
  <c r="N69" i="9"/>
  <c r="D44" i="9"/>
  <c r="E44" i="9"/>
  <c r="F44" i="9"/>
  <c r="Q59" i="44"/>
  <c r="Q64" i="44" s="1"/>
  <c r="Q68" i="44"/>
  <c r="Q77" i="44" s="1"/>
  <c r="M84" i="71" l="1"/>
  <c r="N84" i="71" s="1"/>
  <c r="M87" i="71"/>
  <c r="N87" i="71" s="1"/>
  <c r="M86" i="71"/>
  <c r="N86" i="71" s="1"/>
  <c r="M85" i="71"/>
  <c r="N85" i="71" s="1"/>
  <c r="M83" i="71"/>
  <c r="N83" i="71" s="1"/>
  <c r="C97" i="71"/>
  <c r="C98" i="71" s="1"/>
  <c r="E98" i="71" s="1"/>
  <c r="E99" i="71" s="1"/>
  <c r="C113" i="71"/>
  <c r="C114" i="71" s="1"/>
  <c r="E114" i="71" s="1"/>
  <c r="E115" i="71" s="1"/>
  <c r="C97" i="69"/>
  <c r="C115" i="72"/>
  <c r="D76" i="72" s="1"/>
  <c r="D74" i="72" s="1"/>
  <c r="N74" i="72" s="1"/>
  <c r="I17" i="66" s="1"/>
  <c r="C98" i="72"/>
  <c r="E98" i="72" s="1"/>
  <c r="E99" i="72" s="1"/>
  <c r="C113" i="69"/>
  <c r="C98" i="69"/>
  <c r="E98" i="69" s="1"/>
  <c r="E99" i="69" s="1"/>
  <c r="C97" i="9"/>
  <c r="M84" i="9"/>
  <c r="N84" i="9" s="1"/>
  <c r="M83" i="9"/>
  <c r="N83" i="9" s="1"/>
  <c r="M86" i="9"/>
  <c r="N86" i="9" s="1"/>
  <c r="M87" i="9"/>
  <c r="N87" i="9" s="1"/>
  <c r="M85" i="9"/>
  <c r="N85" i="9" s="1"/>
  <c r="M88" i="9"/>
  <c r="N88" i="9" s="1"/>
  <c r="K29" i="9"/>
  <c r="K30" i="9" s="1"/>
  <c r="R6" i="54"/>
  <c r="B50" i="63" s="1"/>
  <c r="C113" i="9"/>
  <c r="C98" i="9"/>
  <c r="E98" i="9" s="1"/>
  <c r="E99" i="9" s="1"/>
  <c r="N89" i="71" l="1"/>
  <c r="O89" i="71" s="1"/>
  <c r="O77" i="72"/>
  <c r="O78" i="72" s="1"/>
  <c r="E8" i="70"/>
  <c r="F8" i="70" s="1"/>
  <c r="C99" i="72"/>
  <c r="C99" i="71"/>
  <c r="C115" i="71"/>
  <c r="C99" i="69"/>
  <c r="C114" i="69"/>
  <c r="E114" i="69" s="1"/>
  <c r="E115" i="69" s="1"/>
  <c r="C99" i="9"/>
  <c r="N89" i="9"/>
  <c r="O89" i="9" s="1"/>
  <c r="C114" i="9"/>
  <c r="E114" i="9" s="1"/>
  <c r="E115" i="9" s="1"/>
  <c r="Q77" i="72" l="1"/>
  <c r="O79" i="72"/>
  <c r="D76" i="71"/>
  <c r="D74" i="71" s="1"/>
  <c r="N74" i="71" s="1"/>
  <c r="I16" i="66" s="1"/>
  <c r="C115" i="69"/>
  <c r="D76" i="69" s="1"/>
  <c r="D74" i="69" s="1"/>
  <c r="N74" i="69" s="1"/>
  <c r="C115" i="9"/>
  <c r="D76" i="9" s="1"/>
  <c r="D74" i="9" s="1"/>
  <c r="N74" i="9" s="1"/>
  <c r="I14" i="66" s="1"/>
  <c r="O81" i="72" l="1"/>
  <c r="O80" i="72"/>
  <c r="O77" i="71"/>
  <c r="O78" i="71" s="1"/>
  <c r="E7" i="70"/>
  <c r="F7" i="70" s="1"/>
  <c r="O77" i="69"/>
  <c r="O78" i="69" s="1"/>
  <c r="O77" i="9"/>
  <c r="O78" i="9" s="1"/>
  <c r="E6" i="70"/>
  <c r="F6" i="70" s="1"/>
  <c r="Q77" i="71" l="1"/>
  <c r="Q77" i="9"/>
  <c r="Q77" i="69"/>
  <c r="O79" i="69"/>
  <c r="O81" i="69" s="1"/>
  <c r="O79" i="71"/>
  <c r="O81" i="71" s="1"/>
  <c r="O79" i="9"/>
  <c r="O80" i="69" l="1"/>
  <c r="O80" i="71"/>
  <c r="O81" i="9"/>
  <c r="B8" i="66"/>
  <c r="O80" i="9"/>
  <c r="B18" i="66" l="1"/>
  <c r="B1" i="66" s="1"/>
  <c r="C7" i="66" l="1"/>
  <c r="C8" i="66"/>
  <c r="C18" i="66" l="1"/>
  <c r="B2" i="66" s="1"/>
  <c r="D7" i="66" l="1"/>
  <c r="D8" i="66"/>
  <c r="E30" i="66" l="1"/>
  <c r="D18" i="66" l="1"/>
  <c r="E18" i="66" l="1"/>
  <c r="F18" i="66"/>
  <c r="B5" i="66"/>
  <c r="G18" i="66"/>
  <c r="B6" i="66" s="1"/>
  <c r="D9" i="70"/>
  <c r="D10" i="70" s="1"/>
  <c r="C6" i="66" l="1"/>
  <c r="D6" i="66"/>
  <c r="C5" i="66"/>
  <c r="D5" i="66"/>
  <c r="E9" i="70" l="1"/>
  <c r="F9" i="70" s="1"/>
  <c r="F10"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<sst xmlns="http://schemas.openxmlformats.org/spreadsheetml/2006/main" count="8579" uniqueCount="3176">
  <si>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</si>
  <si>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</si>
  <si>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</si>
  <si>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</si>
  <si>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</si>
  <si>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</si>
  <si>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</si>
  <si>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</si>
  <si>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</si>
  <si>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</si>
  <si>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</si>
  <si>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</si>
  <si>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</si>
  <si>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</si>
  <si>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</si>
  <si>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</si>
  <si>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</si>
  <si>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</si>
  <si>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</si>
  <si>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</si>
  <si>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</si>
  <si>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</si>
  <si>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</si>
  <si>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</si>
  <si>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</si>
  <si>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</si>
  <si>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</si>
  <si>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</si>
  <si>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</si>
  <si>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</si>
  <si>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</si>
  <si>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</si>
  <si>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</si>
  <si>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</si>
  <si>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</si>
  <si>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</si>
  <si>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</si>
  <si>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</si>
  <si>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</si>
  <si>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</si>
  <si>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</si>
  <si>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</si>
  <si>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</si>
  <si>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</si>
  <si>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</si>
  <si>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</si>
  <si>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</si>
  <si>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</si>
  <si>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</si>
  <si>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</si>
  <si>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</si>
  <si>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</si>
  <si>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</si>
  <si>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</si>
  <si>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</si>
  <si>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</si>
  <si>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</si>
  <si>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</si>
  <si>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</si>
  <si>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</si>
  <si>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</si>
  <si>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</si>
  <si>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</si>
  <si>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</si>
  <si>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</si>
  <si>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</si>
  <si>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</si>
  <si>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</si>
  <si>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</si>
  <si>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</si>
  <si>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</si>
  <si>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</si>
  <si>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</si>
  <si>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</si>
  <si>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</si>
  <si>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</si>
  <si>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</si>
  <si>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</si>
  <si>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</si>
  <si>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</si>
  <si>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</si>
  <si>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</si>
  <si>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</si>
  <si>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</si>
  <si>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</si>
  <si>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</si>
  <si>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</si>
  <si>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</si>
  <si>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</si>
  <si>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</si>
  <si>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</si>
  <si>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</si>
  <si>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</si>
  <si>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</si>
  <si>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</si>
  <si>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</si>
  <si>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</si>
  <si>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</si>
  <si>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</si>
  <si>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</si>
  <si>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</si>
  <si>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</si>
  <si>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</si>
  <si>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</si>
  <si>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</si>
  <si>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</si>
  <si>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</si>
  <si>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</si>
  <si>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</si>
  <si>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</si>
  <si>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</si>
  <si>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</si>
  <si>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</si>
  <si>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</si>
  <si>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</si>
  <si>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</si>
  <si>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</si>
  <si>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</si>
  <si>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</si>
  <si>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</si>
  <si>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</si>
  <si>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</si>
  <si>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</si>
  <si>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</si>
  <si>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</si>
  <si>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</si>
  <si>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</si>
  <si>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</si>
  <si>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</si>
  <si>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</si>
  <si>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</si>
  <si>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</si>
  <si>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</si>
  <si>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</si>
  <si>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</si>
  <si>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</si>
  <si>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</si>
  <si>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</si>
  <si>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</si>
  <si>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</si>
  <si>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</si>
  <si>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</si>
  <si>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</si>
  <si>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</si>
  <si>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</si>
  <si>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</si>
  <si>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</si>
  <si>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</si>
  <si>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</si>
  <si>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</si>
  <si>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</si>
  <si>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</si>
  <si>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</si>
  <si>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</si>
  <si>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</si>
  <si>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</si>
  <si>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</si>
  <si>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</si>
  <si>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</si>
  <si>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</si>
  <si>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</si>
  <si>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</si>
  <si>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</si>
  <si>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</si>
  <si>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</si>
  <si>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</si>
  <si>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</si>
  <si>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</si>
  <si>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</si>
  <si>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</si>
  <si>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</si>
  <si>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</si>
  <si>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</si>
  <si>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</si>
  <si>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</si>
  <si>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</si>
  <si>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</si>
  <si>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</si>
  <si>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</si>
  <si>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</si>
  <si>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</si>
  <si>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</si>
  <si>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</si>
  <si>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</si>
  <si>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</si>
  <si>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</si>
  <si>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</si>
  <si>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</si>
  <si>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</si>
  <si>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</si>
  <si>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</si>
  <si>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</si>
  <si>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</si>
  <si>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</si>
  <si>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</si>
  <si>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</si>
  <si>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</si>
  <si>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</si>
  <si>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</si>
  <si>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</si>
  <si>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</si>
  <si>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</si>
  <si>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</si>
  <si>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</si>
  <si>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</si>
  <si>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</si>
  <si>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</si>
  <si>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</si>
  <si>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</si>
  <si>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</si>
  <si>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</si>
  <si>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</si>
  <si>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</si>
  <si>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</si>
  <si>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</si>
  <si>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</si>
  <si>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</si>
  <si>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</si>
  <si>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</si>
  <si>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</si>
  <si>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</si>
  <si>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</si>
  <si>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</si>
  <si>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</si>
  <si>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</si>
  <si>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</si>
  <si>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</si>
  <si>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</si>
  <si>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</si>
  <si>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</si>
  <si>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</si>
  <si>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</si>
  <si>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</si>
  <si>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</si>
  <si>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</si>
  <si>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</si>
  <si>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</si>
  <si>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</si>
  <si>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</si>
  <si>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</si>
  <si>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</si>
  <si>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</si>
  <si>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</si>
  <si>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</si>
  <si>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</si>
  <si>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</si>
  <si>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</si>
  <si>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</si>
  <si>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</si>
  <si>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</si>
  <si>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</si>
  <si>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</si>
  <si>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</si>
  <si>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</si>
  <si>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</si>
  <si>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</si>
  <si>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</si>
  <si>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</si>
  <si>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</si>
  <si>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</si>
  <si>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</si>
  <si>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</si>
  <si>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</si>
  <si>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</si>
  <si>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</si>
  <si>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</si>
  <si>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</si>
  <si>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</si>
  <si>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</si>
  <si>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</si>
  <si>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</si>
  <si>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</si>
  <si>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</si>
  <si>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</si>
  <si>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</si>
  <si>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</si>
  <si>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</si>
  <si>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</si>
  <si>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</si>
  <si>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</si>
  <si>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</si>
  <si>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</si>
  <si>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</si>
  <si>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</si>
  <si>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</si>
  <si>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</si>
  <si>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</si>
  <si>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</si>
  <si>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</si>
  <si>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</si>
  <si>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</si>
  <si>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</si>
  <si>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</si>
  <si>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</si>
  <si>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</si>
  <si>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</si>
  <si>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</si>
  <si>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</si>
  <si>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</si>
  <si>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</si>
  <si>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</si>
  <si>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</si>
  <si>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</si>
  <si>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</si>
  <si>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</si>
  <si>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</si>
  <si>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</si>
  <si>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</si>
  <si>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</si>
  <si>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</si>
  <si>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</si>
  <si>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</si>
  <si>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</si>
  <si>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</si>
  <si>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</si>
  <si>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</si>
  <si>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</si>
  <si>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</si>
  <si>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</si>
  <si>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</si>
  <si>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</si>
  <si>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</si>
  <si>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</si>
  <si>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</si>
  <si>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</si>
  <si>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</si>
  <si>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</si>
  <si>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</si>
  <si>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</si>
  <si>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</si>
  <si>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</si>
  <si>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</si>
  <si>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</si>
  <si>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</si>
  <si>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</si>
  <si>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</si>
  <si>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</si>
  <si>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</si>
  <si>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</si>
  <si>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</si>
  <si>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</si>
  <si>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</si>
  <si>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</si>
  <si>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</si>
  <si>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</si>
  <si>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</si>
  <si>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</si>
  <si>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</si>
  <si>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</si>
  <si>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</si>
  <si>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</si>
  <si>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</si>
  <si>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</si>
  <si>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</si>
  <si>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</si>
  <si>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</si>
  <si>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</si>
  <si>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</si>
  <si>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</si>
  <si>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</si>
  <si>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</si>
  <si>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</si>
  <si>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</si>
  <si>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</si>
  <si>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</si>
  <si>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</si>
  <si>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</si>
  <si>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</si>
  <si>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</si>
  <si>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</si>
  <si>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</si>
  <si>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</si>
  <si>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</si>
  <si>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</si>
  <si>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</si>
  <si>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</si>
  <si>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</si>
  <si>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</si>
  <si>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</si>
  <si>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</si>
  <si>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</si>
  <si>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</si>
  <si>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</si>
  <si>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</si>
  <si>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</si>
  <si>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</si>
  <si>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</si>
  <si>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</si>
  <si>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</si>
  <si>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</si>
  <si>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</si>
  <si>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</si>
  <si>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</si>
  <si>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</si>
  <si>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</si>
  <si>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</si>
  <si>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</si>
  <si>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</si>
  <si>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</si>
  <si>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</si>
  <si>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</si>
  <si>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</si>
  <si>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</si>
  <si>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</si>
  <si>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</si>
  <si>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</si>
  <si>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</si>
  <si>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</si>
  <si>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</si>
  <si>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</si>
  <si>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</si>
  <si>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</si>
  <si>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</si>
  <si>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</si>
  <si>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</si>
  <si>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</si>
  <si>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</si>
  <si>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</si>
  <si>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</si>
  <si>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</si>
  <si>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</si>
  <si>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</si>
  <si>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</si>
  <si>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</si>
  <si>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</si>
  <si>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</si>
  <si>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</si>
  <si>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</si>
  <si>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</si>
  <si>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</si>
  <si>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</si>
  <si>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</si>
  <si>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</si>
  <si>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</si>
  <si>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</si>
  <si>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</si>
  <si>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</si>
  <si>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</si>
  <si>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</si>
  <si>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</si>
  <si>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</si>
  <si>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</si>
  <si>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</si>
  <si>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</si>
  <si>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</si>
  <si>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</si>
  <si>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</si>
  <si>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</si>
  <si>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</si>
  <si>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</si>
  <si>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</si>
  <si>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</si>
  <si>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</si>
  <si>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</si>
  <si>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</si>
  <si>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</si>
  <si>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</si>
  <si>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</si>
  <si>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</si>
  <si>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</si>
  <si>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</si>
  <si>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</si>
  <si>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</si>
  <si>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</si>
  <si>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</si>
  <si>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</si>
  <si>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</si>
  <si>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</si>
  <si>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</si>
  <si>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</si>
  <si>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</si>
  <si>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</si>
  <si>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</si>
  <si>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</si>
  <si>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</si>
  <si>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</si>
  <si>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</si>
  <si>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</si>
  <si>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</si>
  <si>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</si>
  <si>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</si>
  <si>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</si>
  <si>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</si>
  <si>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</si>
  <si>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</si>
  <si>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</si>
  <si>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</si>
  <si>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</si>
  <si>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</si>
  <si>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</si>
  <si>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</si>
  <si>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</si>
  <si>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</si>
  <si>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</si>
  <si>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</si>
  <si>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</si>
  <si>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</si>
  <si>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</si>
  <si>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</si>
  <si>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</si>
  <si>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</si>
  <si>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</si>
  <si>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</si>
  <si>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</si>
  <si>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</si>
  <si>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</si>
  <si>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</si>
  <si>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</si>
  <si>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</si>
  <si>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</si>
  <si>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</si>
  <si>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</si>
  <si>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</si>
  <si>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</si>
  <si>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</si>
  <si>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</si>
  <si>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</si>
  <si>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</si>
  <si>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</si>
  <si>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</si>
  <si>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</si>
  <si>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</si>
  <si>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</si>
  <si>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</si>
  <si>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</si>
  <si>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</si>
  <si>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</si>
  <si>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</si>
  <si>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</si>
  <si>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</si>
  <si>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</si>
  <si>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</si>
  <si>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</si>
  <si>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</si>
  <si>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</si>
  <si>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</si>
  <si>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</si>
  <si>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</si>
  <si>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</si>
  <si>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</si>
  <si>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</si>
  <si>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</si>
  <si>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</si>
  <si>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</si>
  <si>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</si>
  <si>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</si>
  <si>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</si>
  <si>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</si>
  <si>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</si>
  <si>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</si>
  <si>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</si>
  <si>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</si>
  <si>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</si>
  <si>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</si>
  <si>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</si>
  <si>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</si>
  <si>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</si>
  <si>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</si>
  <si>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</si>
  <si>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</si>
  <si>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</si>
  <si>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</si>
  <si>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</si>
  <si>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</si>
  <si>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</si>
  <si>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</si>
  <si>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</si>
  <si>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</si>
  <si>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</si>
  <si>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</si>
  <si>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</si>
  <si>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</si>
  <si>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</si>
  <si>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</si>
  <si>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</si>
  <si>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</si>
  <si>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</si>
  <si>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</si>
  <si>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</si>
  <si>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</si>
  <si>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</si>
  <si>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</si>
  <si>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</si>
  <si>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</si>
  <si>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</si>
  <si>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</si>
  <si>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</si>
  <si>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</si>
  <si>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</si>
  <si>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</si>
  <si>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</si>
  <si>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</si>
  <si>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</si>
  <si>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</si>
  <si>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</si>
  <si>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</si>
  <si>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</si>
  <si>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</si>
  <si>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</si>
  <si>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</si>
  <si>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</si>
  <si>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</si>
  <si>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</si>
  <si>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</si>
  <si>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</si>
  <si>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</si>
  <si>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</si>
  <si>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</si>
  <si>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</si>
  <si>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</si>
  <si>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</si>
  <si>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</si>
  <si>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</si>
  <si>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</si>
  <si>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</si>
  <si>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</si>
  <si>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</si>
  <si>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</si>
  <si>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</si>
  <si>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</si>
  <si>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</si>
  <si>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</si>
  <si>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</si>
  <si>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</si>
  <si>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</si>
  <si>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</si>
  <si>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</si>
  <si>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</si>
  <si>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</si>
  <si>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</si>
  <si>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</si>
  <si>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</si>
  <si>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</si>
  <si>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</si>
  <si>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</si>
  <si>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</si>
  <si>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</si>
  <si>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</si>
  <si>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</si>
  <si>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</si>
  <si>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</si>
  <si>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</si>
  <si>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</si>
  <si>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</si>
  <si>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</si>
  <si>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</si>
  <si>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</si>
  <si>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</si>
  <si>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</si>
  <si>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</si>
  <si>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</si>
  <si>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</si>
  <si>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</si>
  <si>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</si>
  <si>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</si>
  <si>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</si>
  <si>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</si>
  <si>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</si>
  <si>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</si>
  <si>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</si>
  <si>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</si>
  <si>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</si>
  <si>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</si>
  <si>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</si>
  <si>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</si>
  <si>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</si>
  <si>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</si>
  <si>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</si>
  <si>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</si>
  <si>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</si>
  <si>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</si>
  <si>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</si>
  <si>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</si>
  <si>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</si>
  <si>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</si>
  <si>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</si>
  <si>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</si>
  <si>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</si>
  <si>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</si>
  <si>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</si>
  <si>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</si>
  <si>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</si>
  <si>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</si>
  <si>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</si>
  <si>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</si>
  <si>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</si>
  <si>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</si>
  <si>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</si>
  <si>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</si>
  <si>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</si>
  <si>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</si>
  <si>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</si>
  <si>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</si>
  <si>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</si>
  <si>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</si>
  <si>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</si>
  <si>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</si>
  <si>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</si>
  <si>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</si>
  <si>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</si>
  <si>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</si>
  <si>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</si>
  <si>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</si>
  <si>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</si>
  <si>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</si>
  <si>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</si>
  <si>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</si>
  <si>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</si>
  <si>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</si>
  <si>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</si>
  <si>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</si>
  <si>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</si>
  <si>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</si>
  <si>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</si>
  <si>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</si>
  <si>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</si>
  <si>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</si>
  <si>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</si>
  <si>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</si>
  <si>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</si>
  <si>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</si>
  <si>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</si>
  <si>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</si>
  <si>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</si>
  <si>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</si>
  <si>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</si>
  <si>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</si>
  <si>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</si>
  <si>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</si>
  <si>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</si>
  <si>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</si>
  <si>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</si>
  <si>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</si>
  <si>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</si>
  <si>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</si>
  <si>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</si>
  <si>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</si>
  <si>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</si>
  <si>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</si>
  <si>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</si>
  <si>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</si>
  <si>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</si>
  <si>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</si>
  <si>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</si>
  <si>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</si>
  <si>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</si>
  <si>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</si>
  <si>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</si>
  <si>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</si>
  <si>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</si>
  <si>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</si>
  <si>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</si>
  <si>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</si>
  <si>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</si>
  <si>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</si>
  <si>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</si>
  <si>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</si>
  <si>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</si>
  <si>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</si>
  <si>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</si>
  <si>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</si>
  <si>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</si>
  <si>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</si>
  <si>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</si>
  <si>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</si>
  <si>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</si>
  <si>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</si>
  <si>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</si>
  <si>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</si>
  <si>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</si>
  <si>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</si>
  <si>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</si>
  <si>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</si>
  <si>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</si>
  <si>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</si>
  <si>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</si>
  <si>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</si>
  <si>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</si>
  <si>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</si>
  <si>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</si>
  <si>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</si>
  <si>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</si>
  <si>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</si>
  <si>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</si>
  <si>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</si>
  <si>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</si>
  <si>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</si>
  <si>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</si>
  <si>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</si>
  <si>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</si>
  <si>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</si>
  <si>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</si>
  <si>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</si>
  <si>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</si>
  <si>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</si>
  <si>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</si>
  <si>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</si>
  <si>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</si>
  <si>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</si>
  <si>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</si>
  <si>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</si>
  <si>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</si>
  <si>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</si>
  <si>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</si>
  <si>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</si>
  <si>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</si>
  <si>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</si>
  <si>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</si>
  <si>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</si>
  <si>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</si>
  <si>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</si>
  <si>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</si>
  <si>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</si>
  <si>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</si>
  <si>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</si>
  <si>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</si>
  <si>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</si>
  <si>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</si>
  <si>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</si>
  <si>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</si>
  <si>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</si>
  <si>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</si>
  <si>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</si>
  <si>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</si>
  <si>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</si>
  <si>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</si>
  <si>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</si>
  <si>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</si>
  <si>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</si>
  <si>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</si>
  <si>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</si>
  <si>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</si>
  <si>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</si>
  <si>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</si>
  <si>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</si>
  <si>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</si>
  <si>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</si>
  <si>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</si>
  <si>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</si>
  <si>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</si>
  <si>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</si>
  <si>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</si>
  <si>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</si>
  <si>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</si>
  <si>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</si>
  <si>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</si>
  <si>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</si>
  <si>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</si>
  <si>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</si>
  <si>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</si>
  <si>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</si>
  <si>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</si>
  <si>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</si>
  <si>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</si>
  <si>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</si>
  <si>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</si>
  <si>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</si>
  <si>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</si>
  <si>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</si>
  <si>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</si>
  <si>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</si>
  <si>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</si>
  <si>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</si>
  <si>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</si>
  <si>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</si>
  <si>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</si>
  <si>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</si>
  <si>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</si>
  <si>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</si>
  <si>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</si>
  <si>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</si>
  <si>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</si>
  <si>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</si>
  <si>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</si>
  <si>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</si>
  <si>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</si>
  <si>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</si>
  <si>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</si>
  <si>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</si>
  <si>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</si>
  <si>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</si>
  <si>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</si>
  <si>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</si>
  <si>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</si>
  <si>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</si>
  <si>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</si>
  <si>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</si>
  <si>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</si>
  <si>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</si>
  <si>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</si>
  <si>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</si>
  <si>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</si>
  <si>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</si>
  <si>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</si>
  <si>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</si>
  <si>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</si>
  <si>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</si>
  <si>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</si>
  <si>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</si>
  <si>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</si>
  <si>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</si>
  <si>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</si>
  <si>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</si>
  <si>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</si>
  <si>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</si>
  <si>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</si>
  <si>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</si>
  <si>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</si>
  <si>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</si>
  <si>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</si>
  <si>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</si>
  <si>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</si>
  <si>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</si>
  <si>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</si>
  <si>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</si>
  <si>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</si>
  <si>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</si>
  <si>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</si>
  <si>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</si>
  <si>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</si>
  <si>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</si>
  <si>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</si>
  <si>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</si>
  <si>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</si>
  <si>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</si>
  <si>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</si>
  <si>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</si>
  <si>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</si>
  <si>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</si>
  <si>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</si>
  <si>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</si>
  <si>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</si>
  <si>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</si>
  <si>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</si>
  <si>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</si>
  <si>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</si>
  <si>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</si>
  <si>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</si>
  <si>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</si>
  <si>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</si>
  <si>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</si>
  <si>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</si>
  <si>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</si>
  <si>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</si>
  <si>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</si>
  <si>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</si>
  <si>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</si>
  <si>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</si>
  <si>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</si>
  <si>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</si>
  <si>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</si>
  <si>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</si>
  <si>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</si>
  <si>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</si>
  <si>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</si>
  <si>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</si>
  <si>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</si>
  <si>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</si>
  <si>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</si>
  <si>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</si>
  <si>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</si>
  <si>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</si>
  <si>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</si>
  <si>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</si>
  <si>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</si>
  <si>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</si>
  <si>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</si>
  <si>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</si>
  <si>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</si>
  <si>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</si>
  <si>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</si>
  <si>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</si>
  <si>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</si>
  <si>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</si>
  <si>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</si>
  <si>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</si>
  <si>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</si>
  <si>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</si>
  <si>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</si>
  <si>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</si>
  <si>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</si>
  <si>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</si>
  <si>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</si>
  <si>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</si>
  <si>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</si>
  <si>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</si>
  <si>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</si>
  <si>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</si>
  <si>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</si>
  <si>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</si>
  <si>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</si>
  <si>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</si>
  <si>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</si>
  <si>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</si>
  <si>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</si>
  <si>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</si>
  <si>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</si>
  <si>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</si>
  <si>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</si>
  <si>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</si>
  <si>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</si>
  <si>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</si>
  <si>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</si>
  <si>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</si>
  <si>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</si>
  <si>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</si>
  <si>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</si>
  <si>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</si>
  <si>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</si>
  <si>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</si>
  <si>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</si>
  <si>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</si>
  <si>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</si>
  <si>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</si>
  <si>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</si>
  <si>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</si>
  <si>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</si>
  <si>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</si>
  <si>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</si>
  <si>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</si>
  <si>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</si>
  <si>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</si>
  <si>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</si>
  <si>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</si>
  <si>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</si>
  <si>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</si>
  <si>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</si>
  <si>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</si>
  <si>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</si>
  <si>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</si>
  <si>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</si>
  <si>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</si>
  <si>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</si>
  <si>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</si>
  <si>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</si>
  <si>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</si>
  <si>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</si>
  <si>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</si>
  <si>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</si>
  <si>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</si>
  <si>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</si>
  <si>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</si>
  <si>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</si>
  <si>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</si>
  <si>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</si>
  <si>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</si>
  <si>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</si>
  <si>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</si>
  <si>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</si>
  <si>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</si>
  <si>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</si>
  <si>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</si>
  <si>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</si>
  <si>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</si>
  <si>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</si>
  <si>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</si>
  <si>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</si>
  <si>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</si>
  <si>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</si>
  <si>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</si>
  <si>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</si>
  <si>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</si>
  <si>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</si>
  <si>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</si>
  <si>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</si>
  <si>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</si>
  <si>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</si>
  <si>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</si>
  <si>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</si>
  <si>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</si>
  <si>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</si>
  <si>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</si>
  <si>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</si>
  <si>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</si>
  <si>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</si>
  <si>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</si>
  <si>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</si>
  <si>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</si>
  <si>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</si>
  <si>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</si>
  <si>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</si>
  <si>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</si>
  <si>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</si>
  <si>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</si>
  <si>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</si>
  <si>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</si>
  <si>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</si>
  <si>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</si>
  <si>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</si>
  <si>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</si>
  <si>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</si>
  <si>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</si>
  <si>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</si>
  <si>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</si>
  <si>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</si>
  <si>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</si>
  <si>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</si>
  <si>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</si>
  <si>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</si>
  <si>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</si>
  <si>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</si>
  <si>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</si>
  <si>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</si>
  <si>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</si>
  <si>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</si>
  <si>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</si>
  <si>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</si>
  <si>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</si>
  <si>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</si>
  <si>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</si>
  <si>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</si>
  <si>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</si>
  <si>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</si>
  <si>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</si>
  <si>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</si>
  <si>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</si>
  <si>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</si>
  <si>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</si>
  <si>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</si>
  <si>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</si>
  <si>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</si>
  <si>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</si>
  <si>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</si>
  <si>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</si>
  <si>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</si>
  <si>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</si>
  <si>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</si>
  <si>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</si>
  <si>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</si>
  <si>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</si>
  <si>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</si>
  <si>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</si>
  <si>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</si>
  <si>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</si>
  <si>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</si>
  <si>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</si>
  <si>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</si>
  <si>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</si>
  <si>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</si>
  <si>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</si>
  <si>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</si>
  <si>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</si>
  <si>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</si>
  <si>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</si>
  <si>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</si>
  <si>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</si>
  <si>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</si>
  <si>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</si>
  <si>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</si>
  <si>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</si>
  <si>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</si>
  <si>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</si>
  <si>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</si>
  <si>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</si>
  <si>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</si>
  <si>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</si>
  <si>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</si>
  <si>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</si>
  <si>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</si>
  <si>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</si>
  <si>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</si>
  <si>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</si>
  <si>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</si>
  <si>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</si>
  <si>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</si>
  <si>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</si>
  <si>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</si>
  <si>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</si>
  <si>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</si>
  <si>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</si>
  <si>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</si>
  <si>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</si>
  <si>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</si>
  <si>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</si>
  <si>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</si>
  <si>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</si>
  <si>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</si>
  <si>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</si>
  <si>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</si>
  <si>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</si>
  <si>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</si>
  <si>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</si>
  <si>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</si>
  <si>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</si>
  <si>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</si>
  <si>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</si>
  <si>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</si>
  <si>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</si>
  <si>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</si>
  <si>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</si>
  <si>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</si>
  <si>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</si>
  <si>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</si>
  <si>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</si>
  <si>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</si>
  <si>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</si>
  <si>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</si>
  <si>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</si>
  <si>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</si>
  <si>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</si>
  <si>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</si>
  <si>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</si>
  <si>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</si>
  <si>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</si>
  <si>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</si>
  <si>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</si>
  <si>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</si>
  <si>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</si>
  <si>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</si>
  <si>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</si>
  <si>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</si>
  <si>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</si>
  <si>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</si>
  <si>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</si>
  <si>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</si>
  <si>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</si>
  <si>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</si>
  <si>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</si>
  <si>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</si>
  <si>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</si>
  <si>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</si>
  <si>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</si>
  <si>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</si>
  <si>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</si>
  <si>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</si>
  <si>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</si>
  <si>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</si>
  <si>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</si>
  <si>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</si>
  <si>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</si>
  <si>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</si>
  <si>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</si>
  <si>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</si>
  <si>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</si>
  <si>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</si>
  <si>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</si>
  <si>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</si>
  <si>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</si>
  <si>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</si>
  <si>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</si>
  <si>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</si>
  <si>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</si>
  <si>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</si>
  <si>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</si>
  <si>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</si>
  <si>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</si>
  <si>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</si>
  <si>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</si>
  <si>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</si>
  <si>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</si>
  <si>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</si>
  <si>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</si>
  <si>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</si>
  <si>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</si>
  <si>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</si>
  <si>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</si>
  <si>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</si>
  <si>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</si>
  <si>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</si>
  <si>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</si>
  <si>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</si>
  <si>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</si>
  <si>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</si>
  <si>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</si>
  <si>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</si>
  <si>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</si>
  <si>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</si>
  <si>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</si>
  <si>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</si>
  <si>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</si>
  <si>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</si>
  <si>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</si>
  <si>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</si>
  <si>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</si>
  <si>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</si>
  <si>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</si>
  <si>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</si>
  <si>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</si>
  <si>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</si>
  <si>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</si>
  <si>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</si>
  <si>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</si>
  <si>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</si>
  <si>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</si>
  <si>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</si>
  <si>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</si>
  <si>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</si>
  <si>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</si>
  <si>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</si>
  <si>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</si>
  <si>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</si>
  <si>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</si>
  <si>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</si>
  <si>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</si>
  <si>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</si>
  <si>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</si>
  <si>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</si>
  <si>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</si>
  <si>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</si>
  <si>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</si>
  <si>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</si>
  <si>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</si>
  <si>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</si>
  <si>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</si>
  <si>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</si>
  <si>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</si>
  <si>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</si>
  <si>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</si>
  <si>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</si>
  <si>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</si>
  <si>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</si>
  <si>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</si>
  <si>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</si>
  <si>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</si>
  <si>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</si>
  <si>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</si>
  <si>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</si>
  <si>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</si>
  <si>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</si>
  <si>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</si>
  <si>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</si>
  <si>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</si>
  <si>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</si>
  <si>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</si>
  <si>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</si>
  <si>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</si>
  <si>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</si>
  <si>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</si>
  <si>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</si>
  <si>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</si>
  <si>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</si>
  <si>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</si>
  <si>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</si>
  <si>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</si>
  <si>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</si>
  <si>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</si>
  <si>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</si>
  <si>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</si>
  <si>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</si>
  <si>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</si>
  <si>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</si>
  <si>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</si>
  <si>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</si>
  <si>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</si>
  <si>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</si>
  <si>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</si>
  <si>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</si>
  <si>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</si>
  <si>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</si>
  <si>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</si>
  <si>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</si>
  <si>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</si>
  <si>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</si>
  <si>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</si>
  <si>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</si>
  <si>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</si>
  <si>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</si>
  <si>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</si>
  <si>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</si>
  <si>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</si>
  <si>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</si>
  <si>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</si>
  <si>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</si>
  <si>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</si>
  <si>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</si>
  <si>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</si>
  <si>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</si>
  <si>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</si>
  <si>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</si>
  <si>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</si>
  <si>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</si>
  <si>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</si>
  <si>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</si>
  <si>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</si>
  <si>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</si>
  <si>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</si>
  <si>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</si>
  <si>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</si>
  <si>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</si>
  <si>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</si>
  <si>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</si>
  <si>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</si>
  <si>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</si>
  <si>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</si>
  <si>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</si>
  <si>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</si>
  <si>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</si>
  <si>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</si>
  <si>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</si>
  <si>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</si>
  <si>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</si>
  <si>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</si>
  <si>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</si>
  <si>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</si>
  <si>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</si>
  <si>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</si>
  <si>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</si>
  <si>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</si>
  <si>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</si>
  <si>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</si>
  <si>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</si>
  <si>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</si>
  <si>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</si>
  <si>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</si>
  <si>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</si>
  <si>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</si>
  <si>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</si>
  <si>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</si>
  <si>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</si>
  <si>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</si>
  <si>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</si>
  <si>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</si>
  <si>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</si>
  <si>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</si>
  <si>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</si>
  <si>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</si>
  <si>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</si>
  <si>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</si>
  <si>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</si>
  <si>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</si>
  <si>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</si>
  <si>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</si>
  <si>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</si>
  <si>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</si>
  <si>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</si>
  <si>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</si>
  <si>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</si>
  <si>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</si>
  <si>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</si>
  <si>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</si>
  <si>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</si>
  <si>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</si>
  <si>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</si>
  <si>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</si>
  <si>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</si>
  <si>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</si>
  <si>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</si>
  <si>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</si>
  <si>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</si>
  <si>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</si>
  <si>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</si>
  <si>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</si>
  <si>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</si>
  <si>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</si>
  <si>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</si>
  <si>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</si>
  <si>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</si>
  <si>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</si>
  <si>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</si>
  <si>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</si>
  <si>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</si>
  <si>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</si>
  <si>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</si>
  <si>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</si>
  <si>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</si>
  <si>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</si>
  <si>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</si>
  <si>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</si>
  <si>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</si>
  <si>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</si>
  <si>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</si>
  <si>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</si>
  <si>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</si>
  <si>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</si>
  <si>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</si>
  <si>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</si>
  <si>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</si>
  <si>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</si>
  <si>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</si>
  <si>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</si>
  <si>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</si>
  <si>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</si>
  <si>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</si>
  <si>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</si>
  <si>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</si>
  <si>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</si>
  <si>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</si>
  <si>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</si>
  <si>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</si>
  <si>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</si>
  <si>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</si>
  <si>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</si>
  <si>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</si>
  <si>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</si>
  <si>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</si>
  <si>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</si>
  <si>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</si>
  <si>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</si>
  <si>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</si>
  <si>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</si>
  <si>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</si>
  <si>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</si>
  <si>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</si>
  <si>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</si>
  <si>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</si>
  <si>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</si>
  <si>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</si>
  <si>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</si>
  <si>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</si>
  <si>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</si>
  <si>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</si>
  <si>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</si>
  <si>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</si>
  <si>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</si>
  <si>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</si>
  <si>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</si>
  <si>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</si>
  <si>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</si>
  <si>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</si>
  <si>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</si>
  <si>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</si>
  <si>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</si>
  <si>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</si>
  <si>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</si>
  <si>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</si>
  <si>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</si>
  <si>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</si>
  <si>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</si>
  <si>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</si>
  <si>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</si>
  <si>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</si>
  <si>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</si>
  <si>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</si>
  <si>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</si>
  <si>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</si>
  <si>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</si>
  <si>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</si>
  <si>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</si>
  <si>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</si>
  <si>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</si>
  <si>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</si>
  <si>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</si>
  <si>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</si>
  <si>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</si>
  <si>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</si>
  <si>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</si>
  <si>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</si>
  <si>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</si>
  <si>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</si>
  <si>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</si>
  <si>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</si>
  <si>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</si>
  <si>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</si>
  <si>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</si>
  <si>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</si>
  <si>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</si>
  <si>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</si>
  <si>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</si>
  <si>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</si>
  <si>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</si>
  <si>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</si>
  <si>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</si>
  <si>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</si>
  <si>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</si>
  <si>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</si>
  <si>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</si>
  <si>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</si>
  <si>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</si>
  <si>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</si>
  <si>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</si>
  <si>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</si>
  <si>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</si>
  <si>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</si>
  <si>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</si>
  <si>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</si>
  <si>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</si>
  <si>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</si>
  <si>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</si>
  <si>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</si>
  <si>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</si>
  <si>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</si>
  <si>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</si>
  <si>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</si>
  <si>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</si>
  <si>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</si>
  <si>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</si>
  <si>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</si>
  <si>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</si>
  <si>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</si>
  <si>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</si>
  <si>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</si>
  <si>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</si>
  <si>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</si>
  <si>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</si>
  <si>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</si>
  <si>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</si>
  <si>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</si>
  <si>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</si>
  <si>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</si>
  <si>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</si>
  <si>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</si>
  <si>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</si>
  <si>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</si>
  <si>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</si>
  <si>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</si>
  <si>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</si>
  <si>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</si>
  <si>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</si>
  <si>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</si>
  <si>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</si>
  <si>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</si>
  <si>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</si>
  <si>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</si>
  <si>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</si>
  <si>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</si>
  <si>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</si>
  <si>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</si>
  <si>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</si>
  <si>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</si>
  <si>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</si>
  <si>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</si>
  <si>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</si>
  <si>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</si>
  <si>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</si>
  <si>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</si>
  <si>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</si>
  <si>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</si>
  <si>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</si>
  <si>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</si>
  <si>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</si>
  <si>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</si>
  <si>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</si>
  <si>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</si>
  <si>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</si>
  <si>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</si>
  <si>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</si>
  <si>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</si>
  <si>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</si>
  <si>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</si>
  <si>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</si>
  <si>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</si>
  <si>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</si>
  <si>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</si>
  <si>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</si>
  <si>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</si>
  <si>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</si>
  <si>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</si>
  <si>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</si>
  <si>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</si>
  <si>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</si>
  <si>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</si>
  <si>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</si>
  <si>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</si>
  <si>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</si>
  <si>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</si>
  <si>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</si>
  <si>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</si>
  <si>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</si>
  <si>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</si>
  <si>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</si>
  <si>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</si>
  <si>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</si>
  <si>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</si>
  <si>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</si>
  <si>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</si>
  <si>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</si>
  <si>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</si>
  <si>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</si>
  <si>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</si>
  <si>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</si>
  <si>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</si>
  <si>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</si>
  <si>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</si>
  <si>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</si>
  <si>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</si>
  <si>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</si>
  <si>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</si>
  <si>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</si>
  <si>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</si>
  <si>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</si>
  <si>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</si>
  <si>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</si>
  <si>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</si>
  <si>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</si>
  <si>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</si>
  <si>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</si>
  <si>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</si>
  <si>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</si>
  <si>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</si>
  <si>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</si>
  <si>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</si>
  <si>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</si>
  <si>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</si>
  <si>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</si>
  <si>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</si>
  <si>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</si>
  <si>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</si>
  <si>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</si>
  <si>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</si>
  <si>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</si>
  <si>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</si>
  <si>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</si>
  <si>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</si>
  <si>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</si>
  <si>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</si>
  <si>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</si>
  <si>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</si>
  <si>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</si>
  <si>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</si>
  <si>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</si>
  <si>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</si>
  <si>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</si>
  <si>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</si>
  <si>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</si>
  <si>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</si>
  <si>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</si>
  <si>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</si>
  <si>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</si>
  <si>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</si>
  <si>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</si>
  <si>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</si>
  <si>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</si>
  <si>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</si>
  <si>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</si>
  <si>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</si>
  <si>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</si>
  <si>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</si>
  <si>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</si>
  <si>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</si>
  <si>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</si>
  <si>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</si>
  <si>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</si>
  <si>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</si>
  <si>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</si>
  <si>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</si>
  <si>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</si>
  <si>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</si>
  <si>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</si>
  <si>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</si>
  <si>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</si>
  <si>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</si>
  <si>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</si>
  <si>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</si>
  <si>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</si>
  <si>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</si>
  <si>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</si>
  <si>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</si>
  <si>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</si>
  <si>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</si>
  <si>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</si>
  <si>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</si>
  <si>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</si>
  <si>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</si>
  <si>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</si>
  <si>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</si>
  <si>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</si>
  <si>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</si>
  <si>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</si>
  <si>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</si>
  <si>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</si>
  <si>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</si>
  <si>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</si>
  <si>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</si>
  <si>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</si>
  <si>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</si>
  <si>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</si>
  <si>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</si>
  <si>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</si>
  <si>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</si>
  <si>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</si>
  <si>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</si>
  <si>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</si>
  <si>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</si>
  <si>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</si>
  <si>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</si>
  <si>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</si>
  <si>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</si>
  <si>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</si>
  <si>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</si>
  <si>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</si>
  <si>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</si>
  <si>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</si>
  <si>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</si>
  <si>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</si>
  <si>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</si>
  <si>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</si>
  <si>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</si>
  <si>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</si>
  <si>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</si>
  <si>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</si>
  <si>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</si>
  <si>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</si>
  <si>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</si>
  <si>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</si>
  <si>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</si>
  <si>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</si>
  <si>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</si>
  <si>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</si>
  <si>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</si>
  <si>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</si>
  <si>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</si>
  <si>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</si>
  <si>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</si>
  <si>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</si>
  <si>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</si>
  <si>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</si>
  <si>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</si>
  <si>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</si>
  <si>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</si>
  <si>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</si>
  <si>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</si>
  <si>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</si>
  <si>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</si>
  <si>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</si>
  <si>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</si>
  <si>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</si>
  <si>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</si>
  <si>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</si>
  <si>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</si>
  <si>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</si>
  <si>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</si>
  <si>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</si>
  <si>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</si>
  <si>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</si>
  <si>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</si>
  <si>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</si>
  <si>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</si>
  <si>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</si>
  <si>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</si>
  <si>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</si>
  <si>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</si>
  <si>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</si>
  <si>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</si>
  <si>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</si>
  <si>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</si>
  <si>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</si>
  <si>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</si>
  <si>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</si>
  <si>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</si>
  <si>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</si>
  <si>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</si>
  <si>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</si>
  <si>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</si>
  <si>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</si>
  <si>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</si>
  <si>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</si>
  <si>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</si>
  <si>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</si>
  <si>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</si>
  <si>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</si>
  <si>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</si>
  <si>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</si>
  <si>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</si>
  <si>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</si>
  <si>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</si>
  <si>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</si>
  <si>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</si>
  <si>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</si>
  <si>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</si>
  <si>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</si>
  <si>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</si>
  <si>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</si>
  <si>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</si>
  <si>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</si>
  <si>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</si>
  <si>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</si>
  <si>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</si>
  <si>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</si>
  <si>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</si>
  <si>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</si>
  <si>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</si>
  <si>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</si>
  <si>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</si>
  <si>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</si>
  <si>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</si>
  <si>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</si>
  <si>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</si>
  <si>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</si>
  <si>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</si>
  <si>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</si>
  <si>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</si>
  <si>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</si>
  <si>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</si>
  <si>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</si>
  <si>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</si>
  <si>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</si>
  <si>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</si>
  <si>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</si>
  <si>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</si>
  <si>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</si>
  <si>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</si>
  <si>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</si>
  <si>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</si>
  <si>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</si>
  <si>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</si>
  <si>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</si>
  <si>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</si>
  <si>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</si>
  <si>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</si>
  <si>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</si>
  <si>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</si>
  <si>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</si>
  <si>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</si>
  <si>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</si>
  <si>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</si>
  <si>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</si>
  <si>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</si>
  <si>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</si>
  <si>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</si>
  <si>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</si>
  <si>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</si>
  <si>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</si>
  <si>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</si>
  <si>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</si>
  <si>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</si>
  <si>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</si>
  <si>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</si>
  <si>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</si>
  <si>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</si>
  <si>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</si>
  <si>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</si>
  <si>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</si>
  <si>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</si>
  <si>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</si>
  <si>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</si>
  <si>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</si>
  <si>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</si>
  <si>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</si>
  <si>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</si>
  <si>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</si>
  <si>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</si>
  <si>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</si>
  <si>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</si>
  <si>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</si>
  <si>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</si>
  <si>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</si>
  <si>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</si>
  <si>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</si>
  <si>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</si>
  <si>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</si>
  <si>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</si>
  <si>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</si>
  <si>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</si>
  <si>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</si>
  <si>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</si>
  <si>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</si>
  <si>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</si>
  <si>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</si>
  <si>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</si>
  <si>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</si>
  <si>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</si>
  <si>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</si>
  <si>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</si>
  <si>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</si>
  <si>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</si>
  <si>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</si>
  <si>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</si>
  <si>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</si>
  <si>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</si>
  <si>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</si>
  <si>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</si>
  <si>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</si>
  <si>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</si>
  <si>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</si>
  <si>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</si>
  <si>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</si>
  <si>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</si>
  <si>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</si>
  <si>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</si>
  <si>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</si>
  <si>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</si>
  <si>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</si>
  <si>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</si>
  <si>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</si>
  <si>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</si>
  <si>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</si>
  <si>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</si>
  <si>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</si>
  <si>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</si>
  <si>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</si>
  <si>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</si>
  <si>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</si>
  <si>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</si>
  <si>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</si>
  <si>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</si>
  <si>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</si>
  <si>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</si>
  <si>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</si>
  <si>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</si>
  <si>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</si>
  <si>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</si>
  <si>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</si>
  <si>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</si>
  <si>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</si>
  <si>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</si>
  <si>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</si>
  <si>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</si>
  <si>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</si>
  <si>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</si>
  <si>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</si>
  <si>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</si>
  <si>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</si>
  <si>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</si>
  <si>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</si>
  <si>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</si>
  <si>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</si>
  <si>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</si>
  <si>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</si>
  <si>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</si>
  <si>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</si>
  <si>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</si>
  <si>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</si>
  <si>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</si>
  <si>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</si>
  <si>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</si>
  <si>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</si>
  <si>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</si>
  <si>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</si>
  <si>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</si>
  <si>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</si>
  <si>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</si>
  <si>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</si>
  <si>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</si>
  <si>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</si>
  <si>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</si>
  <si>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</si>
  <si>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</si>
  <si>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</si>
  <si>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</si>
  <si>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</si>
  <si>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</si>
  <si>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</si>
  <si>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</si>
  <si>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</si>
  <si>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</si>
  <si>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</si>
  <si>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</si>
  <si>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</si>
  <si>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</si>
  <si>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</si>
  <si>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</si>
  <si>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</si>
  <si>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</si>
  <si>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</si>
  <si>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</si>
  <si>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</si>
  <si>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</si>
  <si>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</si>
  <si>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</si>
  <si>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</si>
  <si>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</si>
  <si>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</si>
  <si>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</si>
  <si>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</si>
  <si>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</si>
  <si>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</si>
  <si>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</si>
  <si>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</si>
  <si>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</si>
  <si>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</si>
  <si>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</si>
  <si>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</si>
  <si>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</si>
  <si>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</si>
  <si>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</si>
  <si>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</si>
  <si>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</si>
  <si>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</si>
  <si>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</si>
  <si>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</si>
  <si>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</si>
  <si>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</si>
  <si>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</si>
  <si>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</si>
  <si>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</si>
  <si>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</si>
  <si>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</si>
  <si>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</si>
  <si>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</si>
  <si>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</si>
  <si>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</si>
  <si>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</si>
  <si>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</si>
  <si>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</si>
  <si>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</si>
  <si>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</si>
  <si>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</si>
  <si>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</si>
  <si>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</si>
  <si>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</si>
  <si>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</si>
  <si>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</si>
  <si>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</si>
  <si>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</si>
  <si>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</si>
  <si>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</si>
  <si>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</si>
  <si>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</si>
  <si>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</si>
  <si>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</si>
  <si>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</si>
  <si>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</si>
  <si>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</si>
  <si>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</si>
  <si>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</si>
  <si>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</si>
  <si>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</si>
  <si>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</si>
  <si>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</si>
  <si>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</si>
  <si>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</si>
  <si>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</si>
  <si>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</si>
  <si>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</si>
  <si>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</si>
  <si>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</si>
  <si>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</si>
  <si>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</si>
  <si>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</si>
  <si>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</si>
  <si>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</si>
  <si>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</si>
  <si>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</si>
  <si>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</si>
  <si>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</si>
  <si>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</si>
  <si>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</si>
  <si>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</si>
  <si>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</si>
  <si>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</si>
  <si>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</si>
  <si>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</si>
  <si>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</si>
  <si>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</si>
  <si>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</si>
  <si>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</si>
  <si>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</si>
  <si>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</si>
  <si>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</si>
  <si>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</si>
  <si>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</si>
  <si>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</si>
  <si>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</si>
  <si>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</si>
  <si>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</si>
  <si>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</si>
  <si>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</si>
  <si>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</si>
  <si>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</si>
  <si>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</si>
  <si>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</si>
  <si>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</si>
  <si>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</si>
  <si>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</si>
  <si>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</si>
  <si>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</si>
  <si>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</si>
  <si>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</si>
  <si>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</si>
  <si>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</si>
  <si>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</si>
  <si>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</si>
  <si>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</si>
  <si>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</si>
  <si>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</si>
  <si>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</si>
  <si>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</si>
  <si>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</si>
  <si>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</si>
  <si>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</si>
  <si>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</si>
  <si>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</si>
  <si>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</si>
  <si>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</si>
  <si>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</si>
  <si>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</si>
  <si>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</si>
  <si>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</si>
  <si>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</si>
  <si>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</si>
  <si>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</si>
  <si>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</si>
  <si>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</si>
  <si>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</si>
  <si>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</si>
  <si>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</si>
  <si>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</si>
  <si>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</si>
  <si>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</si>
  <si>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</si>
  <si>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</si>
  <si>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</si>
  <si>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</si>
  <si>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</si>
  <si>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</si>
  <si>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</si>
  <si>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</si>
  <si>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</si>
  <si>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</si>
  <si>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</si>
  <si>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</si>
  <si>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</si>
  <si>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</si>
  <si>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</si>
  <si>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</si>
  <si>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</si>
  <si>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</si>
  <si>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</si>
  <si>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</si>
  <si>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</si>
  <si>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</si>
  <si>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</si>
  <si>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</si>
  <si>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</si>
  <si>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</si>
  <si>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</si>
  <si>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</si>
  <si>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</si>
  <si>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</si>
  <si>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</si>
  <si>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</si>
  <si>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</si>
  <si>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</si>
  <si>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</si>
  <si>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</si>
  <si>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</si>
  <si>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</si>
  <si>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</si>
  <si>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</si>
  <si>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</si>
  <si>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</si>
  <si>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</si>
  <si>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</si>
  <si>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</si>
  <si>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</si>
  <si>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</si>
  <si>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</si>
  <si>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</si>
  <si>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</si>
  <si>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</si>
  <si>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</si>
  <si>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</si>
  <si>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</si>
  <si>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</si>
  <si>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</si>
  <si>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</si>
  <si>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</si>
  <si>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</si>
  <si>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</si>
  <si>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</si>
  <si>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</si>
  <si>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</si>
  <si>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</si>
  <si>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</si>
  <si>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</si>
  <si>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</si>
  <si>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</si>
  <si>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</si>
  <si>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</si>
  <si>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</si>
  <si>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</si>
  <si>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</si>
  <si>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</si>
  <si>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</si>
  <si>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</si>
  <si>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</si>
  <si>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</si>
  <si>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</si>
  <si>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</si>
  <si>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</si>
  <si>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</si>
  <si>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</si>
  <si>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</si>
  <si>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</si>
  <si>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</si>
  <si>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</si>
  <si>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</si>
  <si>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</si>
  <si>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</si>
  <si>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</si>
  <si>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</si>
  <si>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</si>
  <si>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</si>
  <si>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</si>
  <si>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</si>
  <si>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</si>
  <si>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</si>
  <si>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</si>
  <si>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</si>
  <si>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</si>
  <si>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</si>
  <si>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</si>
  <si>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</si>
  <si>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</si>
  <si>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</si>
  <si>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</si>
  <si>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</si>
  <si>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</si>
  <si>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</si>
  <si>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</si>
  <si>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</si>
  <si>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</si>
  <si>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</si>
  <si>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</si>
  <si>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</si>
  <si>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</si>
  <si>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</si>
  <si>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</si>
  <si>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</si>
  <si>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</si>
  <si>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</si>
  <si>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</si>
  <si>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</si>
  <si>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</si>
  <si>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</si>
  <si>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</si>
  <si>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</si>
  <si>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</si>
  <si>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</si>
  <si>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</si>
  <si>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</si>
  <si>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</si>
  <si>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</si>
  <si>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</si>
  <si>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</si>
  <si>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</si>
  <si>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</si>
  <si>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</si>
  <si>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</si>
  <si>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</si>
  <si>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</si>
  <si>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</si>
  <si>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</si>
  <si>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</si>
  <si>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</si>
  <si>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</si>
  <si>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</si>
  <si>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</si>
  <si>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</si>
  <si>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</si>
  <si>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</si>
  <si>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</si>
  <si>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</si>
  <si>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</si>
  <si>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</si>
  <si>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</si>
  <si>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</si>
  <si>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</si>
  <si>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</si>
  <si>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</si>
  <si>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</si>
  <si>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</si>
  <si>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</si>
  <si>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</si>
  <si>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</si>
  <si>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</si>
  <si>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</si>
  <si>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</si>
  <si>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</si>
  <si>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</si>
  <si>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</si>
  <si>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</si>
  <si>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</si>
  <si>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</si>
  <si>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</si>
  <si>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</si>
  <si>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</si>
  <si>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</si>
  <si>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</si>
  <si>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</si>
  <si>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</si>
  <si>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</si>
  <si>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</si>
  <si>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</si>
  <si>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</si>
  <si>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</si>
  <si>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</si>
  <si>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</si>
  <si>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</si>
  <si>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</si>
  <si>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</si>
  <si>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</si>
  <si>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</si>
  <si>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</si>
  <si>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</si>
  <si>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</si>
  <si>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</si>
  <si>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</si>
  <si>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</si>
  <si>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</si>
  <si>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</si>
  <si>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</si>
  <si>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</si>
  <si>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</si>
  <si>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</si>
  <si>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</si>
  <si>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</si>
  <si>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</si>
  <si>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</si>
  <si>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</si>
  <si>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</si>
  <si>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</si>
  <si>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</si>
  <si>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</si>
  <si>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</si>
  <si>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</si>
  <si>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</si>
  <si>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</si>
  <si>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</si>
  <si>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</si>
  <si>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</si>
  <si>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</si>
  <si>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</si>
  <si>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</si>
  <si>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</si>
  <si>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</si>
  <si>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</si>
  <si>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</si>
  <si>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</si>
  <si>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</si>
  <si>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</si>
  <si>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</si>
  <si>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</si>
  <si>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</si>
  <si>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</si>
  <si>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</si>
  <si>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</si>
  <si>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</si>
  <si>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</si>
  <si>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</si>
  <si>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</si>
  <si>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</si>
  <si>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</si>
  <si>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</si>
  <si>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</si>
  <si>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</si>
  <si>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</si>
  <si>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</si>
  <si>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</si>
  <si>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</si>
  <si>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</si>
  <si>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</si>
  <si>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</si>
  <si>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</si>
  <si>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</si>
  <si>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</si>
  <si>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</si>
  <si>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</si>
  <si>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</si>
  <si>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</si>
  <si>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</si>
  <si>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</si>
  <si>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</si>
  <si>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</si>
  <si>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</si>
  <si>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</si>
  <si>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</si>
  <si>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</si>
  <si>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</si>
  <si>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</si>
  <si>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</si>
  <si>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</si>
  <si>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</si>
  <si>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</si>
  <si>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</si>
  <si>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</si>
  <si>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</si>
  <si>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</si>
  <si>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</si>
  <si>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</si>
  <si>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</si>
  <si>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</si>
  <si>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</si>
  <si>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</si>
  <si>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</si>
  <si>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</si>
  <si>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</si>
  <si>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</si>
  <si>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</si>
  <si>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</si>
  <si>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</si>
  <si>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</si>
  <si>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</si>
  <si>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</si>
  <si>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</si>
  <si>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</si>
  <si>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</si>
  <si>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</si>
  <si>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</si>
  <si>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</si>
  <si>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</si>
  <si>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</si>
  <si>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</si>
  <si>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</si>
  <si>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</si>
  <si>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</si>
  <si>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</si>
  <si>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</si>
  <si>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</si>
  <si>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</si>
  <si>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</si>
  <si>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</si>
  <si>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</si>
  <si>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</si>
  <si>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</si>
  <si>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</si>
  <si>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</si>
  <si>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</si>
  <si>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</si>
  <si>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</si>
  <si>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</si>
  <si>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</si>
  <si>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</si>
  <si>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</si>
  <si>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</si>
  <si>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</si>
  <si>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</si>
  <si>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</si>
  <si>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</si>
  <si>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</si>
  <si>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</si>
  <si>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</si>
  <si>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</si>
  <si>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</si>
  <si>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</si>
  <si>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</si>
  <si>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</si>
  <si>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</si>
  <si>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</si>
  <si>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</si>
  <si>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</si>
  <si>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</si>
  <si>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</si>
  <si>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</si>
  <si>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</si>
  <si>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</si>
  <si>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</si>
  <si>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</si>
  <si>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</si>
  <si>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</si>
  <si>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</si>
  <si>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</si>
  <si>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</si>
  <si>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</si>
  <si>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</si>
  <si>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</si>
  <si>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</si>
  <si>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</si>
  <si>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</si>
  <si>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</si>
  <si>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</si>
  <si>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</si>
  <si>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</si>
  <si>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</si>
  <si>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</si>
  <si>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</si>
  <si>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</si>
  <si>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</si>
  <si>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</si>
  <si>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</si>
  <si>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</si>
  <si>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</si>
  <si>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</si>
  <si>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</si>
  <si>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</si>
  <si>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</si>
  <si>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</si>
  <si>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</si>
  <si>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</si>
  <si>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</si>
  <si>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</si>
  <si>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</si>
  <si>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</si>
  <si>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</si>
  <si>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</si>
  <si>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</si>
  <si>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</si>
  <si>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</si>
  <si>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</si>
  <si>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</si>
  <si>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</si>
  <si>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</si>
  <si>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</si>
  <si>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</si>
  <si>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</si>
  <si>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</si>
  <si>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</si>
  <si>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</si>
  <si>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</si>
  <si>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</si>
  <si>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</si>
  <si>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</si>
  <si>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</si>
  <si>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</si>
  <si>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</si>
  <si>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</si>
  <si>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</si>
  <si>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</si>
  <si>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</si>
  <si>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</si>
  <si>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</si>
  <si>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</si>
  <si>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</si>
  <si>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</si>
  <si>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</si>
  <si>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</si>
  <si>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</si>
  <si>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</si>
  <si>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</si>
  <si>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</si>
  <si>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</si>
  <si>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</si>
  <si>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</si>
  <si>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</si>
  <si>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</si>
  <si>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</si>
  <si>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</si>
  <si>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</si>
  <si>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</si>
  <si>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</si>
  <si>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</si>
  <si>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</si>
  <si>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</si>
  <si>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</si>
  <si>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</si>
  <si>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</si>
  <si>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</si>
  <si>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</si>
  <si>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</si>
  <si>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</si>
  <si>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</si>
  <si>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</si>
  <si>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</si>
  <si>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</si>
  <si>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</si>
  <si>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</si>
  <si>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</si>
  <si>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</si>
  <si>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</si>
  <si>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</si>
  <si>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</si>
  <si>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</si>
  <si>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</si>
  <si>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</si>
  <si>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</si>
  <si>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</si>
  <si>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</si>
  <si>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</si>
  <si>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</si>
  <si>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</si>
  <si>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</si>
  <si>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</si>
  <si>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</si>
  <si>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</si>
  <si>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</si>
  <si>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</si>
  <si>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</si>
  <si>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</si>
  <si>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</si>
  <si>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</si>
  <si>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</si>
  <si>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</si>
  <si>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</si>
  <si>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</si>
  <si>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</si>
  <si>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</si>
  <si>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</si>
  <si>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</si>
  <si>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</si>
  <si>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</si>
  <si>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</si>
  <si>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</si>
  <si>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</si>
  <si>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</si>
  <si>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</si>
  <si>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</si>
  <si>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</si>
  <si>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</si>
  <si>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</si>
  <si>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</si>
  <si>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</si>
  <si>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</si>
  <si>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</si>
  <si>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</si>
  <si>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</si>
  <si>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</si>
  <si>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</si>
  <si>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</si>
  <si>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</si>
  <si>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</si>
  <si>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</si>
  <si>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</si>
  <si>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</si>
  <si>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</si>
  <si>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</si>
  <si>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</si>
  <si>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</si>
  <si>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</si>
  <si>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</si>
  <si>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</si>
  <si>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</si>
  <si>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</si>
  <si>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</si>
  <si>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</si>
  <si>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</si>
  <si>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</si>
  <si>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</si>
  <si>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</si>
  <si>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</si>
  <si>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</si>
  <si>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</si>
  <si>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</si>
  <si>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</si>
  <si>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</si>
  <si>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</si>
  <si>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</si>
  <si>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</si>
  <si>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</si>
  <si>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</si>
  <si>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</si>
  <si>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</si>
  <si>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</si>
  <si>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</si>
  <si>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</si>
  <si>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</si>
  <si>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</si>
  <si>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</si>
  <si>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</si>
  <si>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</si>
  <si>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</si>
  <si>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</si>
  <si>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</si>
  <si>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</si>
  <si>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</si>
  <si>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</si>
  <si>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</si>
  <si>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</si>
  <si>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</si>
  <si>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</si>
  <si>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</si>
  <si>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</si>
  <si>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</si>
  <si>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</si>
  <si>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</si>
  <si>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</si>
  <si>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</si>
  <si>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</si>
  <si>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</si>
  <si>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</si>
  <si>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</si>
  <si>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</si>
  <si>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</si>
  <si>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</si>
  <si>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</si>
  <si>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</si>
  <si>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</si>
  <si>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</si>
  <si>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</si>
  <si>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</si>
  <si>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</si>
  <si>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</si>
  <si>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</si>
  <si>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</si>
  <si>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</si>
  <si>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</si>
  <si>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</si>
  <si>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</si>
  <si>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</si>
  <si>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</si>
  <si>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</si>
  <si>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</si>
  <si>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</si>
  <si>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</si>
  <si>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</si>
  <si>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</si>
  <si>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</si>
  <si>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</si>
  <si>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</si>
  <si>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</si>
  <si>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</si>
  <si>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</si>
  <si>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</si>
  <si>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</si>
  <si>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</si>
  <si>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</si>
  <si>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</si>
  <si>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</si>
  <si>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</si>
  <si>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</si>
  <si>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</si>
  <si>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</si>
  <si>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</si>
  <si>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</si>
  <si>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</si>
  <si>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</si>
  <si>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</si>
  <si>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</si>
  <si>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</si>
  <si>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</si>
  <si>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</si>
  <si>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</si>
  <si>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</si>
  <si>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</si>
  <si>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</si>
  <si>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</si>
  <si>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</si>
  <si>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</si>
  <si>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</si>
  <si>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</si>
  <si>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</si>
  <si>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</si>
  <si>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</si>
  <si>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</si>
  <si>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</si>
  <si>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</si>
  <si>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</si>
  <si>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</si>
  <si>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</si>
  <si>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</si>
  <si>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</si>
  <si>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</si>
  <si>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</si>
  <si>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</si>
  <si>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</si>
  <si>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</si>
  <si>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</si>
  <si>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</si>
  <si>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</si>
  <si>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</si>
  <si>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</si>
  <si>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</si>
  <si>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</si>
  <si>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</si>
  <si>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</si>
  <si>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</si>
  <si>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</si>
  <si>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</si>
  <si>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</si>
  <si>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</si>
  <si>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</si>
  <si>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</si>
  <si>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</si>
  <si>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</si>
  <si>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</si>
  <si>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</si>
  <si>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</si>
  <si>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</si>
  <si>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</si>
  <si>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</si>
  <si>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</si>
  <si>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</si>
  <si>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</si>
  <si>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</si>
  <si>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</si>
  <si>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</si>
  <si>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</si>
  <si>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</si>
  <si>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</si>
  <si>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</si>
  <si>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</si>
  <si>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</si>
  <si>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</si>
  <si>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</si>
  <si>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</si>
  <si>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</si>
  <si>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</si>
  <si>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</si>
  <si>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</si>
  <si>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</si>
  <si>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</si>
  <si>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</si>
  <si>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</si>
  <si>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</si>
  <si>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</si>
  <si>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</si>
  <si>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</si>
  <si>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</si>
  <si>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</si>
  <si>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</si>
  <si>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</si>
  <si>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</si>
  <si>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</si>
  <si>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</si>
  <si>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</si>
  <si>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</si>
  <si>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</si>
  <si>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</si>
  <si>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</si>
  <si>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</si>
  <si>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</si>
  <si>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</si>
  <si>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</si>
  <si>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</si>
  <si>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</si>
  <si>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</si>
  <si>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</si>
  <si>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</si>
  <si>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</si>
  <si>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</si>
  <si>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</si>
  <si>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</si>
  <si>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</si>
  <si>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</si>
  <si>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</si>
  <si>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</si>
  <si>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</si>
  <si>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</si>
  <si>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</si>
  <si>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</si>
  <si>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</si>
  <si>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</si>
  <si>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</si>
  <si>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</si>
  <si>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</si>
  <si>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</si>
  <si>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</si>
  <si>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</si>
  <si>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</si>
  <si>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</si>
  <si>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</si>
  <si>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</si>
  <si>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</si>
  <si>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</si>
  <si>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</si>
  <si>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</si>
  <si>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</si>
  <si>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</si>
  <si>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</si>
  <si>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</si>
  <si>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</si>
  <si>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</si>
  <si>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</si>
  <si>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</si>
  <si>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</si>
  <si>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</si>
  <si>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</si>
  <si>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</si>
  <si>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</si>
  <si>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</si>
  <si>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</si>
  <si>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</si>
  <si>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</si>
  <si>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</si>
  <si>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</si>
  <si>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</si>
  <si>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</si>
  <si>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</si>
  <si>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</si>
  <si>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</si>
  <si>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</si>
  <si>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</si>
  <si>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</si>
  <si>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</si>
  <si>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</si>
  <si>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</si>
  <si>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</si>
  <si>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</si>
  <si>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</si>
  <si>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</si>
  <si>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</si>
  <si>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</si>
  <si>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</si>
  <si>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</si>
  <si>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</si>
  <si>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</si>
  <si>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</si>
  <si>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</si>
  <si>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</si>
  <si>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</si>
  <si>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</si>
  <si>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</si>
  <si>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</si>
  <si>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</si>
  <si>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</si>
  <si>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</si>
  <si>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</si>
  <si>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</si>
  <si>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</si>
  <si>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</si>
  <si>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</si>
  <si>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</si>
  <si>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</si>
  <si>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</si>
  <si>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</si>
  <si>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</si>
  <si>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</si>
  <si>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</si>
  <si>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</si>
  <si>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</si>
  <si>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</si>
  <si>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</si>
  <si>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</si>
  <si>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</si>
  <si>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</si>
  <si>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</si>
  <si>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</si>
  <si>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</si>
  <si>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</si>
  <si>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</si>
  <si>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</si>
  <si>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</si>
  <si>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</si>
  <si>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</si>
  <si>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</si>
  <si>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</si>
  <si>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</si>
  <si>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</si>
  <si>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</si>
  <si>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</si>
  <si>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</si>
  <si>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其他：</t>
  </si>
  <si>
    <t>企业</t>
  </si>
  <si>
    <t>一致</t>
  </si>
  <si>
    <t>符合</t>
  </si>
  <si>
    <t>地上</t>
  </si>
  <si>
    <t>住宅</t>
    <phoneticPr fontId="7" type="noConversion"/>
  </si>
  <si>
    <t>http://www.ms.gov.cn/info/5659/1052275.htm</t>
    <phoneticPr fontId="3"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</si>
  <si>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</si>
  <si>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</si>
  <si>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</si>
  <si>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</si>
  <si>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</si>
  <si>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</si>
  <si>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</si>
  <si>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</si>
  <si>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</si>
  <si>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</si>
  <si>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</si>
  <si>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</si>
  <si>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</si>
  <si>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</si>
  <si>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</si>
  <si>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G245以西(四至界限以红线图为准)</t>
  </si>
  <si>
    <t>眉山市</t>
  </si>
  <si>
    <t>住宅用地</t>
  </si>
  <si>
    <t>大于1并且小于2</t>
  </si>
  <si>
    <t>拍卖</t>
  </si>
  <si>
    <t>城镇住宅-普通商品住房用地</t>
  </si>
  <si>
    <t>2020-12-22</t>
  </si>
  <si>
    <t>彭山发展控股有限责任公司</t>
  </si>
  <si>
    <t>3星</t>
  </si>
  <si>
    <t>孟文路以西,区监管中心以北(四至界限以红线图为准)</t>
  </si>
  <si>
    <t>红星路以南,孟文路以西(四至界限以红线图为准)</t>
  </si>
  <si>
    <t>G245以西,中医医院以南(四至界限以红线图为准)</t>
  </si>
  <si>
    <t>5星</t>
  </si>
  <si>
    <t>江口街道</t>
  </si>
  <si>
    <t>大于1并且小于2.98</t>
  </si>
  <si>
    <t>2020-12-03</t>
  </si>
  <si>
    <t>眉山簏坤房地产开发有限公司</t>
  </si>
  <si>
    <t>1星</t>
  </si>
  <si>
    <t>锦江镇通江大道北侧</t>
  </si>
  <si>
    <t>大于1并且小于2.5</t>
  </si>
  <si>
    <t>2020-10-20</t>
  </si>
  <si>
    <t>眉山恒煦旅游开发有限公司</t>
  </si>
  <si>
    <t>东星航空大道西侧</t>
  </si>
  <si>
    <t>眉山德泽旅游开发有限公司</t>
  </si>
  <si>
    <t>眉山恒思旅游开发有限公司</t>
  </si>
  <si>
    <t>眉山恒嘉旅游开发有限公司</t>
  </si>
  <si>
    <t>大于1并且小于或等于2.5</t>
  </si>
  <si>
    <t>城镇住宅用地</t>
  </si>
  <si>
    <t>2020-09-22</t>
  </si>
  <si>
    <t>四川圆中嘉华健康产业有限公司</t>
  </si>
  <si>
    <t>2星</t>
  </si>
  <si>
    <t>大于1并且小于或等于2</t>
  </si>
  <si>
    <t>锦江镇</t>
  </si>
  <si>
    <t>大于2并且小于3</t>
  </si>
  <si>
    <t>2020-09-19</t>
  </si>
  <si>
    <t>眉山环天发展有限公司</t>
  </si>
  <si>
    <t>大于2并且小于2.2</t>
  </si>
  <si>
    <t>公义镇</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</si>
  <si>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</si>
  <si>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</si>
  <si>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</si>
  <si>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</si>
  <si>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</si>
  <si>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</si>
  <si>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</si>
  <si>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</si>
  <si>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迎宾大道以北,锦绣大道以西,成乐高速以东</t>
  </si>
  <si>
    <t>2020-06-09</t>
  </si>
  <si>
    <t>四川盛天房地产开发有限公司</t>
  </si>
  <si>
    <t>成都融基投资有限公司</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</si>
  <si>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</si>
  <si>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</si>
  <si>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</si>
  <si>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</si>
  <si>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</si>
  <si>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</si>
  <si>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</si>
  <si>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</si>
  <si>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</si>
  <si>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</si>
  <si>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</si>
  <si>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</si>
  <si>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</si>
  <si>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</si>
  <si>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</si>
  <si>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</si>
  <si>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</si>
  <si>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</si>
  <si>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</si>
  <si>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</si>
  <si>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</si>
  <si>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</si>
  <si>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</si>
  <si>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</si>
  <si>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</si>
  <si>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</si>
  <si>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</si>
  <si>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</si>
  <si>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</si>
  <si>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</si>
  <si>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</si>
  <si>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</si>
  <si>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</si>
  <si>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</si>
  <si>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</si>
  <si>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</si>
  <si>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</si>
  <si>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</si>
  <si>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</si>
  <si>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</si>
  <si>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</si>
  <si>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</si>
  <si>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</si>
  <si>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</si>
  <si>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</si>
  <si>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</si>
  <si>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</si>
  <si>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</si>
  <si>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</si>
  <si>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</si>
  <si>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</si>
  <si>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</si>
  <si>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</si>
  <si>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</si>
  <si>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</si>
  <si>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正常</t>
  </si>
  <si>
    <t>正常</t>
    <phoneticPr fontId="26" type="noConversion"/>
  </si>
  <si>
    <t>一般</t>
    <phoneticPr fontId="26" type="noConversion"/>
  </si>
  <si>
    <t>一般</t>
    <phoneticPr fontId="26"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</si>
  <si>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</si>
  <si>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</si>
  <si>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</si>
  <si>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</si>
  <si>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</si>
  <si>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三通</t>
    <phoneticPr fontId="26" type="noConversion"/>
  </si>
  <si>
    <t>比较法-住宅、综合</t>
  </si>
  <si>
    <t>剩余法-待开发</t>
  </si>
  <si>
    <t>楼面地价</t>
  </si>
  <si>
    <t>复地天府湾</t>
    <phoneticPr fontId="3" type="noConversion"/>
  </si>
  <si>
    <t>滨江丽城</t>
    <phoneticPr fontId="3" type="noConversion"/>
  </si>
  <si>
    <t>恒大金碧天下</t>
    <phoneticPr fontId="3" type="noConversion"/>
  </si>
  <si>
    <t>正常</t>
    <phoneticPr fontId="21" type="noConversion"/>
  </si>
  <si>
    <t>住宅</t>
    <phoneticPr fontId="21" type="noConversion"/>
  </si>
  <si>
    <t>60-70（含）</t>
  </si>
  <si>
    <t>一般</t>
    <phoneticPr fontId="21" type="noConversion"/>
  </si>
  <si>
    <t>六通</t>
    <phoneticPr fontId="21" type="noConversion"/>
  </si>
  <si>
    <t>高层</t>
    <phoneticPr fontId="21" type="noConversion"/>
  </si>
  <si>
    <t>高层</t>
    <phoneticPr fontId="21" type="noConversion"/>
  </si>
  <si>
    <t>钢混</t>
    <phoneticPr fontId="21" type="noConversion"/>
  </si>
  <si>
    <t>钢混</t>
    <phoneticPr fontId="21" type="noConversion"/>
  </si>
  <si>
    <t>精装</t>
    <phoneticPr fontId="21" type="noConversion"/>
  </si>
  <si>
    <t>毛坯</t>
    <phoneticPr fontId="21" type="noConversion"/>
  </si>
  <si>
    <t>赠送面积</t>
    <phoneticPr fontId="21" type="noConversion"/>
  </si>
  <si>
    <t>无</t>
    <phoneticPr fontId="21" type="noConversion"/>
  </si>
  <si>
    <t>有</t>
    <phoneticPr fontId="21" type="noConversion"/>
  </si>
  <si>
    <t>无</t>
    <phoneticPr fontId="21" type="noConversion"/>
  </si>
  <si>
    <t>有</t>
    <phoneticPr fontId="21" type="noConversion"/>
  </si>
  <si>
    <t>是</t>
    <phoneticPr fontId="21" type="noConversion"/>
  </si>
  <si>
    <t>否</t>
    <phoneticPr fontId="21" type="noConversion"/>
  </si>
  <si>
    <t>售价</t>
  </si>
  <si>
    <t>普装</t>
    <phoneticPr fontId="21" type="noConversion"/>
  </si>
  <si>
    <t>简装</t>
    <phoneticPr fontId="21" type="noConversion"/>
  </si>
  <si>
    <t>毛坯</t>
    <phoneticPr fontId="21" type="noConversion"/>
  </si>
  <si>
    <t>土地面积</t>
    <phoneticPr fontId="21" type="noConversion"/>
  </si>
  <si>
    <t>情况3</t>
  </si>
  <si>
    <t>自行开发建设</t>
  </si>
  <si>
    <t>非个人房产</t>
  </si>
  <si>
    <t>出让金+开发费</t>
  </si>
  <si>
    <t>评估值</t>
    <phoneticPr fontId="228" type="noConversion"/>
  </si>
  <si>
    <t>土增</t>
    <phoneticPr fontId="228" type="noConversion"/>
  </si>
  <si>
    <t>估价对象1（本表）-23</t>
    <phoneticPr fontId="228" type="noConversion"/>
  </si>
  <si>
    <t>估价对象3-24</t>
    <phoneticPr fontId="228" type="noConversion"/>
  </si>
  <si>
    <t>估价对象4-27</t>
    <phoneticPr fontId="228" type="noConversion"/>
  </si>
  <si>
    <t>估价对象5-20</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</si>
</sst>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5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177" fontId="76" fillId="13" borderId="0" xfId="0" applyNumberFormat="1" applyFont="1" applyFill="1" applyAlignment="1" applyProtection="1">
      <alignment horizontal="center" vertical="center"/>
      <protection locked="0"/>
    </xf>
    <xf numFmtId="0" fontId="86" fillId="0" borderId="0" xfId="16"/>
    <xf numFmtId="0" fontId="86" fillId="7" borderId="0" xfId="16" applyFill="1"/>
    <xf numFmtId="0" fontId="0" fillId="7" borderId="0" xfId="0" applyFill="1">
      <alignment vertical="center"/>
    </xf>
    <xf numFmtId="0" fontId="86" fillId="6" borderId="0" xfId="16" applyFill="1"/>
    <xf numFmtId="0" fontId="86" fillId="18" borderId="0" xfId="16" applyFill="1"/>
    <xf numFmtId="0" fontId="0" fillId="18" borderId="0" xfId="0" applyFill="1">
      <alignment vertical="center"/>
    </xf>
    <xf numFmtId="0" fontId="86" fillId="0" borderId="0" xfId="16"/>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6" fillId="20" borderId="0" xfId="16" applyFill="1"/>
    <xf numFmtId="0" fontId="0" fillId="20" borderId="0" xfId="0" applyFill="1">
      <alignment vertical="center"/>
    </xf>
    <xf numFmtId="0" fontId="99" fillId="20"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11</xdr:col>
      <xdr:colOff>132240</xdr:colOff>
      <xdr:row>113</xdr:row>
      <xdr:rowOff>65896</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13201650"/>
          <a:ext cx="8885715" cy="6238096"/>
        </a:xfrm>
        <a:prstGeom prst="rect">
          <a:avLst/>
        </a:prstGeom>
      </xdr:spPr>
    </xdr:pic>
    <xdr:clientData/>
  </xdr:twoCellAnchor>
  <xdr:twoCellAnchor editAs="oneCell">
    <xdr:from>
      <xdr:col>0</xdr:col>
      <xdr:colOff>0</xdr:colOff>
      <xdr:row>114</xdr:row>
      <xdr:rowOff>0</xdr:rowOff>
    </xdr:from>
    <xdr:to>
      <xdr:col>12</xdr:col>
      <xdr:colOff>227392</xdr:colOff>
      <xdr:row>161</xdr:row>
      <xdr:rowOff>37089</xdr:rowOff>
    </xdr:to>
    <xdr:pic>
      <xdr:nvPicPr>
        <xdr:cNvPr id="3" name="图片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19545300"/>
          <a:ext cx="9666667" cy="8095239"/>
        </a:xfrm>
        <a:prstGeom prst="rect">
          <a:avLst/>
        </a:prstGeom>
      </xdr:spPr>
    </xdr:pic>
    <xdr:clientData/>
  </xdr:twoCellAnchor>
  <xdr:twoCellAnchor editAs="oneCell">
    <xdr:from>
      <xdr:col>0</xdr:col>
      <xdr:colOff>0</xdr:colOff>
      <xdr:row>162</xdr:row>
      <xdr:rowOff>0</xdr:rowOff>
    </xdr:from>
    <xdr:to>
      <xdr:col>11</xdr:col>
      <xdr:colOff>17954</xdr:colOff>
      <xdr:row>207</xdr:row>
      <xdr:rowOff>37131</xdr:rowOff>
    </xdr:to>
    <xdr:pic>
      <xdr:nvPicPr>
        <xdr:cNvPr id="4" name="图片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27774900"/>
          <a:ext cx="8771429" cy="7752381"/>
        </a:xfrm>
        <a:prstGeom prst="rect">
          <a:avLst/>
        </a:prstGeom>
      </xdr:spPr>
    </xdr:pic>
    <xdr:clientData/>
  </xdr:twoCellAnchor>
  <xdr:twoCellAnchor editAs="oneCell">
    <xdr:from>
      <xdr:col>0</xdr:col>
      <xdr:colOff>0</xdr:colOff>
      <xdr:row>207</xdr:row>
      <xdr:rowOff>0</xdr:rowOff>
    </xdr:from>
    <xdr:to>
      <xdr:col>12</xdr:col>
      <xdr:colOff>132154</xdr:colOff>
      <xdr:row>252</xdr:row>
      <xdr:rowOff>141893</xdr:rowOff>
    </xdr:to>
    <xdr:pic>
      <xdr:nvPicPr>
        <xdr:cNvPr id="5" name="图片 4">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0" y="35490150"/>
          <a:ext cx="9571429" cy="7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176.3509/HZ$D.176.3511/2021&#30473;&#23665;-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30473;&#2366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123171.43999999999</v>
          </cell>
          <cell r="C14">
            <v>21807.34</v>
          </cell>
        </row>
      </sheetData>
      <sheetData sheetId="17">
        <row r="74">
          <cell r="N74">
            <v>4853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21302</v>
          </cell>
          <cell r="I14">
            <v>16480</v>
          </cell>
        </row>
      </sheetData>
      <sheetData sheetId="17">
        <row r="19">
          <cell r="K19">
            <v>2328</v>
          </cell>
        </row>
        <row r="115">
          <cell r="C115">
            <v>4822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受贵公司委托，我公司对出让国有建设用地使用权抵押价格进行了预评估。</v>
      </c>
      <c r="AM6" s="2619"/>
    </row>
    <row r="7" spans="1:55" s="2593" customFormat="1">
      <c r="A7" s="2594" t="s">
        <v>2636</v>
      </c>
      <c r="B7" s="2595" t="str">
        <f>'预评函-1'!A6</f>
        <v>估价对象为使用的、位于出让国有建设用地使用权。根据《国有土地使用证》[]，估价对象（分摊）出让国有建设用地使用权面积为54426.77平方米。根据《建设工程规划许可证》[]、《出让合同》[]，估价对象规划建筑面积为136066.92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2021年3月3日</v>
      </c>
    </row>
    <row r="11" spans="1:55" s="2593" customFormat="1">
      <c r="A11" s="2594" t="s">
        <v>2644</v>
      </c>
      <c r="B11" s="2595" t="str">
        <f>'预评函-1'!A14</f>
        <v>根据《国有土地使用证》[]，本次评估估价对象证载（地类）用途为。</v>
      </c>
    </row>
    <row r="12" spans="1:55" s="2593" customFormat="1">
      <c r="A12" s="2594" t="s">
        <v>2645</v>
      </c>
      <c r="B12" s="2595" t="str">
        <f>'预评函-1'!A15</f>
        <v>本次评估设定用途即为证载用途。</v>
      </c>
    </row>
    <row r="13" spans="1:55" s="2593" customFormat="1">
      <c r="A13" s="2594" t="s">
        <v>2646</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根据《国有土地使用证》[]，估价对象（分摊）出让国有建设用地使用权面积为54426.77平方米。根据《建设工程规划许可证》[]、《出让合同》[]，估价对象规划建筑面积为136066.92平方米。</v>
      </c>
    </row>
    <row r="16" spans="1:55" s="2593" customFormat="1">
      <c r="A16" s="2594" t="s">
        <v>2648</v>
      </c>
      <c r="B16" s="2595" t="str">
        <f>'预评函-1'!A22</f>
        <v>本次估价对象为出让国有建设用地使用权，《国有土地使用证》[]证载土地终止日期为住宅2090年12月16日。截至估价期日，出让国有建设用地使用权剩余土地使用年限为。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估价期日：2021年3月3日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f>'预评函-2'!E5</f>
        <v>0</v>
      </c>
      <c r="AV32" s="2599"/>
    </row>
    <row r="33" spans="1:2">
      <c r="A33" s="2594" t="s">
        <v>2692</v>
      </c>
      <c r="B33" s="2595">
        <f>'预评函-2'!F5</f>
        <v>258</v>
      </c>
    </row>
    <row r="34" spans="1:2">
      <c r="A34" s="2594" t="s">
        <v>2693</v>
      </c>
      <c r="B34" s="2595">
        <f>'预评函-2'!G5</f>
        <v>0</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v>
      </c>
    </row>
    <row r="39" spans="1:2">
      <c r="A39" s="2594" t="s">
        <v>2698</v>
      </c>
      <c r="B39" s="2595" t="str">
        <f>'预评函-2'!L5</f>
        <v>红线外七通、宗地红线内场地</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54426.77</v>
      </c>
    </row>
    <row r="44" spans="1:2">
      <c r="A44" s="2594" t="s">
        <v>2719</v>
      </c>
      <c r="B44" s="2595" t="str">
        <f>'预评函-2'!O3</f>
        <v>规划建筑面积/㎡</v>
      </c>
    </row>
    <row r="45" spans="1:2">
      <c r="A45" s="2594" t="s">
        <v>2701</v>
      </c>
      <c r="B45" s="2595">
        <f>'预评函-2'!O5</f>
        <v>136066.92000000001</v>
      </c>
    </row>
    <row r="46" spans="1:2">
      <c r="A46" s="2594" t="s">
        <v>2702</v>
      </c>
      <c r="B46" s="2595">
        <f ca="1">'预评函-2'!P5</f>
        <v>5730</v>
      </c>
    </row>
    <row r="47" spans="1:2">
      <c r="A47" s="2594" t="s">
        <v>2703</v>
      </c>
      <c r="B47" s="2595">
        <f ca="1">'预评函-2'!Q5</f>
        <v>2292</v>
      </c>
    </row>
    <row r="48" spans="1:2">
      <c r="A48" s="2594" t="s">
        <v>2704</v>
      </c>
      <c r="B48" s="2595">
        <f ca="1">'预评函-2'!R5</f>
        <v>31186</v>
      </c>
    </row>
    <row r="49" spans="1:2">
      <c r="A49" s="2594" t="s">
        <v>2720</v>
      </c>
      <c r="B49" s="2595" t="str">
        <f>'预评函-2'!A6</f>
        <v>抵押价格</v>
      </c>
    </row>
    <row r="50" spans="1:2">
      <c r="A50" s="2594" t="s">
        <v>2705</v>
      </c>
      <c r="B50" s="2595">
        <f ca="1">'预评函-2'!R6</f>
        <v>31186</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2.基础设施条件：估价对象实际开发程度为红线外七通、宗地红线内；本次评估设定开发程度为红线外七通、宗地红线内场地。</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土地估价师</v>
      </c>
    </row>
    <row r="70" spans="1:2">
      <c r="A70" s="2594" t="s">
        <v>2669</v>
      </c>
      <c r="B70" s="2601">
        <f>'预评函-3'!B20</f>
        <v>0</v>
      </c>
    </row>
    <row r="71" spans="1:2">
      <c r="A71" s="2594" t="s">
        <v>2670</v>
      </c>
      <c r="B71" s="2595" t="str">
        <f>'预评函-3'!A21</f>
        <v>土地估价师</v>
      </c>
    </row>
    <row r="72" spans="1:2" s="2609" customFormat="1" ht="15" thickBot="1">
      <c r="A72" s="2616" t="s">
        <v>2670</v>
      </c>
      <c r="B72" s="2622">
        <f>'预评函-3'!B21</f>
        <v>0</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90" zoomScaleNormal="100" zoomScaleSheetLayoutView="90" workbookViewId="0">
      <selection activeCell="D17" sqref="D17"/>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82" t="str">
        <f>IF(B10="北京市","北京市",C10)&amp;F10&amp;B16&amp;"国有建设用地使用权"&amp;B9&amp;"预评估"</f>
        <v>出让国有建设用地使用权抵押价格预评估</v>
      </c>
      <c r="C1" s="3383"/>
      <c r="D1" s="3383"/>
      <c r="E1" s="3383"/>
      <c r="F1" s="3383"/>
      <c r="G1" s="3383"/>
      <c r="H1" s="3383"/>
      <c r="I1" s="3384"/>
      <c r="J1" s="3073"/>
      <c r="K1" s="2309"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7" t="s">
        <v>1927</v>
      </c>
      <c r="B3" s="1588"/>
      <c r="C3" s="2996" t="s">
        <v>1983</v>
      </c>
      <c r="D3" s="1588">
        <v>44258</v>
      </c>
      <c r="E3" s="3073"/>
      <c r="F3" s="3073"/>
      <c r="G3" s="3073"/>
      <c r="H3" s="3074"/>
      <c r="I3" s="3075"/>
      <c r="J3" s="3073"/>
      <c r="K3" s="3056"/>
      <c r="L3" s="3052"/>
      <c r="M3" s="3052"/>
      <c r="N3" s="3053"/>
      <c r="O3" s="3054"/>
      <c r="P3" s="3053"/>
      <c r="Q3" s="3053"/>
      <c r="R3" s="3053"/>
      <c r="S3" s="3053"/>
      <c r="T3" s="3053"/>
      <c r="U3" s="3053"/>
    </row>
    <row r="4" spans="1:21" ht="29.25" thickBot="1">
      <c r="A4" s="1590" t="s">
        <v>1928</v>
      </c>
      <c r="B4" s="1755" t="s">
        <v>2862</v>
      </c>
      <c r="C4" s="1758">
        <f>SUMIF(土地估价师,B4,估价师及机构信息!E3:E16)</f>
        <v>0</v>
      </c>
      <c r="D4" s="1755" t="s">
        <v>2862</v>
      </c>
      <c r="E4" s="1758">
        <f>SUMIF(土地估价师,D4,估价师及机构信息!E3:E16)</f>
        <v>0</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2685</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2686</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2950</v>
      </c>
      <c r="C8" s="1597"/>
      <c r="D8" s="3388" t="s">
        <v>1932</v>
      </c>
      <c r="E8" s="1756" t="s">
        <v>2999</v>
      </c>
      <c r="F8" s="1598"/>
      <c r="G8" s="3074"/>
      <c r="H8" s="3074"/>
      <c r="I8" s="3077"/>
      <c r="J8" s="3073"/>
      <c r="K8" s="3056"/>
      <c r="L8" s="3052"/>
      <c r="M8" s="3052"/>
      <c r="N8" s="3053"/>
      <c r="O8" s="3054"/>
      <c r="P8" s="3053"/>
      <c r="Q8" s="3053"/>
      <c r="R8" s="3053"/>
      <c r="S8" s="3053"/>
      <c r="T8" s="3053"/>
      <c r="U8" s="3053"/>
    </row>
    <row r="9" spans="1:21" ht="15" thickBot="1">
      <c r="A9" s="2998" t="s">
        <v>1931</v>
      </c>
      <c r="B9" s="1599" t="s">
        <v>2999</v>
      </c>
      <c r="C9" s="1600"/>
      <c r="D9" s="3389"/>
      <c r="E9" s="1599"/>
      <c r="F9" s="1663"/>
      <c r="G9" s="3078"/>
      <c r="H9" s="3078"/>
      <c r="I9" s="3079"/>
      <c r="J9" s="3073"/>
      <c r="K9" s="3056"/>
      <c r="L9" s="3052"/>
      <c r="M9" s="3052"/>
      <c r="N9" s="3053"/>
      <c r="O9" s="3054"/>
      <c r="P9" s="3053"/>
      <c r="Q9" s="3053"/>
      <c r="R9" s="3053"/>
      <c r="S9" s="3053"/>
      <c r="T9" s="3053"/>
      <c r="U9" s="3053"/>
    </row>
    <row r="10" spans="1:21" ht="15" thickTop="1">
      <c r="A10" s="2999" t="s">
        <v>1987</v>
      </c>
      <c r="B10" s="1639" t="s">
        <v>3000</v>
      </c>
      <c r="C10" s="1601"/>
      <c r="D10" s="1593"/>
      <c r="E10" s="1602" t="s">
        <v>1934</v>
      </c>
      <c r="F10" s="1603"/>
      <c r="G10" s="1661"/>
      <c r="H10" s="1662"/>
      <c r="I10" s="1593"/>
      <c r="J10" s="3073"/>
      <c r="K10" s="3056"/>
      <c r="L10" s="3052"/>
      <c r="M10" s="3052"/>
      <c r="N10" s="3053"/>
      <c r="O10" s="3054"/>
      <c r="P10" s="3053"/>
      <c r="Q10" s="3053"/>
      <c r="R10" s="3053"/>
      <c r="S10" s="3053"/>
      <c r="T10" s="3053"/>
      <c r="U10" s="3053"/>
    </row>
    <row r="11" spans="1:21">
      <c r="A11" s="3000" t="s">
        <v>1988</v>
      </c>
      <c r="B11" s="1618" t="s">
        <v>3001</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85"/>
      <c r="C12" s="3386"/>
      <c r="D12" s="3387"/>
      <c r="E12" s="1619" t="s">
        <v>2049</v>
      </c>
      <c r="F12" s="3403" t="s">
        <v>2863</v>
      </c>
      <c r="G12" s="3404"/>
      <c r="H12" s="3404"/>
      <c r="I12" s="3405"/>
      <c r="J12" s="3073"/>
      <c r="K12" s="3056"/>
      <c r="L12" s="3052"/>
      <c r="M12" s="3052"/>
      <c r="N12" s="3053"/>
      <c r="O12" s="3054"/>
      <c r="P12" s="3053"/>
      <c r="Q12" s="3053"/>
      <c r="R12" s="3053"/>
      <c r="S12" s="3053"/>
      <c r="T12" s="3053"/>
      <c r="U12" s="3053"/>
    </row>
    <row r="13" spans="1:21">
      <c r="A13" s="1610" t="s">
        <v>2047</v>
      </c>
      <c r="B13" s="3385"/>
      <c r="C13" s="3386"/>
      <c r="D13" s="3387"/>
      <c r="E13" s="1619" t="s">
        <v>2049</v>
      </c>
      <c r="F13" s="3403" t="s">
        <v>2864</v>
      </c>
      <c r="G13" s="3404"/>
      <c r="H13" s="3404"/>
      <c r="I13" s="3405"/>
      <c r="J13" s="3073"/>
      <c r="K13" s="3056"/>
      <c r="L13" s="3052"/>
      <c r="M13" s="3052"/>
      <c r="N13" s="3053"/>
      <c r="O13" s="3054"/>
      <c r="P13" s="3053"/>
      <c r="Q13" s="3053"/>
      <c r="R13" s="3053"/>
      <c r="S13" s="3053"/>
      <c r="T13" s="3053"/>
      <c r="U13" s="3053"/>
    </row>
    <row r="14" spans="1:21">
      <c r="A14" s="1587" t="s">
        <v>2050</v>
      </c>
      <c r="B14" s="1619"/>
      <c r="C14" s="1757" t="s">
        <v>3002</v>
      </c>
      <c r="D14" s="1653" t="str">
        <f>IF(C14="不一致","是否符合证载地类范围","")</f>
        <v/>
      </c>
      <c r="E14" s="1619"/>
      <c r="F14" s="1703" t="s">
        <v>3003</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42.75">
      <c r="A16" s="3001" t="s">
        <v>1935</v>
      </c>
      <c r="B16" s="1605" t="s">
        <v>2945</v>
      </c>
      <c r="C16" s="1619" t="s">
        <v>1936</v>
      </c>
      <c r="D16" s="2487" t="s">
        <v>1937</v>
      </c>
      <c r="E16" s="1642"/>
      <c r="F16" s="1642"/>
      <c r="G16" s="1642"/>
      <c r="H16" s="1642"/>
      <c r="I16" s="1609" t="s">
        <v>1942</v>
      </c>
      <c r="J16" s="3073"/>
      <c r="K16" s="2310" t="str">
        <f>IF(D17="","",D16&amp;TEXT(D17,"yyyy年m月d日;;"))</f>
        <v>住宅2090年12月16日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1943</v>
      </c>
      <c r="D17" s="1620">
        <v>69748</v>
      </c>
      <c r="E17" s="1620"/>
      <c r="F17" s="1620"/>
      <c r="G17" s="1620"/>
      <c r="H17" s="1620"/>
      <c r="I17" s="1620"/>
      <c r="J17" s="3073"/>
      <c r="K17" s="3051" t="str">
        <f>CONCATENATE(K16,L16,M16,N16,O16,P16,Q16,R16,S16,T16,,U16)</f>
        <v>住宅2090年12月16日</v>
      </c>
      <c r="L17" s="3052"/>
      <c r="M17" s="3052"/>
      <c r="N17" s="3053"/>
      <c r="O17" s="3054"/>
      <c r="P17" s="3053"/>
      <c r="Q17" s="3053"/>
      <c r="R17" s="3053"/>
      <c r="S17" s="3053"/>
      <c r="T17" s="3053"/>
      <c r="U17" s="3053"/>
    </row>
    <row r="18" spans="1:21">
      <c r="A18" s="1679"/>
      <c r="B18" s="1606"/>
      <c r="C18" s="3002" t="s">
        <v>1944</v>
      </c>
      <c r="D18" s="1607">
        <v>70</v>
      </c>
      <c r="E18" s="1607"/>
      <c r="F18" s="1607"/>
      <c r="G18" s="1607"/>
      <c r="H18" s="1607"/>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69.83</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400"/>
      <c r="E20" s="3401"/>
      <c r="F20" s="3401"/>
      <c r="G20" s="3401"/>
      <c r="H20" s="3401"/>
      <c r="I20" s="3402"/>
      <c r="J20" s="3073"/>
      <c r="K20" s="3056"/>
      <c r="L20" s="3052"/>
      <c r="M20" s="3052"/>
      <c r="N20" s="3053"/>
      <c r="O20" s="3054"/>
      <c r="P20" s="3053"/>
      <c r="Q20" s="3053"/>
      <c r="R20" s="3053"/>
      <c r="S20" s="3053"/>
      <c r="T20" s="3053"/>
      <c r="U20" s="3053"/>
    </row>
    <row r="21" spans="1:21">
      <c r="A21" s="1679" t="s">
        <v>1946</v>
      </c>
      <c r="B21" s="1680" t="s">
        <v>1947</v>
      </c>
      <c r="C21" s="1675">
        <f>'数据-汇总表'!E3</f>
        <v>136066.92000000001</v>
      </c>
      <c r="D21" s="1676" t="s">
        <v>1948</v>
      </c>
      <c r="E21" s="3390" t="s">
        <v>1986</v>
      </c>
      <c r="F21" s="3391"/>
      <c r="G21" s="3391"/>
      <c r="H21" s="3391"/>
      <c r="I21" s="3392"/>
      <c r="J21" s="3073"/>
      <c r="K21" s="3056"/>
      <c r="L21" s="3052"/>
      <c r="M21" s="3052"/>
      <c r="N21" s="3053"/>
      <c r="O21" s="3054"/>
      <c r="P21" s="3053"/>
      <c r="Q21" s="3053"/>
      <c r="R21" s="3053"/>
      <c r="S21" s="3053"/>
      <c r="T21" s="3053"/>
      <c r="U21" s="3053"/>
    </row>
    <row r="22" spans="1:21">
      <c r="A22" s="2801" t="s">
        <v>942</v>
      </c>
      <c r="B22" s="1587" t="s">
        <v>1949</v>
      </c>
      <c r="C22" s="1609">
        <f>'数据-汇总表'!D3</f>
        <v>54426.77</v>
      </c>
      <c r="D22" s="1610" t="s">
        <v>1948</v>
      </c>
      <c r="E22" s="3390" t="s">
        <v>2865</v>
      </c>
      <c r="F22" s="3391"/>
      <c r="G22" s="3391"/>
      <c r="H22" s="3391"/>
      <c r="I22" s="3392"/>
      <c r="J22" s="3073"/>
      <c r="K22" s="3056"/>
      <c r="L22" s="3052"/>
      <c r="M22" s="3052"/>
      <c r="N22" s="3053"/>
      <c r="O22" s="3054"/>
      <c r="P22" s="3053"/>
      <c r="Q22" s="3053"/>
      <c r="R22" s="3053"/>
      <c r="S22" s="3053"/>
      <c r="T22" s="3053"/>
      <c r="U22" s="3053"/>
    </row>
    <row r="23" spans="1:21" ht="43.5" thickBot="1">
      <c r="A23" s="1681" t="s">
        <v>1950</v>
      </c>
      <c r="B23" s="1621" t="s">
        <v>1951</v>
      </c>
      <c r="C23" s="1622"/>
      <c r="D23" s="1623" t="s">
        <v>1952</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393" t="s">
        <v>1954</v>
      </c>
      <c r="C24" s="3394"/>
      <c r="D24" s="3395" t="s">
        <v>1955</v>
      </c>
      <c r="E24" s="3396"/>
      <c r="F24" s="1628" t="s">
        <v>1956</v>
      </c>
      <c r="G24" s="3073"/>
      <c r="H24" s="3073"/>
      <c r="I24" s="3077"/>
      <c r="J24" s="3073"/>
      <c r="K24" s="3381"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81"/>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81"/>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408" t="s">
        <v>1989</v>
      </c>
      <c r="B31" s="1680" t="s">
        <v>1990</v>
      </c>
      <c r="C31" s="3406"/>
      <c r="D31" s="3407"/>
      <c r="E31" s="3073"/>
      <c r="F31" s="3073"/>
      <c r="G31" s="3073"/>
      <c r="H31" s="3073"/>
      <c r="I31" s="3077"/>
      <c r="J31" s="3073"/>
      <c r="K31" s="3059"/>
      <c r="L31" s="3053"/>
      <c r="M31" s="3053"/>
      <c r="N31" s="3053"/>
      <c r="O31" s="3053"/>
      <c r="P31" s="3053"/>
      <c r="Q31" s="3053"/>
      <c r="R31" s="3053"/>
      <c r="S31" s="3053"/>
      <c r="T31" s="3053"/>
      <c r="U31" s="3053"/>
    </row>
    <row r="32" spans="1:21">
      <c r="A32" s="3408"/>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408"/>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409"/>
      <c r="B34" s="1587" t="s">
        <v>1993</v>
      </c>
      <c r="C34" s="3410"/>
      <c r="D34" s="3411"/>
      <c r="E34" s="3073"/>
      <c r="F34" s="3073"/>
      <c r="G34" s="3073"/>
      <c r="H34" s="3073"/>
      <c r="I34" s="3077"/>
      <c r="J34" s="3073"/>
      <c r="K34" s="3059"/>
      <c r="L34" s="3053"/>
      <c r="M34" s="3053"/>
      <c r="N34" s="3053"/>
      <c r="O34" s="3053"/>
      <c r="P34" s="3053"/>
      <c r="Q34" s="3053"/>
      <c r="R34" s="3053"/>
      <c r="S34" s="3053"/>
      <c r="T34" s="3053"/>
      <c r="U34" s="3053"/>
    </row>
    <row r="35" spans="1:28">
      <c r="A35" s="3412" t="s">
        <v>838</v>
      </c>
      <c r="B35" s="1642"/>
      <c r="C35" s="1689" t="str">
        <f>IF(B35="场地平整","——","具体情况：")</f>
        <v>具体情况：</v>
      </c>
      <c r="D35" s="3414"/>
      <c r="E35" s="3415"/>
      <c r="F35" s="3415"/>
      <c r="G35" s="3415"/>
      <c r="H35" s="3415"/>
      <c r="I35" s="3416"/>
      <c r="J35" s="3073"/>
      <c r="K35" s="3060"/>
      <c r="L35" s="3052"/>
      <c r="M35" s="3052"/>
      <c r="N35" s="3053"/>
      <c r="O35" s="3054"/>
      <c r="P35" s="3053"/>
      <c r="Q35" s="3053"/>
      <c r="R35" s="3053"/>
      <c r="S35" s="3053"/>
      <c r="T35" s="3053"/>
      <c r="U35" s="3053"/>
    </row>
    <row r="36" spans="1:28">
      <c r="A36" s="3408"/>
      <c r="B36" s="3417" t="s">
        <v>2042</v>
      </c>
      <c r="C36" s="3418"/>
      <c r="D36" s="1705"/>
      <c r="E36" s="3419"/>
      <c r="F36" s="3419"/>
      <c r="G36" s="1610" t="str">
        <f>IF(B35="场地未平整","估价结果处理","")</f>
        <v/>
      </c>
      <c r="H36" s="3420"/>
      <c r="I36" s="3420"/>
      <c r="J36" s="3073"/>
      <c r="K36" s="3060"/>
      <c r="L36" s="3052"/>
      <c r="M36" s="3052"/>
      <c r="N36" s="3053"/>
      <c r="O36" s="3054"/>
      <c r="P36" s="3053"/>
      <c r="Q36" s="3053"/>
      <c r="R36" s="3053"/>
      <c r="S36" s="3053"/>
      <c r="T36" s="3053"/>
      <c r="U36" s="3053"/>
    </row>
    <row r="37" spans="1:28" ht="28.5">
      <c r="A37" s="3408"/>
      <c r="B37" s="3397"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408"/>
      <c r="B38" s="3398"/>
      <c r="C38" s="1595" t="s">
        <v>841</v>
      </c>
      <c r="D38" s="1704">
        <f>ROUNDDOWN(MIN(('数据-取费表'!$B$2-D37)/365,D34),1)</f>
        <v>121.2</v>
      </c>
      <c r="E38" s="1647" t="s">
        <v>842</v>
      </c>
      <c r="F38" s="3073"/>
      <c r="G38" s="3073"/>
      <c r="H38" s="3073"/>
      <c r="I38" s="3077"/>
      <c r="J38" s="3073"/>
      <c r="K38" s="3060"/>
      <c r="L38" s="3053"/>
      <c r="M38" s="3053"/>
      <c r="N38" s="3053"/>
      <c r="O38" s="3053"/>
      <c r="P38" s="3053"/>
      <c r="Q38" s="3053"/>
      <c r="R38" s="3053"/>
      <c r="S38" s="3053"/>
      <c r="T38" s="3053"/>
      <c r="U38" s="3053"/>
    </row>
    <row r="39" spans="1:28">
      <c r="A39" s="3409"/>
      <c r="B39" s="3399"/>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c r="C40" s="1611"/>
      <c r="D40" s="1611"/>
      <c r="E40" s="1611"/>
      <c r="F40" s="1611"/>
      <c r="G40" s="1611"/>
      <c r="H40" s="1611"/>
      <c r="I40" s="3077"/>
      <c r="J40" s="3073"/>
      <c r="K40" s="3021">
        <f>COUNTIF(B40:H40,"——")</f>
        <v>0</v>
      </c>
      <c r="L40" s="1619" t="s">
        <v>1966</v>
      </c>
      <c r="M40" s="1616" t="s">
        <v>1967</v>
      </c>
      <c r="N40" s="1616" t="s">
        <v>1968</v>
      </c>
      <c r="O40" s="1616" t="s">
        <v>1969</v>
      </c>
      <c r="P40" s="1616" t="s">
        <v>1970</v>
      </c>
      <c r="Q40" s="1616" t="s">
        <v>1971</v>
      </c>
      <c r="R40" s="1616" t="s">
        <v>1972</v>
      </c>
      <c r="S40" s="3380" t="s">
        <v>1973</v>
      </c>
      <c r="T40" s="1651" t="str">
        <f>NUMBERSTRING(7-K40,1)&amp;"通"</f>
        <v>七通</v>
      </c>
      <c r="U40" s="3053"/>
    </row>
    <row r="41" spans="1:28">
      <c r="A41" s="1589"/>
      <c r="B41" s="3413" t="s">
        <v>1711</v>
      </c>
      <c r="C41" s="3413"/>
      <c r="D41" s="3413"/>
      <c r="E41" s="3413"/>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80"/>
      <c r="T41" s="1653" t="str">
        <f>IF(T40="一通",L41,IF(T40="二通",M41,IF(T40="三通",N41,IF(T40="四通",O41,IF(T40="五通",P41,IF(T40="六通",Q41,R41))))))</f>
        <v>、、、、、、</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2866</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2320</v>
      </c>
      <c r="BA2" s="2219"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54426.77</v>
      </c>
      <c r="B3" s="22">
        <f>IF(C3="否",G5-AT5,G5)</f>
        <v>136066.92000000001</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136066.92000000001</v>
      </c>
      <c r="H5" s="27">
        <f t="shared" ref="H5:AT5" si="0">SUM(H13:H641)</f>
        <v>136066.92000000001</v>
      </c>
      <c r="I5" s="27">
        <f t="shared" si="0"/>
        <v>136066.92000000001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136066.92000000001</v>
      </c>
      <c r="BA5" s="29">
        <f t="shared" si="1"/>
        <v>136066.92000000001</v>
      </c>
      <c r="BB5" s="29">
        <f t="shared" si="1"/>
        <v>136066.92000000001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54426.77</v>
      </c>
      <c r="F6" s="27" t="s">
        <v>1</v>
      </c>
      <c r="G6" s="27" t="s">
        <v>2</v>
      </c>
      <c r="H6" s="33">
        <f>SUMIF(I$12:AB$12,"总值",I6:AB6)</f>
        <v>54426.77</v>
      </c>
      <c r="I6" s="27">
        <f t="shared" ref="I6:AB6" si="2">ROUND($A$3*I5/$B$3,2)</f>
        <v>54426.77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54426.77</v>
      </c>
      <c r="AZ6" s="27" t="s">
        <v>3</v>
      </c>
      <c r="BA6" s="27">
        <f>ROUND($AY$6*BA5/$AZ$5,2)</f>
        <v>54426.77</v>
      </c>
      <c r="BB6" s="27">
        <f>ROUND($AY$6*BB5/$AZ$5,2)</f>
        <v>54426.77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3004</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913</v>
      </c>
      <c r="J10" s="51"/>
      <c r="K10" s="2733"/>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89"/>
      <c r="AF11" s="2213" t="s">
        <v>2317</v>
      </c>
      <c r="AG11" s="989"/>
      <c r="AH11" s="2213" t="s">
        <v>2316</v>
      </c>
      <c r="AI11" s="2214"/>
      <c r="AJ11" s="2213" t="s">
        <v>2316</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1668</v>
      </c>
      <c r="E13" s="27">
        <f t="shared" ref="E13:E20" si="6">IF($C$3="是",ROUND($A$3*G13/$B$3,2),ROUND($A$3*(G13-AT13)/$B$3,2))</f>
        <v>54426.77</v>
      </c>
      <c r="F13" s="81"/>
      <c r="G13" s="82">
        <f t="shared" ref="G13:G20" si="7">H13+AC13+AT13</f>
        <v>136066.92000000001</v>
      </c>
      <c r="H13" s="33">
        <f t="shared" ref="H13:H20" si="8">SUMIF(I$12:AB$12,"总值",I13:AB13)</f>
        <v>136066.92000000001</v>
      </c>
      <c r="I13" s="2730">
        <v>136066.92000000001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3">
        <f t="shared" ref="AY13:AY20" si="11">ROUND($AY$6*AZ13/$AZ$5,2)</f>
        <v>54426.77</v>
      </c>
      <c r="AZ13" s="27">
        <f t="shared" ref="AZ13:AZ20" si="12">BA13+BL13</f>
        <v>136066.92000000001</v>
      </c>
      <c r="BA13" s="27">
        <f t="shared" ref="BA13:BA20" si="13">SUM(BB13:BK13)</f>
        <v>136066.92000000001</v>
      </c>
      <c r="BB13" s="27">
        <f t="shared" ref="BB13:BB20" si="14">IF($D13="是",I13-J13,0)</f>
        <v>136066.92000000001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1" t="s">
        <v>0</v>
      </c>
      <c r="B1" s="3421" t="s">
        <v>4</v>
      </c>
      <c r="C1" s="3421" t="s">
        <v>5</v>
      </c>
      <c r="D1" s="3422" t="s">
        <v>40</v>
      </c>
      <c r="E1" s="3422" t="s">
        <v>41</v>
      </c>
      <c r="F1" s="3422"/>
      <c r="G1" s="3422"/>
      <c r="H1" s="3422"/>
      <c r="I1" s="3422"/>
      <c r="J1" s="3422"/>
      <c r="K1" s="3422"/>
      <c r="L1" s="3422"/>
      <c r="M1" s="3422"/>
    </row>
    <row r="2" spans="1:13" ht="27" customHeight="1">
      <c r="A2" s="3421"/>
      <c r="B2" s="3421"/>
      <c r="C2" s="3421"/>
      <c r="D2" s="3422"/>
      <c r="E2" s="3422" t="s">
        <v>24</v>
      </c>
      <c r="F2" s="3422" t="s">
        <v>25</v>
      </c>
      <c r="G2" s="3422"/>
      <c r="H2" s="3422"/>
      <c r="I2" s="3422"/>
      <c r="J2" s="3422" t="s">
        <v>26</v>
      </c>
      <c r="K2" s="3422"/>
      <c r="L2" s="3422"/>
      <c r="M2" s="3422"/>
    </row>
    <row r="3" spans="1:13" ht="28.5">
      <c r="A3" s="3421"/>
      <c r="B3" s="3421"/>
      <c r="C3" s="3421"/>
      <c r="D3" s="3422"/>
      <c r="E3" s="34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2" t="s">
        <v>42</v>
      </c>
      <c r="B9" s="3422"/>
      <c r="C9" s="34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44" sqref="G44"/>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2" t="s">
        <v>203</v>
      </c>
      <c r="B2" s="3432"/>
      <c r="C2" s="3432"/>
      <c r="D2" s="1888" t="s">
        <v>204</v>
      </c>
      <c r="E2" s="106" t="s">
        <v>205</v>
      </c>
      <c r="F2" s="3082"/>
      <c r="G2" s="1180"/>
      <c r="H2" s="1181"/>
      <c r="I2" s="1182" t="s">
        <v>848</v>
      </c>
      <c r="J2" s="3082"/>
      <c r="K2" s="3082"/>
      <c r="L2" s="3082"/>
      <c r="M2" s="3082"/>
      <c r="N2" s="3082"/>
      <c r="O2" s="3082"/>
      <c r="P2" s="3082"/>
    </row>
    <row r="3" spans="1:16" ht="15.75" thickBot="1">
      <c r="A3" s="3433" t="s">
        <v>206</v>
      </c>
      <c r="B3" s="3433"/>
      <c r="C3" s="3433"/>
      <c r="D3" s="107">
        <f>'数据-基础表'!AY6</f>
        <v>54426.77</v>
      </c>
      <c r="E3" s="107">
        <f>'数据-基础表'!AZ5</f>
        <v>136066.92000000001</v>
      </c>
      <c r="F3" s="3082"/>
      <c r="G3" s="278" t="s">
        <v>849</v>
      </c>
      <c r="H3" s="273" t="s">
        <v>850</v>
      </c>
      <c r="I3" s="1889">
        <f>ROUND('数据-基础表'!B3/'数据-基础表'!A3,2)</f>
        <v>2.5</v>
      </c>
      <c r="J3" s="3082"/>
      <c r="K3" s="3082"/>
      <c r="L3" s="3082"/>
      <c r="M3" s="3082"/>
      <c r="N3" s="3082"/>
      <c r="O3" s="3082"/>
      <c r="P3" s="3082"/>
    </row>
    <row r="4" spans="1:16" ht="15">
      <c r="A4" s="3434"/>
      <c r="B4" s="3435"/>
      <c r="C4" s="3436"/>
      <c r="D4" s="108" t="s">
        <v>204</v>
      </c>
      <c r="E4" s="109" t="s">
        <v>205</v>
      </c>
      <c r="F4" s="3082"/>
      <c r="G4" s="1183"/>
      <c r="H4" s="273" t="s">
        <v>851</v>
      </c>
      <c r="I4" s="1889">
        <f>ROUND(SUMIF('数据-基础表'!I9:AS9,"地上",'数据-基础表'!I5:AS5)/'数据-基础表'!A3,2)</f>
        <v>2.5</v>
      </c>
      <c r="J4" s="3082"/>
      <c r="K4" s="3082"/>
      <c r="L4" s="3082"/>
      <c r="M4" s="3082"/>
      <c r="N4" s="3082"/>
      <c r="O4" s="3082"/>
      <c r="P4" s="3082"/>
    </row>
    <row r="5" spans="1:16">
      <c r="A5" s="110" t="s">
        <v>207</v>
      </c>
      <c r="B5" s="3437" t="s">
        <v>230</v>
      </c>
      <c r="C5" s="3437"/>
      <c r="D5" s="111">
        <f>ROUND($D$3*E5/$E$3,2)</f>
        <v>54426.77</v>
      </c>
      <c r="E5" s="112">
        <f>SUMIF('数据-基础表'!$11:$11,"住宅",'数据-基础表'!$5:$5)</f>
        <v>136066.92000000001</v>
      </c>
      <c r="F5" s="3082"/>
      <c r="G5" s="278" t="s">
        <v>852</v>
      </c>
      <c r="H5" s="273" t="s">
        <v>850</v>
      </c>
      <c r="I5" s="1889">
        <f>ROUND(E31/D31,2)</f>
        <v>2.5</v>
      </c>
      <c r="J5" s="3082"/>
      <c r="K5" s="3082"/>
      <c r="L5" s="3082"/>
      <c r="M5" s="3082"/>
      <c r="N5" s="3082"/>
      <c r="O5" s="3082"/>
      <c r="P5" s="3082"/>
    </row>
    <row r="6" spans="1:16" ht="15" thickBot="1">
      <c r="A6" s="113"/>
      <c r="B6" s="3437" t="s">
        <v>208</v>
      </c>
      <c r="C6" s="3437"/>
      <c r="D6" s="111">
        <f>ROUND($D$3*E6/$E$3,2)</f>
        <v>0</v>
      </c>
      <c r="E6" s="112">
        <f>E3-E5</f>
        <v>0</v>
      </c>
      <c r="F6" s="3082"/>
      <c r="G6" s="1183"/>
      <c r="H6" s="273" t="s">
        <v>851</v>
      </c>
      <c r="I6" s="1889">
        <f>ROUND(F31/D31,2)</f>
        <v>2.5</v>
      </c>
      <c r="J6" s="3082"/>
      <c r="K6" s="3082"/>
      <c r="L6" s="3082"/>
      <c r="M6" s="3082"/>
      <c r="N6" s="3082"/>
      <c r="O6" s="3082"/>
      <c r="P6" s="3082"/>
    </row>
    <row r="7" spans="1:16" ht="15">
      <c r="A7" s="3429"/>
      <c r="B7" s="3430"/>
      <c r="C7" s="3431"/>
      <c r="D7" s="108" t="s">
        <v>204</v>
      </c>
      <c r="E7" s="114" t="s">
        <v>231</v>
      </c>
      <c r="F7" s="3082"/>
      <c r="G7" s="1138" t="s">
        <v>1635</v>
      </c>
      <c r="H7" s="1139"/>
      <c r="I7" s="1759">
        <v>4</v>
      </c>
      <c r="J7" s="3082"/>
      <c r="K7" s="3082"/>
      <c r="L7" s="3082"/>
      <c r="M7" s="3082"/>
      <c r="N7" s="3082"/>
      <c r="O7" s="3082"/>
      <c r="P7" s="3082"/>
    </row>
    <row r="8" spans="1:16">
      <c r="A8" s="110" t="s">
        <v>209</v>
      </c>
      <c r="B8" s="115" t="s">
        <v>210</v>
      </c>
      <c r="C8" s="111" t="s">
        <v>211</v>
      </c>
      <c r="D8" s="111">
        <f t="shared" ref="D8:D15" si="0">ROUND($D$3*E8/$E$3,2)</f>
        <v>54426.77</v>
      </c>
      <c r="E8" s="116">
        <f>SUMIF('数据-基础表'!BB10:BK10,"地上",'数据-基础表'!BB5:BK5)</f>
        <v>136066.92000000001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54426.77</v>
      </c>
      <c r="E16" s="120">
        <f>SUM(E8:E15)</f>
        <v>136066.92000000001</v>
      </c>
      <c r="F16" s="3082"/>
      <c r="G16" s="3083"/>
      <c r="H16" s="955" t="s">
        <v>219</v>
      </c>
      <c r="I16" s="956"/>
      <c r="J16" s="1897"/>
      <c r="K16" s="3423" t="s">
        <v>2546</v>
      </c>
      <c r="L16" s="3424"/>
      <c r="M16" s="3424"/>
      <c r="N16" s="3424"/>
      <c r="O16" s="3424"/>
      <c r="P16" s="3425"/>
    </row>
    <row r="17" spans="1:19" ht="15">
      <c r="A17" s="121" t="s">
        <v>216</v>
      </c>
      <c r="B17" s="122" t="s">
        <v>217</v>
      </c>
      <c r="C17" s="2177" t="s">
        <v>2300</v>
      </c>
      <c r="D17" s="108" t="s">
        <v>204</v>
      </c>
      <c r="E17" s="124" t="s">
        <v>205</v>
      </c>
      <c r="F17" s="125"/>
      <c r="G17" s="1318"/>
      <c r="H17" s="957" t="s">
        <v>218</v>
      </c>
      <c r="I17" s="958" t="s">
        <v>2299</v>
      </c>
      <c r="J17" s="1897"/>
      <c r="K17" s="3426" t="s">
        <v>2547</v>
      </c>
      <c r="L17" s="3427"/>
      <c r="M17" s="3428"/>
      <c r="N17" s="3426" t="s">
        <v>2548</v>
      </c>
      <c r="O17" s="3427"/>
      <c r="P17" s="3428"/>
      <c r="R17" s="2178" t="s">
        <v>2298</v>
      </c>
      <c r="S17" s="142"/>
    </row>
    <row r="18" spans="1:19" ht="15">
      <c r="A18" s="117"/>
      <c r="B18" s="128"/>
      <c r="C18" s="129"/>
      <c r="D18" s="2483"/>
      <c r="E18" s="130" t="s">
        <v>220</v>
      </c>
      <c r="F18" s="131" t="s">
        <v>221</v>
      </c>
      <c r="G18" s="1319" t="s">
        <v>222</v>
      </c>
      <c r="H18" s="959" t="s">
        <v>223</v>
      </c>
      <c r="I18" s="960" t="s">
        <v>224</v>
      </c>
      <c r="J18" s="1897"/>
      <c r="K18" s="2448" t="s">
        <v>2549</v>
      </c>
      <c r="L18" s="2449" t="s">
        <v>2550</v>
      </c>
      <c r="M18" s="2450" t="s">
        <v>2551</v>
      </c>
      <c r="N18" s="2448" t="s">
        <v>2549</v>
      </c>
      <c r="O18" s="2449" t="s">
        <v>2550</v>
      </c>
      <c r="P18" s="2450" t="s">
        <v>2551</v>
      </c>
      <c r="R18" s="2179" t="s">
        <v>2296</v>
      </c>
      <c r="S18" s="2179" t="s">
        <v>2297</v>
      </c>
    </row>
    <row r="19" spans="1:19">
      <c r="A19" s="133"/>
      <c r="B19" s="115" t="s">
        <v>225</v>
      </c>
      <c r="C19" s="2737" t="s">
        <v>3005</v>
      </c>
      <c r="D19" s="111">
        <f t="shared" ref="D19:D26" si="1">ROUND($D$3*E19/$E$3,2)</f>
        <v>54426.77</v>
      </c>
      <c r="E19" s="134">
        <f t="shared" ref="E19:E26" si="2">SUM(F19:G19)</f>
        <v>136066.92000000001</v>
      </c>
      <c r="F19" s="3084">
        <f>'数据-基础表'!I13</f>
        <v>136066.92000000001</v>
      </c>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54426.77</v>
      </c>
      <c r="S19" s="2180">
        <f t="shared" si="5"/>
        <v>136066.92000000001</v>
      </c>
    </row>
    <row r="20" spans="1:19">
      <c r="A20" s="137"/>
      <c r="B20" s="115" t="s">
        <v>226</v>
      </c>
      <c r="C20" s="2737"/>
      <c r="D20" s="111">
        <f t="shared" si="1"/>
        <v>0</v>
      </c>
      <c r="E20" s="134">
        <f t="shared" si="2"/>
        <v>0</v>
      </c>
      <c r="F20" s="3084"/>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54426.77</v>
      </c>
      <c r="E27" s="141">
        <f>IF(SUM(E19:E26)='数据-基础表'!BA5,SUM(E19:E26),IF(F27="地上面积有误","面积有误","地下面积有误"))</f>
        <v>136066.92000000001</v>
      </c>
      <c r="F27" s="134">
        <f>IF(SUM(F19:F26)=E8,SUM(F19:F26),"地上面积有误")</f>
        <v>136066.92000000001</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54426.77</v>
      </c>
      <c r="S27" s="273">
        <f>IF(SUM(S19:S26)=$E$3,SUM(S19:S26),SUM(S19:S26)&amp;"误差"&amp;ROUND(SUM(S19:S26)-E3,2))</f>
        <v>136066.92000000001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2309</v>
      </c>
      <c r="D31" s="1322">
        <f>D27+D30</f>
        <v>54426.77</v>
      </c>
      <c r="E31" s="1322">
        <f>E27+E30</f>
        <v>136066.92000000001</v>
      </c>
      <c r="F31" s="1323">
        <f>F27+F30</f>
        <v>136066.92000000001</v>
      </c>
      <c r="G31" s="1324">
        <f>G27+G30</f>
        <v>0</v>
      </c>
      <c r="H31" s="3082"/>
      <c r="I31" s="3082"/>
      <c r="J31" s="3082"/>
      <c r="K31" s="3082"/>
      <c r="L31" s="3082"/>
      <c r="M31" s="3082"/>
      <c r="N31" s="3082"/>
      <c r="O31" s="3082"/>
      <c r="P31" s="3082"/>
    </row>
    <row r="32" spans="1:19">
      <c r="A32" s="1897"/>
      <c r="B32" s="2221" t="s">
        <v>2308</v>
      </c>
      <c r="C32" s="2488"/>
      <c r="D32" s="1183"/>
      <c r="E32" s="1183">
        <f>SUMIF(C19:C26,"*住宅*",E19:E26)</f>
        <v>136066.92000000001</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K26" sqref="K26"/>
    </sheetView>
  </sheetViews>
  <sheetFormatPr defaultColWidth="13.75" defaultRowHeight="12.75"/>
  <cols>
    <col min="1" max="1" width="20.875" style="1198" customWidth="1"/>
    <col min="2" max="3" width="12" style="1185" customWidth="1"/>
    <col min="4" max="4" width="9.125" style="1199" customWidth="1"/>
    <col min="5" max="5" width="17" style="1185"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44258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4" t="s">
        <v>2552</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3"/>
      <c r="AP5" s="3088" t="s">
        <v>2969</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69748</v>
      </c>
      <c r="F6" s="172">
        <f>SUMIF(项目基本情况!D$15:I$15,C6,项目基本情况!D$19:I$19)</f>
        <v>69.83</v>
      </c>
      <c r="G6" s="173">
        <f>IF(ISERROR(ROUND(POWER(1+H6,D6-F6)*(POWER(1+H6,F6)-1)/(POWER(1+H6,D6)-1),3)),0,ROUND(POWER(1+H6,D6-F6)*(POWER(1+H6,F6)-1)/(POWER(1+H6,D6)-1),3))</f>
        <v>1</v>
      </c>
      <c r="H6" s="2738">
        <v>4.4999999999999998E-2</v>
      </c>
      <c r="I6" s="2738">
        <v>0.05</v>
      </c>
      <c r="J6" s="174">
        <v>8.5000000000000006E-2</v>
      </c>
      <c r="K6" s="177">
        <f>SUMIF('数据-汇总表'!C$19:C$33,'数据-取费表'!A6,'数据-汇总表'!E$19:E$33)</f>
        <v>136066.92000000001</v>
      </c>
      <c r="L6" s="2739">
        <f>M24</f>
        <v>3400</v>
      </c>
      <c r="M6" s="175">
        <f t="shared" ref="M6:M14" si="0">ROUND(K6*L6/10000,0)</f>
        <v>46263</v>
      </c>
      <c r="N6" s="2740">
        <v>0</v>
      </c>
      <c r="O6" s="175">
        <f>IF($N$5="成新度","——",ROUND(M6*N6,0))</f>
        <v>0</v>
      </c>
      <c r="P6" s="176">
        <f>IF($N$5="成新度","——",M6-O6)</f>
        <v>46263</v>
      </c>
      <c r="Q6" s="2741">
        <v>0.15</v>
      </c>
      <c r="R6" s="177">
        <f>SUMIF('数据-汇总表'!C$19:C$33,A6,'数据-汇总表'!R$19:R$33)</f>
        <v>54426.77</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v>0.02</v>
      </c>
      <c r="W6" s="179">
        <v>0.1</v>
      </c>
      <c r="X6" s="2200"/>
      <c r="Y6" s="180">
        <v>1</v>
      </c>
      <c r="Z6" s="181"/>
      <c r="AA6" s="174"/>
      <c r="AB6" s="174"/>
      <c r="AC6" s="2203"/>
      <c r="AD6" s="182"/>
      <c r="AE6" s="959">
        <f ca="1">IF(AN6="",0,SUMIF(INDIRECT("'"&amp;AN6&amp;"'"&amp;"!E:E"),$AE$5,INDIRECT("'"&amp;AN6&amp;"'"&amp;"!F:F")))</f>
        <v>0</v>
      </c>
      <c r="AF6" s="139"/>
      <c r="AG6" s="1195">
        <f>IF(AF6="",0,AE6-AF6)</f>
        <v>0</v>
      </c>
      <c r="AH6" s="139"/>
      <c r="AI6" s="185">
        <v>365</v>
      </c>
      <c r="AJ6" s="186"/>
      <c r="AK6" s="187">
        <v>1.4999999999999999E-2</v>
      </c>
      <c r="AL6" s="188">
        <v>1.5E-3</v>
      </c>
      <c r="AM6" s="2752">
        <v>0.02</v>
      </c>
      <c r="AN6" s="2246"/>
      <c r="AO6" s="3092"/>
      <c r="AP6" s="1186">
        <f>ROUND(1-1/(1+H6)^F6,3)</f>
        <v>0.95399999999999996</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2"/>
      <c r="AP7" s="1186">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136066.92000000001</v>
      </c>
      <c r="L16" s="204">
        <f>ROUND(M16*10000/SUM(K6:K14),0)</f>
        <v>3400</v>
      </c>
      <c r="M16" s="204">
        <f>SUM(M6:M14)</f>
        <v>46263</v>
      </c>
      <c r="N16" s="205">
        <f>ROUND(SUMPRODUCT(M6:M14,N6:N14)/M16,3)</f>
        <v>0</v>
      </c>
      <c r="O16" s="204">
        <f>SUM(O6:O14)</f>
        <v>0</v>
      </c>
      <c r="P16" s="204">
        <f>SUM(P6:P14)</f>
        <v>46263</v>
      </c>
      <c r="Q16" s="206">
        <f>ROUND(SUMPRODUCT(Q6:Q13,K6:K13)/SUMPRODUCT((Q6:Q13&gt;0)*(K6:K13)),2)</f>
        <v>0.15</v>
      </c>
      <c r="R16" s="2190">
        <f>SUM(R6:R13)</f>
        <v>54426.77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0.95399999999999996</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2981</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v>0.2</v>
      </c>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309">
        <f>K16</f>
        <v>136066.92000000001</v>
      </c>
      <c r="M22" s="3089">
        <v>3000</v>
      </c>
      <c r="N22" s="3089">
        <f>L22*M22</f>
        <v>408200760.00000006</v>
      </c>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f>L22*L21</f>
        <v>27213.384000000005</v>
      </c>
      <c r="M23" s="3089">
        <v>2000</v>
      </c>
      <c r="N23" s="3089">
        <f>L23*M23</f>
        <v>54426768.000000007</v>
      </c>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f>N24/L22</f>
        <v>3400</v>
      </c>
      <c r="N24" s="3089">
        <f>N22+N23</f>
        <v>462627528.00000006</v>
      </c>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2324</v>
      </c>
      <c r="B27" s="225">
        <v>220</v>
      </c>
      <c r="C27" s="3105" t="s">
        <v>2982</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2325</v>
      </c>
      <c r="B28" s="227">
        <v>220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2323</v>
      </c>
      <c r="B29" s="230"/>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2970</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2971</v>
      </c>
      <c r="D34" s="3108" t="s">
        <v>2978</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2972</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2973</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2974</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2974</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93" t="s">
        <v>2998</v>
      </c>
      <c r="B40" s="2333">
        <f ca="1">IF(A40="利息：取LPR",存贷款利率!E2,存贷款利率!E2+C40)</f>
        <v>3.85E-2</v>
      </c>
      <c r="C40" s="3294">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2979</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2975</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2976</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2983</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2975</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2977</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6</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1316</v>
      </c>
      <c r="C53" s="3100" t="s">
        <v>2867</v>
      </c>
      <c r="D53" s="3111" t="s">
        <v>2980</v>
      </c>
      <c r="E53" s="3092" t="s">
        <v>3006</v>
      </c>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2868</v>
      </c>
      <c r="B54" s="184">
        <v>24</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2869</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2870</v>
      </c>
      <c r="B56" s="184">
        <v>6</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2871</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2872</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2873</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2874</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2875</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2876</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2877</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38" t="s">
        <v>1653</v>
      </c>
      <c r="B1" s="3439"/>
      <c r="C1" s="3439"/>
      <c r="D1" s="3439"/>
      <c r="E1" s="3439"/>
      <c r="F1" s="3439"/>
      <c r="G1" s="3439"/>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2884</v>
      </c>
      <c r="D3" s="3127"/>
      <c r="E3" s="3128" t="s">
        <v>1656</v>
      </c>
      <c r="F3" s="3129" t="s">
        <v>1644</v>
      </c>
      <c r="G3" s="3130" t="s">
        <v>2883</v>
      </c>
      <c r="H3" s="3123"/>
      <c r="I3" s="3123"/>
      <c r="J3" s="3123"/>
      <c r="K3" s="3123"/>
      <c r="L3" s="3123"/>
      <c r="M3" s="3123"/>
      <c r="N3" s="3123"/>
      <c r="O3" s="3123"/>
      <c r="P3" s="3123"/>
      <c r="Q3" s="3123"/>
      <c r="R3" s="3123"/>
    </row>
    <row r="4" spans="1:18" ht="40.5">
      <c r="A4" s="3128"/>
      <c r="B4" s="3131" t="s">
        <v>1657</v>
      </c>
      <c r="C4" s="3132" t="s">
        <v>2885</v>
      </c>
      <c r="D4" s="3127"/>
      <c r="E4" s="3133"/>
      <c r="F4" s="3134" t="s">
        <v>1658</v>
      </c>
      <c r="G4" s="3135" t="s">
        <v>2880</v>
      </c>
      <c r="H4" s="3123"/>
      <c r="I4" s="3123"/>
      <c r="J4" s="3123"/>
      <c r="K4" s="3123"/>
      <c r="L4" s="3123"/>
      <c r="M4" s="3123"/>
      <c r="N4" s="3123"/>
      <c r="O4" s="3123"/>
      <c r="P4" s="3123"/>
      <c r="Q4" s="3123"/>
      <c r="R4" s="3123"/>
    </row>
    <row r="5" spans="1:18" ht="41.25">
      <c r="A5" s="3128"/>
      <c r="B5" s="3131" t="s">
        <v>1659</v>
      </c>
      <c r="C5" s="3132" t="s">
        <v>2886</v>
      </c>
      <c r="D5" s="3127"/>
      <c r="E5" s="3133"/>
      <c r="F5" s="3131" t="s">
        <v>2526</v>
      </c>
      <c r="G5" s="3135" t="s">
        <v>2881</v>
      </c>
      <c r="H5" s="3123"/>
      <c r="I5" s="3123"/>
      <c r="J5" s="3123"/>
      <c r="K5" s="3123"/>
      <c r="L5" s="3123"/>
      <c r="M5" s="3123"/>
      <c r="N5" s="3123"/>
      <c r="O5" s="3123"/>
      <c r="P5" s="3123"/>
      <c r="Q5" s="3123"/>
      <c r="R5" s="3123"/>
    </row>
    <row r="6" spans="1:18" ht="40.5">
      <c r="A6" s="3128"/>
      <c r="B6" s="3131" t="s">
        <v>1645</v>
      </c>
      <c r="C6" s="3135" t="s">
        <v>2880</v>
      </c>
      <c r="D6" s="3127"/>
      <c r="E6" s="3133"/>
      <c r="F6" s="3131" t="s">
        <v>2527</v>
      </c>
      <c r="G6" s="3135" t="s">
        <v>2878</v>
      </c>
      <c r="H6" s="3123"/>
      <c r="I6" s="3123"/>
      <c r="J6" s="3123"/>
      <c r="K6" s="3123"/>
      <c r="L6" s="3123"/>
      <c r="M6" s="3123"/>
      <c r="N6" s="3123"/>
      <c r="O6" s="3123"/>
      <c r="P6" s="3123"/>
      <c r="Q6" s="3123"/>
      <c r="R6" s="3123"/>
    </row>
    <row r="7" spans="1:18" ht="27.75" thickBot="1">
      <c r="A7" s="3128"/>
      <c r="B7" s="3131" t="s">
        <v>2526</v>
      </c>
      <c r="C7" s="3135" t="s">
        <v>2881</v>
      </c>
      <c r="D7" s="3136"/>
      <c r="E7" s="3137"/>
      <c r="F7" s="3138" t="s">
        <v>1660</v>
      </c>
      <c r="G7" s="3139" t="s">
        <v>2882</v>
      </c>
      <c r="H7" s="3123"/>
      <c r="I7" s="3123"/>
      <c r="J7" s="3123"/>
      <c r="K7" s="3123"/>
      <c r="L7" s="3123"/>
      <c r="M7" s="3123"/>
      <c r="N7" s="3123"/>
      <c r="O7" s="3123"/>
      <c r="P7" s="3123"/>
      <c r="Q7" s="3123"/>
      <c r="R7" s="3123"/>
    </row>
    <row r="8" spans="1:18">
      <c r="A8" s="3128"/>
      <c r="B8" s="3131" t="s">
        <v>2527</v>
      </c>
      <c r="C8" s="3135" t="s">
        <v>2878</v>
      </c>
      <c r="D8" s="3136"/>
      <c r="E8" s="3136"/>
      <c r="F8" s="3140"/>
      <c r="G8" s="3140"/>
      <c r="H8" s="3123"/>
      <c r="I8" s="3123"/>
      <c r="J8" s="3123"/>
      <c r="K8" s="3123"/>
      <c r="L8" s="3123"/>
      <c r="M8" s="3123"/>
      <c r="N8" s="3123"/>
      <c r="O8" s="3123"/>
      <c r="P8" s="3123"/>
      <c r="Q8" s="3123"/>
      <c r="R8" s="3123"/>
    </row>
    <row r="9" spans="1:18" ht="27">
      <c r="A9" s="3128"/>
      <c r="B9" s="3131" t="s">
        <v>1646</v>
      </c>
      <c r="C9" s="3132" t="s">
        <v>2879</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2526</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2527</v>
      </c>
      <c r="G20" s="3175" t="str">
        <f>G6</f>
        <v>估价对象所在区域基础设施水平</v>
      </c>
    </row>
    <row r="21" spans="1:7" ht="27">
      <c r="A21" s="3170"/>
      <c r="B21" s="3131" t="s">
        <v>2526</v>
      </c>
      <c r="C21" s="3175" t="str">
        <f>C7</f>
        <v>估价对象所在区域公共配套设施齐备情况</v>
      </c>
      <c r="D21" s="3127"/>
      <c r="E21" s="3173"/>
      <c r="F21" s="3174" t="s">
        <v>1651</v>
      </c>
      <c r="G21" s="3177"/>
    </row>
    <row r="22" spans="1:7" ht="14.25">
      <c r="A22" s="3170"/>
      <c r="B22" s="3131" t="s">
        <v>2527</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tabSelected="1" view="pageBreakPreview" topLeftCell="A4" zoomScale="80" zoomScaleNormal="80" zoomScaleSheetLayoutView="80" workbookViewId="0">
      <selection activeCell="I18" sqref="I18"/>
    </sheetView>
  </sheetViews>
  <sheetFormatPr defaultColWidth="14.625" defaultRowHeight="13.5"/>
  <cols>
    <col min="1" max="1" width="24.375" style="3186" customWidth="1"/>
    <col min="2" max="16384" width="14.625" style="3186"/>
  </cols>
  <sheetData>
    <row r="1" spans="1:10" ht="16.5">
      <c r="A1" s="3185" t="s">
        <v>2822</v>
      </c>
      <c r="B1" s="3185">
        <f>SUM(B14:B23)</f>
        <v>494275.11</v>
      </c>
      <c r="C1" s="3194"/>
      <c r="D1" s="3194"/>
      <c r="E1" s="3194"/>
      <c r="F1" s="3194"/>
      <c r="G1" s="3195"/>
      <c r="H1" s="3195"/>
      <c r="I1" s="3195"/>
      <c r="J1" s="3195"/>
    </row>
    <row r="2" spans="1:10" ht="16.5">
      <c r="A2" s="3185" t="s">
        <v>2823</v>
      </c>
      <c r="B2" s="3185">
        <f>SUM(C14:C23)</f>
        <v>170248.81</v>
      </c>
      <c r="C2" s="3194"/>
      <c r="D2" s="3194"/>
      <c r="E2" s="3194"/>
      <c r="F2" s="3194"/>
      <c r="G2" s="3195"/>
      <c r="H2" s="3195"/>
      <c r="I2" s="3195"/>
      <c r="J2" s="3195"/>
    </row>
    <row r="3" spans="1:10" ht="16.5">
      <c r="A3" s="3185" t="s">
        <v>2824</v>
      </c>
      <c r="B3" s="3187">
        <f>项目基本情况!D3</f>
        <v>44258</v>
      </c>
      <c r="C3" s="3194"/>
      <c r="D3" s="3194"/>
      <c r="E3" s="3194"/>
      <c r="F3" s="3194"/>
      <c r="G3" s="3195"/>
      <c r="H3" s="3195"/>
      <c r="I3" s="3195"/>
      <c r="J3" s="3195"/>
    </row>
    <row r="4" spans="1:10" ht="33">
      <c r="A4" s="3185" t="s">
        <v>2825</v>
      </c>
      <c r="B4" s="3185" t="s">
        <v>2826</v>
      </c>
      <c r="C4" s="3185" t="s">
        <v>2827</v>
      </c>
      <c r="D4" s="3185" t="s">
        <v>2828</v>
      </c>
      <c r="E4" s="3194"/>
      <c r="F4" s="3194"/>
      <c r="G4" s="3195"/>
      <c r="H4" s="3195"/>
      <c r="I4" s="3195"/>
      <c r="J4" s="3195"/>
    </row>
    <row r="5" spans="1:10" ht="16.5">
      <c r="A5" s="3185" t="s">
        <v>2829</v>
      </c>
      <c r="B5" s="3185">
        <f ca="1">SUM(D14:D23)</f>
        <v>105924</v>
      </c>
      <c r="C5" s="3185">
        <f ca="1">ROUND(B5*10000/$B$1,0)</f>
        <v>2143</v>
      </c>
      <c r="D5" s="3185">
        <f ca="1">ROUND(B5*10000/$B$2,0)</f>
        <v>6222</v>
      </c>
      <c r="E5" s="3194"/>
      <c r="F5" s="3194"/>
      <c r="G5" s="3195"/>
      <c r="H5" s="3195"/>
      <c r="I5" s="3195"/>
      <c r="J5" s="3195"/>
    </row>
    <row r="6" spans="1:10" ht="16.5">
      <c r="A6" s="3185" t="s">
        <v>2830</v>
      </c>
      <c r="B6" s="3185">
        <f ca="1">SUM(G14:G23)</f>
        <v>105924</v>
      </c>
      <c r="C6" s="3185">
        <f t="shared" ref="C6:C8" ca="1" si="0">ROUND(B6*10000/$B$1,0)</f>
        <v>2143</v>
      </c>
      <c r="D6" s="3185">
        <f t="shared" ref="D6:D8" ca="1" si="1">ROUND(B6*10000/$B$2,0)</f>
        <v>6222</v>
      </c>
      <c r="E6" s="3194"/>
      <c r="F6" s="3194"/>
      <c r="G6" s="3195"/>
      <c r="H6" s="3195"/>
      <c r="I6" s="3195"/>
      <c r="J6" s="3195"/>
    </row>
    <row r="7" spans="1:10" ht="16.5">
      <c r="A7" s="3185" t="s">
        <v>2831</v>
      </c>
      <c r="B7" s="3185">
        <f>SUM(H14:H23)</f>
        <v>0</v>
      </c>
      <c r="C7" s="3185">
        <f t="shared" si="0"/>
        <v>0</v>
      </c>
      <c r="D7" s="3185">
        <f t="shared" si="1"/>
        <v>0</v>
      </c>
      <c r="E7" s="3194"/>
      <c r="F7" s="3194"/>
      <c r="G7" s="3195"/>
      <c r="H7" s="3195"/>
      <c r="I7" s="3195"/>
      <c r="J7" s="3195"/>
    </row>
    <row r="8" spans="1:10" ht="16.5">
      <c r="A8" s="3185" t="s">
        <v>2832</v>
      </c>
      <c r="B8" s="3185">
        <f ca="1">SUM(I14:I23)</f>
        <v>93558</v>
      </c>
      <c r="C8" s="3185">
        <f t="shared" ca="1" si="0"/>
        <v>1893</v>
      </c>
      <c r="D8" s="3185">
        <f t="shared" ca="1" si="1"/>
        <v>5495</v>
      </c>
      <c r="E8" s="3194"/>
      <c r="F8" s="3194"/>
      <c r="G8" s="3195"/>
      <c r="H8" s="3195"/>
      <c r="I8" s="3195"/>
      <c r="J8" s="3195"/>
    </row>
    <row r="9" spans="1:10" ht="16.5">
      <c r="A9" s="3185" t="s">
        <v>2833</v>
      </c>
      <c r="B9" s="3193"/>
      <c r="C9" s="3194"/>
      <c r="D9" s="3194"/>
      <c r="E9" s="3194"/>
      <c r="F9" s="3194"/>
      <c r="G9" s="3195"/>
      <c r="H9" s="3195"/>
      <c r="I9" s="3195"/>
      <c r="J9" s="3195"/>
    </row>
    <row r="10" spans="1:10" ht="16.5">
      <c r="A10" s="3185" t="s">
        <v>2834</v>
      </c>
      <c r="B10" s="3193"/>
      <c r="C10" s="3194"/>
      <c r="D10" s="3194"/>
      <c r="E10" s="3194"/>
      <c r="F10" s="3194"/>
      <c r="G10" s="3195"/>
      <c r="H10" s="3195"/>
      <c r="I10" s="3195"/>
      <c r="J10" s="3195"/>
    </row>
    <row r="11" spans="1:10" ht="16.5">
      <c r="A11" s="3185" t="s">
        <v>2847</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2846</v>
      </c>
      <c r="B13" s="3189" t="s">
        <v>2822</v>
      </c>
      <c r="C13" s="3189" t="s">
        <v>2823</v>
      </c>
      <c r="D13" s="3189" t="s">
        <v>2835</v>
      </c>
      <c r="E13" s="3185" t="s">
        <v>2845</v>
      </c>
      <c r="F13" s="3185" t="s">
        <v>2828</v>
      </c>
      <c r="G13" s="3189" t="s">
        <v>2836</v>
      </c>
      <c r="H13" s="3189" t="s">
        <v>2837</v>
      </c>
      <c r="I13" s="3189" t="s">
        <v>2838</v>
      </c>
      <c r="J13" s="3195"/>
    </row>
    <row r="14" spans="1:10" ht="16.5">
      <c r="A14" s="3190" t="s">
        <v>3172</v>
      </c>
      <c r="B14" s="3191">
        <f>结果表!L38</f>
        <v>136066.92000000001</v>
      </c>
      <c r="C14" s="3191">
        <f>结果表!K38</f>
        <v>54426.77</v>
      </c>
      <c r="D14" s="3191">
        <f ca="1">典型户型修正!S24</f>
        <v>31187</v>
      </c>
      <c r="E14" s="3191">
        <f ca="1">ROUND(D14*10000/B14,0)</f>
        <v>2292</v>
      </c>
      <c r="F14" s="3191">
        <f ca="1">ROUND(D14*10000/C14,0)</f>
        <v>5730</v>
      </c>
      <c r="G14" s="3191">
        <f ca="1">D14</f>
        <v>31187</v>
      </c>
      <c r="H14" s="3191" t="str">
        <f>结果表!C45</f>
        <v>——</v>
      </c>
      <c r="I14" s="3191">
        <f ca="1">结果表!N69-结果表!N74</f>
        <v>28375</v>
      </c>
      <c r="J14" s="3195"/>
    </row>
    <row r="15" spans="1:10" ht="16.5">
      <c r="A15" s="3190" t="s">
        <v>2839</v>
      </c>
      <c r="B15" s="3192"/>
      <c r="C15" s="3192"/>
      <c r="D15" s="3192"/>
      <c r="E15" s="3191" t="e">
        <f t="shared" ref="E15:E23" si="2">ROUND(D15*10000/B15,0)</f>
        <v>#DIV/0!</v>
      </c>
      <c r="F15" s="3191" t="e">
        <f t="shared" ref="F15:F23" si="3">ROUND(D15*10000/C15,0)</f>
        <v>#DIV/0!</v>
      </c>
      <c r="G15" s="2757">
        <f>D15</f>
        <v>0</v>
      </c>
      <c r="H15" s="2757"/>
      <c r="I15" s="3192"/>
      <c r="J15" s="3195"/>
    </row>
    <row r="16" spans="1:10" ht="16.5">
      <c r="A16" s="3190" t="s">
        <v>3173</v>
      </c>
      <c r="B16" s="3192">
        <f>C16*2.5</f>
        <v>140477.15</v>
      </c>
      <c r="C16" s="3192">
        <v>56190.86</v>
      </c>
      <c r="D16" s="3192">
        <f ca="1">典型户型修正!S26</f>
        <v>32197</v>
      </c>
      <c r="E16" s="3191">
        <f t="shared" ca="1" si="2"/>
        <v>2292</v>
      </c>
      <c r="F16" s="3191">
        <f t="shared" ca="1" si="3"/>
        <v>5730</v>
      </c>
      <c r="G16" s="2757">
        <f ca="1">D16</f>
        <v>32197</v>
      </c>
      <c r="H16" s="2757"/>
      <c r="I16" s="3192">
        <f ca="1">'结果表-24净值'!N69-'结果表-24净值'!N74</f>
        <v>29295</v>
      </c>
      <c r="J16" s="3195"/>
    </row>
    <row r="17" spans="1:10" ht="16.5">
      <c r="A17" s="3190" t="s">
        <v>3174</v>
      </c>
      <c r="B17" s="3192">
        <f>C17*2.5</f>
        <v>94559.599999999991</v>
      </c>
      <c r="C17" s="3192">
        <v>37823.839999999997</v>
      </c>
      <c r="D17" s="3192">
        <f ca="1">典型户型修正!S27</f>
        <v>21238</v>
      </c>
      <c r="E17" s="3191">
        <f t="shared" ca="1" si="2"/>
        <v>2246</v>
      </c>
      <c r="F17" s="3191">
        <f t="shared" ca="1" si="3"/>
        <v>5615</v>
      </c>
      <c r="G17" s="2757">
        <f ca="1">D17</f>
        <v>21238</v>
      </c>
      <c r="H17" s="2757"/>
      <c r="I17" s="3192">
        <f ca="1">'结果表-27净值'!N69-'结果表-27净值'!N74</f>
        <v>19408</v>
      </c>
      <c r="J17" s="3195"/>
    </row>
    <row r="18" spans="1:10" ht="16.5">
      <c r="A18" s="3190" t="s">
        <v>3175</v>
      </c>
      <c r="B18" s="3192">
        <f>[1]系统读取表!$B$14</f>
        <v>123171.43999999999</v>
      </c>
      <c r="C18" s="3192">
        <f>[1]系统读取表!$C$14</f>
        <v>21807.34</v>
      </c>
      <c r="D18" s="3192">
        <f ca="1">[2]系统读取表!$D$14</f>
        <v>21302</v>
      </c>
      <c r="E18" s="3191">
        <f t="shared" ca="1" si="2"/>
        <v>1729</v>
      </c>
      <c r="F18" s="3191">
        <f t="shared" ca="1" si="3"/>
        <v>9768</v>
      </c>
      <c r="G18" s="3192">
        <f ca="1">D18</f>
        <v>21302</v>
      </c>
      <c r="H18" s="3192"/>
      <c r="I18" s="3192">
        <f ca="1">[2]系统读取表!$I$14</f>
        <v>16480</v>
      </c>
      <c r="J18" s="3195"/>
    </row>
    <row r="19" spans="1:10" ht="16.5">
      <c r="A19" s="3190" t="s">
        <v>2840</v>
      </c>
      <c r="B19" s="3192"/>
      <c r="C19" s="3192"/>
      <c r="D19" s="3192"/>
      <c r="E19" s="3191" t="e">
        <f t="shared" si="2"/>
        <v>#DIV/0!</v>
      </c>
      <c r="F19" s="3191" t="e">
        <f t="shared" si="3"/>
        <v>#DIV/0!</v>
      </c>
      <c r="G19" s="3192"/>
      <c r="H19" s="3192"/>
      <c r="I19" s="3192"/>
      <c r="J19" s="3195"/>
    </row>
    <row r="20" spans="1:10" ht="16.5">
      <c r="A20" s="3190" t="s">
        <v>2841</v>
      </c>
      <c r="B20" s="3192"/>
      <c r="C20" s="3192"/>
      <c r="D20" s="3192"/>
      <c r="E20" s="3191" t="e">
        <f t="shared" si="2"/>
        <v>#DIV/0!</v>
      </c>
      <c r="F20" s="3191" t="e">
        <f t="shared" si="3"/>
        <v>#DIV/0!</v>
      </c>
      <c r="G20" s="3192"/>
      <c r="H20" s="3192"/>
      <c r="I20" s="3192"/>
      <c r="J20" s="3195"/>
    </row>
    <row r="21" spans="1:10" ht="16.5">
      <c r="A21" s="3190" t="s">
        <v>2842</v>
      </c>
      <c r="B21" s="3192"/>
      <c r="C21" s="3192"/>
      <c r="D21" s="3192"/>
      <c r="E21" s="3191" t="e">
        <f t="shared" si="2"/>
        <v>#DIV/0!</v>
      </c>
      <c r="F21" s="3191" t="e">
        <f t="shared" si="3"/>
        <v>#DIV/0!</v>
      </c>
      <c r="G21" s="3192"/>
      <c r="H21" s="3192"/>
      <c r="I21" s="3192"/>
      <c r="J21" s="3195"/>
    </row>
    <row r="22" spans="1:10" ht="16.5">
      <c r="A22" s="3190" t="s">
        <v>2843</v>
      </c>
      <c r="B22" s="3192"/>
      <c r="C22" s="3192"/>
      <c r="D22" s="3192"/>
      <c r="E22" s="3191" t="e">
        <f t="shared" si="2"/>
        <v>#DIV/0!</v>
      </c>
      <c r="F22" s="3191" t="e">
        <f t="shared" si="3"/>
        <v>#DIV/0!</v>
      </c>
      <c r="G22" s="3192"/>
      <c r="H22" s="3192"/>
      <c r="I22" s="3192"/>
      <c r="J22" s="3195"/>
    </row>
    <row r="23" spans="1:10" ht="16.5">
      <c r="A23" s="3190" t="s">
        <v>2844</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row r="30" spans="1:10">
      <c r="E30" s="3186">
        <f ca="1">[2]结果表!$K$19</f>
        <v>2328</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A81" sqref="A81"/>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95" t="s">
        <v>298</v>
      </c>
      <c r="B3" s="3496"/>
      <c r="C3" s="3496"/>
      <c r="D3" s="3496"/>
      <c r="E3" s="3496"/>
      <c r="F3" s="3496"/>
      <c r="G3" s="3496"/>
      <c r="H3" s="3496"/>
      <c r="I3" s="3496"/>
      <c r="J3" s="1912"/>
      <c r="K3" s="1911"/>
      <c r="L3" s="1911"/>
      <c r="M3" s="1911"/>
      <c r="N3" s="1911"/>
      <c r="O3" s="1911"/>
      <c r="P3" s="1911"/>
      <c r="Q3" s="1911"/>
      <c r="R3" s="1911"/>
      <c r="S3" s="1911"/>
      <c r="T3" s="1911"/>
      <c r="U3" s="1911"/>
      <c r="V3" s="1911"/>
    </row>
    <row r="4" spans="1:22" ht="14.25">
      <c r="A4" s="256" t="s">
        <v>299</v>
      </c>
      <c r="B4" s="257" t="s">
        <v>300</v>
      </c>
      <c r="C4" s="258" t="s">
        <v>3137</v>
      </c>
      <c r="D4" s="258" t="s">
        <v>3138</v>
      </c>
      <c r="E4" s="3459" t="s">
        <v>301</v>
      </c>
      <c r="F4" s="3501"/>
      <c r="G4" s="3501"/>
      <c r="H4" s="3501"/>
      <c r="I4" s="3460"/>
      <c r="J4" s="1912"/>
      <c r="K4" s="1911"/>
      <c r="L4" s="3196"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88" t="s">
        <v>302</v>
      </c>
      <c r="B5" s="3489">
        <v>25</v>
      </c>
      <c r="C5" s="3497"/>
      <c r="D5" s="3500"/>
      <c r="E5" s="259" t="s">
        <v>303</v>
      </c>
      <c r="F5" s="260"/>
      <c r="G5" s="260"/>
      <c r="H5" s="260"/>
      <c r="I5" s="261"/>
      <c r="J5" s="1912"/>
      <c r="K5" s="1911"/>
      <c r="L5" s="1911"/>
      <c r="M5" s="1911"/>
      <c r="N5" s="1911"/>
      <c r="O5" s="1911"/>
      <c r="P5" s="1911"/>
      <c r="Q5" s="1911"/>
      <c r="R5" s="1911"/>
      <c r="S5" s="1911"/>
      <c r="T5" s="1911"/>
      <c r="U5" s="1911"/>
      <c r="V5" s="1911"/>
    </row>
    <row r="6" spans="1:22" ht="14.25">
      <c r="A6" s="3488"/>
      <c r="B6" s="3489"/>
      <c r="C6" s="3498"/>
      <c r="D6" s="3500"/>
      <c r="E6" s="259" t="s">
        <v>304</v>
      </c>
      <c r="F6" s="260"/>
      <c r="G6" s="260"/>
      <c r="H6" s="260"/>
      <c r="I6" s="261"/>
      <c r="J6" s="1912"/>
      <c r="K6" s="1911"/>
      <c r="L6" s="1911"/>
      <c r="M6" s="1911"/>
      <c r="N6" s="1911"/>
      <c r="O6" s="1911"/>
      <c r="P6" s="1911"/>
      <c r="Q6" s="1911"/>
      <c r="R6" s="1911"/>
      <c r="S6" s="1911"/>
      <c r="T6" s="1911"/>
      <c r="U6" s="1911"/>
      <c r="V6" s="1911"/>
    </row>
    <row r="7" spans="1:22" ht="14.25">
      <c r="A7" s="3488"/>
      <c r="B7" s="3489"/>
      <c r="C7" s="3499"/>
      <c r="D7" s="3500"/>
      <c r="E7" s="259" t="s">
        <v>305</v>
      </c>
      <c r="F7" s="260"/>
      <c r="G7" s="260"/>
      <c r="H7" s="260"/>
      <c r="I7" s="261"/>
      <c r="J7" s="1912"/>
      <c r="K7" s="1911"/>
      <c r="L7" s="1911"/>
      <c r="M7" s="1911"/>
      <c r="N7" s="1911"/>
      <c r="O7" s="1911"/>
      <c r="P7" s="1911"/>
      <c r="Q7" s="1911"/>
      <c r="R7" s="1911"/>
      <c r="S7" s="1911"/>
      <c r="T7" s="1911"/>
      <c r="U7" s="1911"/>
      <c r="V7" s="1911"/>
    </row>
    <row r="8" spans="1:22" ht="14.25">
      <c r="A8" s="3488" t="s">
        <v>306</v>
      </c>
      <c r="B8" s="3489">
        <v>15</v>
      </c>
      <c r="C8" s="3497"/>
      <c r="D8" s="3500"/>
      <c r="E8" s="259" t="s">
        <v>307</v>
      </c>
      <c r="F8" s="260"/>
      <c r="G8" s="260"/>
      <c r="H8" s="260"/>
      <c r="I8" s="261"/>
      <c r="J8" s="1912"/>
      <c r="K8" s="1911"/>
      <c r="L8" s="1911"/>
      <c r="M8" s="1911"/>
      <c r="N8" s="1911"/>
      <c r="O8" s="1911"/>
      <c r="P8" s="1911"/>
      <c r="Q8" s="1911"/>
      <c r="R8" s="1911"/>
      <c r="S8" s="1911"/>
      <c r="T8" s="1911"/>
      <c r="U8" s="1911"/>
      <c r="V8" s="1911"/>
    </row>
    <row r="9" spans="1:22" ht="14.25">
      <c r="A9" s="3488"/>
      <c r="B9" s="3489"/>
      <c r="C9" s="3499"/>
      <c r="D9" s="3500"/>
      <c r="E9" s="259" t="s">
        <v>308</v>
      </c>
      <c r="F9" s="260"/>
      <c r="G9" s="260"/>
      <c r="H9" s="260"/>
      <c r="I9" s="261"/>
      <c r="J9" s="1912"/>
      <c r="K9" s="1911"/>
      <c r="L9" s="1911"/>
      <c r="M9" s="1911"/>
      <c r="N9" s="1911"/>
      <c r="O9" s="1911"/>
      <c r="P9" s="1911"/>
      <c r="Q9" s="1911"/>
      <c r="R9" s="1911"/>
      <c r="S9" s="1911"/>
      <c r="T9" s="1911"/>
      <c r="U9" s="1911"/>
      <c r="V9" s="1911"/>
    </row>
    <row r="10" spans="1:22" ht="14.25">
      <c r="A10" s="3488" t="s">
        <v>309</v>
      </c>
      <c r="B10" s="3489">
        <v>15</v>
      </c>
      <c r="C10" s="3497"/>
      <c r="D10" s="3500"/>
      <c r="E10" s="259" t="s">
        <v>310</v>
      </c>
      <c r="F10" s="260"/>
      <c r="G10" s="260"/>
      <c r="H10" s="260"/>
      <c r="I10" s="261"/>
      <c r="J10" s="1912"/>
      <c r="K10" s="1911"/>
      <c r="L10" s="1911"/>
      <c r="M10" s="1911"/>
      <c r="N10" s="1911"/>
      <c r="O10" s="1911"/>
      <c r="P10" s="1911"/>
      <c r="Q10" s="1911"/>
      <c r="R10" s="1911"/>
      <c r="S10" s="1911"/>
      <c r="T10" s="1911"/>
      <c r="U10" s="1911"/>
      <c r="V10" s="1911"/>
    </row>
    <row r="11" spans="1:22" ht="14.25">
      <c r="A11" s="3488"/>
      <c r="B11" s="3489"/>
      <c r="C11" s="3499"/>
      <c r="D11" s="3500"/>
      <c r="E11" s="259" t="s">
        <v>311</v>
      </c>
      <c r="F11" s="260"/>
      <c r="G11" s="260"/>
      <c r="H11" s="260"/>
      <c r="I11" s="261"/>
      <c r="J11" s="1912"/>
      <c r="K11" s="1911"/>
      <c r="L11" s="1911"/>
      <c r="M11" s="1911"/>
      <c r="N11" s="1911"/>
      <c r="O11" s="1911"/>
      <c r="P11" s="1911"/>
      <c r="Q11" s="1911"/>
      <c r="R11" s="1911"/>
      <c r="S11" s="1911"/>
      <c r="T11" s="1911"/>
      <c r="U11" s="1911"/>
      <c r="V11" s="1911"/>
    </row>
    <row r="12" spans="1:22" ht="14.25">
      <c r="A12" s="3488" t="s">
        <v>312</v>
      </c>
      <c r="B12" s="3489">
        <v>15</v>
      </c>
      <c r="C12" s="3497"/>
      <c r="D12" s="3500"/>
      <c r="E12" s="259" t="s">
        <v>313</v>
      </c>
      <c r="F12" s="260"/>
      <c r="G12" s="260"/>
      <c r="H12" s="260"/>
      <c r="I12" s="261"/>
      <c r="J12" s="1912"/>
      <c r="K12" s="1911"/>
      <c r="L12" s="1911"/>
      <c r="M12" s="1911"/>
      <c r="N12" s="1911"/>
      <c r="O12" s="1911"/>
      <c r="P12" s="1911"/>
      <c r="Q12" s="1911"/>
      <c r="R12" s="1911"/>
      <c r="S12" s="1911"/>
      <c r="T12" s="1911"/>
      <c r="U12" s="1911"/>
      <c r="V12" s="1911"/>
    </row>
    <row r="13" spans="1:22" ht="14.25">
      <c r="A13" s="3488"/>
      <c r="B13" s="3489"/>
      <c r="C13" s="3499"/>
      <c r="D13" s="3500"/>
      <c r="E13" s="259" t="s">
        <v>314</v>
      </c>
      <c r="F13" s="260"/>
      <c r="G13" s="260"/>
      <c r="H13" s="260"/>
      <c r="I13" s="261"/>
      <c r="J13" s="1912"/>
      <c r="K13" s="1911"/>
      <c r="L13" s="1911"/>
      <c r="M13" s="1911"/>
      <c r="N13" s="1911"/>
      <c r="O13" s="1911"/>
      <c r="P13" s="1911"/>
      <c r="Q13" s="1911"/>
      <c r="R13" s="1911"/>
      <c r="S13" s="1911"/>
      <c r="T13" s="1911"/>
      <c r="U13" s="1911"/>
      <c r="V13" s="1911"/>
    </row>
    <row r="14" spans="1:22" ht="14.25">
      <c r="A14" s="3488" t="s">
        <v>315</v>
      </c>
      <c r="B14" s="3489">
        <v>30</v>
      </c>
      <c r="C14" s="3497">
        <v>6</v>
      </c>
      <c r="D14" s="3500">
        <v>4</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88"/>
      <c r="B15" s="3489"/>
      <c r="C15" s="3498"/>
      <c r="D15" s="3500"/>
      <c r="E15" s="259" t="s">
        <v>317</v>
      </c>
      <c r="F15" s="260"/>
      <c r="G15" s="260"/>
      <c r="H15" s="260"/>
      <c r="I15" s="261"/>
      <c r="J15" s="1912"/>
      <c r="K15" s="1911"/>
      <c r="L15" s="1911"/>
      <c r="M15" s="1911"/>
      <c r="N15" s="1911"/>
      <c r="O15" s="1911"/>
      <c r="P15" s="1911"/>
      <c r="Q15" s="1911"/>
      <c r="R15" s="1911"/>
      <c r="S15" s="1911"/>
      <c r="T15" s="1911"/>
      <c r="U15" s="1911"/>
      <c r="V15" s="1911"/>
    </row>
    <row r="16" spans="1:22" ht="14.25">
      <c r="A16" s="3488"/>
      <c r="B16" s="3489"/>
      <c r="C16" s="3499"/>
      <c r="D16" s="350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6</v>
      </c>
      <c r="D17" s="263">
        <f>SUM(D5:D16)</f>
        <v>4</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0.6</v>
      </c>
      <c r="D18" s="265">
        <f>1-C18</f>
        <v>0.4</v>
      </c>
      <c r="E18" s="3502" t="s">
        <v>2958</v>
      </c>
      <c r="F18" s="3503"/>
      <c r="G18" s="3503"/>
      <c r="H18" s="3503"/>
      <c r="I18" s="3503"/>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25812</v>
      </c>
      <c r="D19" s="269">
        <f ca="1">SUMIF(INDIRECT("'"&amp;D4&amp;"'"&amp;"!A:A"),结果表!B19,INDIRECT("'"&amp;D4&amp;"'"&amp;"!B:B"))</f>
        <v>39248</v>
      </c>
      <c r="E19" s="266" t="s">
        <v>323</v>
      </c>
      <c r="F19" s="267" t="s">
        <v>322</v>
      </c>
      <c r="G19" s="270">
        <f ca="1">ROUND(C19*$C$18+D19*$D$18,0)</f>
        <v>31186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1897</v>
      </c>
      <c r="D20" s="275">
        <f ca="1">SUMIF(INDIRECT("'"&amp;D4&amp;"'"&amp;"!A:A"),结果表!B20,INDIRECT("'"&amp;D4&amp;"'"&amp;"!B:B"))</f>
        <v>2884</v>
      </c>
      <c r="E20" s="272"/>
      <c r="F20" s="273" t="s">
        <v>325</v>
      </c>
      <c r="G20" s="276">
        <f ca="1">ROUND(C20*$C$18+D20*$D$18,0)</f>
        <v>2292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4743</v>
      </c>
      <c r="D21" s="149">
        <f ca="1">SUMIF(INDIRECT("'"&amp;D4&amp;"'"&amp;"!A:A"),结果表!B21,INDIRECT("'"&amp;D4&amp;"'"&amp;"!B:B"))</f>
        <v>7211</v>
      </c>
      <c r="E21" s="272"/>
      <c r="F21" s="278" t="s">
        <v>327</v>
      </c>
      <c r="G21" s="280">
        <f ca="1">ROUND(C21*$C$18+D21*$D$18,0)</f>
        <v>5730</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0.52053308538664189</v>
      </c>
      <c r="E22" s="282"/>
      <c r="F22" s="283"/>
      <c r="G22" s="284">
        <f ca="1">ROUND(G19/('数据-汇总表'!D3/666.67),0)</f>
        <v>382</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1"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08"/>
      <c r="B25" s="1274" t="s">
        <v>331</v>
      </c>
      <c r="C25" s="288">
        <f>IF(B30=0,0,C30)</f>
        <v>0</v>
      </c>
      <c r="D25" s="289"/>
      <c r="E25" s="309"/>
      <c r="F25" s="309"/>
      <c r="G25" s="309"/>
      <c r="H25" s="309"/>
      <c r="I25" s="309"/>
      <c r="J25" s="1911"/>
      <c r="K25" s="1208" t="str">
        <f ca="1">项目基本情况!B16&amp;"国有建设用地使用权价格："&amp;O38&amp;"万元"</f>
        <v>出让国有建设用地使用权价格：31186万元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大写金额：人民币叁亿壹仟壹佰捌拾陆万元整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单位面积地价：5730元/平方米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楼面地价：2292元/平方米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抵押价格：31186万元</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str">
        <f ca="1">IF(K29="——","——","大写金额：人民币"&amp;NUMBERSTRING(INT(O39*10000),2)&amp;"元整")</f>
        <v>大写金额：人民币叁亿壹仟壹佰捌拾陆万元整</v>
      </c>
      <c r="L30" s="1205"/>
      <c r="M30" s="1205"/>
      <c r="N30" s="1205"/>
      <c r="O30" s="1204"/>
      <c r="P30" s="1911"/>
      <c r="V30" s="1911"/>
    </row>
    <row r="31" spans="1:26" ht="24" customHeight="1" thickBot="1">
      <c r="A31" s="3504" t="s">
        <v>2960</v>
      </c>
      <c r="B31" s="3504"/>
      <c r="C31" s="3504"/>
      <c r="D31" s="3504"/>
      <c r="E31" s="3504"/>
      <c r="F31" s="3504"/>
      <c r="G31" s="3504"/>
      <c r="H31" s="3504"/>
      <c r="I31" s="3504"/>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f ca="1">G19-C24</f>
        <v>31186</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2292</v>
      </c>
      <c r="D33" s="1333" t="s">
        <v>1681</v>
      </c>
      <c r="E33" s="3461"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f ca="1">ROUND(C32*10000/'数据-汇总表'!D3,0)</f>
        <v>5730</v>
      </c>
      <c r="D34" s="1335" t="s">
        <v>1681</v>
      </c>
      <c r="E34" s="346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382</v>
      </c>
      <c r="D35" s="1338" t="s">
        <v>1683</v>
      </c>
      <c r="E35" s="3463"/>
      <c r="F35" s="299" t="s">
        <v>342</v>
      </c>
      <c r="G35" s="969"/>
      <c r="H35" s="968" t="s">
        <v>343</v>
      </c>
      <c r="I35" s="309"/>
      <c r="J35" s="1911"/>
      <c r="K35" s="3467" t="s">
        <v>350</v>
      </c>
      <c r="L35" s="3467" t="s">
        <v>351</v>
      </c>
      <c r="M35" s="1217" t="s">
        <v>352</v>
      </c>
      <c r="N35" s="3467" t="s">
        <v>353</v>
      </c>
      <c r="O35" s="3467" t="s">
        <v>354</v>
      </c>
      <c r="P35" s="1911"/>
      <c r="V35" s="1911"/>
    </row>
    <row r="36" spans="1:26" ht="16.5" customHeight="1">
      <c r="A36" s="301" t="s">
        <v>344</v>
      </c>
      <c r="B36" s="302" t="s">
        <v>333</v>
      </c>
      <c r="C36" s="303" t="s">
        <v>345</v>
      </c>
      <c r="D36" s="303" t="s">
        <v>346</v>
      </c>
      <c r="E36" s="304" t="s">
        <v>347</v>
      </c>
      <c r="F36" s="309"/>
      <c r="G36" s="309"/>
      <c r="H36" s="309"/>
      <c r="I36" s="309"/>
      <c r="J36" s="1913"/>
      <c r="K36" s="3468"/>
      <c r="L36" s="3468"/>
      <c r="M36" s="1219" t="s">
        <v>355</v>
      </c>
      <c r="N36" s="3468"/>
      <c r="O36" s="3468"/>
      <c r="P36" s="1911"/>
      <c r="V36" s="1911"/>
    </row>
    <row r="37" spans="1:26" ht="16.5" customHeight="1" thickBot="1">
      <c r="A37" s="1213" t="s">
        <v>348</v>
      </c>
      <c r="B37" s="305"/>
      <c r="C37" s="292"/>
      <c r="D37" s="292"/>
      <c r="E37" s="293"/>
      <c r="F37" s="309"/>
      <c r="G37" s="309"/>
      <c r="H37" s="309"/>
      <c r="I37" s="309"/>
      <c r="J37" s="1913"/>
      <c r="K37" s="3469"/>
      <c r="L37" s="3469"/>
      <c r="M37" s="1220"/>
      <c r="N37" s="3469"/>
      <c r="O37" s="3469"/>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f ca="1">C34</f>
        <v>5730</v>
      </c>
      <c r="N38" s="1222">
        <f ca="1">C33</f>
        <v>2292</v>
      </c>
      <c r="O38" s="1223">
        <f ca="1">C32</f>
        <v>31186</v>
      </c>
      <c r="P38" s="1911"/>
      <c r="V38" s="1911"/>
    </row>
    <row r="39" spans="1:26" ht="16.5" customHeight="1" thickBot="1">
      <c r="A39" s="1218"/>
      <c r="B39" s="306"/>
      <c r="C39" s="307"/>
      <c r="D39" s="307"/>
      <c r="E39" s="308"/>
      <c r="F39" s="309"/>
      <c r="G39" s="309"/>
      <c r="H39" s="309"/>
      <c r="I39" s="309"/>
      <c r="J39" s="1913"/>
      <c r="K39" s="3480" t="str">
        <f>MID(A44,3,LEN(A44)-2)</f>
        <v>抵押价格</v>
      </c>
      <c r="L39" s="3481"/>
      <c r="M39" s="3481"/>
      <c r="N39" s="3482"/>
      <c r="O39" s="1340">
        <f ca="1">C44</f>
        <v>31186</v>
      </c>
      <c r="P39" s="1911"/>
      <c r="V39" s="1911"/>
    </row>
    <row r="40" spans="1:26" ht="19.5" thickBot="1">
      <c r="A40" s="104" t="s">
        <v>863</v>
      </c>
      <c r="B40" s="309"/>
      <c r="C40" s="309"/>
      <c r="D40" s="309"/>
      <c r="E40" s="309"/>
      <c r="F40" s="309"/>
      <c r="G40" s="309"/>
      <c r="H40" s="309"/>
      <c r="I40" s="309"/>
      <c r="J40" s="1913"/>
      <c r="K40" s="3480" t="str">
        <f t="shared" ref="K40:K41" si="0">MID(A45,3,LEN(A45)-2)</f>
        <v/>
      </c>
      <c r="L40" s="3481"/>
      <c r="M40" s="3481"/>
      <c r="N40" s="3482"/>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0" t="str">
        <f t="shared" si="0"/>
        <v/>
      </c>
      <c r="L41" s="3481"/>
      <c r="M41" s="3481"/>
      <c r="N41" s="3482"/>
      <c r="O41" s="1340" t="str">
        <f>C46</f>
        <v>——</v>
      </c>
      <c r="P41" s="1911"/>
      <c r="V41" s="1911"/>
    </row>
    <row r="42" spans="1:26" ht="29.25">
      <c r="A42" s="3509" t="s">
        <v>2055</v>
      </c>
      <c r="B42" s="3510"/>
      <c r="C42" s="262">
        <f ca="1">C32</f>
        <v>31186</v>
      </c>
      <c r="D42" s="315">
        <f ca="1">C33</f>
        <v>2292</v>
      </c>
      <c r="E42" s="315">
        <f ca="1">C34</f>
        <v>5730</v>
      </c>
      <c r="F42" s="316">
        <f ca="1">C35</f>
        <v>382</v>
      </c>
      <c r="G42" s="309"/>
      <c r="H42" s="309"/>
      <c r="I42" s="317"/>
      <c r="J42" s="1913"/>
      <c r="K42" s="1224" t="s">
        <v>361</v>
      </c>
      <c r="L42" s="1930" t="s">
        <v>362</v>
      </c>
      <c r="M42" s="1225" t="s">
        <v>363</v>
      </c>
      <c r="N42" s="1931" t="s">
        <v>364</v>
      </c>
      <c r="O42" s="1932" t="s">
        <v>365</v>
      </c>
      <c r="P42" s="1911"/>
      <c r="V42" s="1911"/>
    </row>
    <row r="43" spans="1:26" ht="30">
      <c r="A43" s="3519" t="s">
        <v>2709</v>
      </c>
      <c r="B43" s="3520"/>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25812</v>
      </c>
      <c r="M43" s="1228">
        <f>C18</f>
        <v>0.6</v>
      </c>
      <c r="N43" s="1229">
        <f ca="1">IF(N42="测算结果/万元",G19,G20)</f>
        <v>31186</v>
      </c>
      <c r="O43" s="1230">
        <f ca="1">IF(O42="最终结果/万元",C32,C33)</f>
        <v>31186</v>
      </c>
      <c r="P43" s="1911"/>
      <c r="V43" s="1911"/>
    </row>
    <row r="44" spans="1:26" ht="30.75" thickBot="1">
      <c r="A44" s="3509" t="str">
        <f>IF(OR(项目基本情况!E8="抵押价格",项目基本情况!E8="已注销及未注销"),"3.抵押价格","——")</f>
        <v>3.抵押价格</v>
      </c>
      <c r="B44" s="3510"/>
      <c r="C44" s="262">
        <f ca="1">IF(A44="——","——",C42-C43)</f>
        <v>31186</v>
      </c>
      <c r="D44" s="315">
        <f ca="1">ROUND(C44*10000/'数据-汇总表'!E3,0)</f>
        <v>2292</v>
      </c>
      <c r="E44" s="315">
        <f ca="1">ROUND(C44*10000/'数据-汇总表'!D3,0)</f>
        <v>5730</v>
      </c>
      <c r="F44" s="316">
        <f ca="1">ROUND(C44/('数据-汇总表'!D3/666.67),0)</f>
        <v>382</v>
      </c>
      <c r="G44" s="309"/>
      <c r="H44" s="309"/>
      <c r="I44" s="317"/>
      <c r="J44" s="1913"/>
      <c r="K44" s="1231" t="str">
        <f>D4</f>
        <v>剩余法-待开发</v>
      </c>
      <c r="L44" s="1232">
        <f ca="1">IF(L42="估价结果/万元",D19,D20)</f>
        <v>39248</v>
      </c>
      <c r="M44" s="1233">
        <f>D18</f>
        <v>0.4</v>
      </c>
      <c r="N44" s="1234"/>
      <c r="O44" s="1235"/>
      <c r="P44" s="1911"/>
      <c r="V44" s="1911"/>
    </row>
    <row r="45" spans="1:26" ht="15">
      <c r="A45" s="3514" t="str">
        <f>IF(项目基本情况!E8="已注销及未注销","4.抵押担保权已注销时的抵押价格",IF(项目基本情况!E8="已注销","3.抵押担保权已注销时的抵押价格","——"))</f>
        <v>——</v>
      </c>
      <c r="B45" s="3515"/>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1" t="str">
        <f>IF(项目基本情况!E9="抵押净值",IF(A45="——","4.抵押净值","5.抵押净值"),"——")</f>
        <v>——</v>
      </c>
      <c r="B46" s="3512"/>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2" t="s">
        <v>374</v>
      </c>
      <c r="B63" s="3473"/>
      <c r="C63" s="3474"/>
      <c r="D63" s="339">
        <f ca="1">ROUND(C42*F63,0)</f>
        <v>31186</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16" t="s">
        <v>378</v>
      </c>
      <c r="B64" s="3517"/>
      <c r="C64" s="3517"/>
      <c r="D64" s="3517"/>
      <c r="E64" s="3517"/>
      <c r="F64" s="3517"/>
      <c r="G64" s="3518"/>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3" t="s">
        <v>386</v>
      </c>
      <c r="B66" s="3479"/>
      <c r="C66" s="3479"/>
      <c r="D66" s="259">
        <f ca="1">IF(H66="情况1",0,IF(H66="情况2",D70,IF(H66="情况3",D71,IF(H66="情况4",D72))))</f>
        <v>1634</v>
      </c>
      <c r="E66" s="980" t="str">
        <f>IF(H66="情况4","(销售额-原购置价)×税（费）率","销售额×税（费）率")</f>
        <v>销售额×税（费）率</v>
      </c>
      <c r="F66" s="348">
        <f>IF(H66="情况1","免征",'数据-取费表'!B41)</f>
        <v>5.5000000000000007E-2</v>
      </c>
      <c r="G66" s="349" t="s">
        <v>387</v>
      </c>
      <c r="H66" s="189" t="s">
        <v>3166</v>
      </c>
      <c r="I66" s="1241"/>
      <c r="J66" s="1917"/>
      <c r="K66" s="1244">
        <v>1</v>
      </c>
      <c r="L66" s="3440" t="s">
        <v>385</v>
      </c>
      <c r="M66" s="3441"/>
      <c r="N66" s="2312"/>
      <c r="O66" s="2313"/>
      <c r="P66" s="2314"/>
      <c r="Q66" s="1911"/>
      <c r="R66" s="1911"/>
      <c r="S66" s="1911"/>
      <c r="T66" s="1911"/>
      <c r="U66" s="1911"/>
      <c r="V66" s="1911"/>
    </row>
    <row r="67" spans="1:22" ht="25.5" customHeight="1">
      <c r="A67" s="350" t="s">
        <v>389</v>
      </c>
      <c r="B67" s="3491" t="s">
        <v>390</v>
      </c>
      <c r="C67" s="3491"/>
      <c r="D67" s="351">
        <v>0</v>
      </c>
      <c r="E67" s="41" t="s">
        <v>391</v>
      </c>
      <c r="F67" s="62" t="s">
        <v>21</v>
      </c>
      <c r="G67" s="3475"/>
      <c r="H67" s="3006" t="s">
        <v>2961</v>
      </c>
      <c r="I67" s="3008"/>
      <c r="J67" s="1918"/>
      <c r="K67" s="1890">
        <v>2</v>
      </c>
      <c r="L67" s="3445" t="s">
        <v>388</v>
      </c>
      <c r="M67" s="3445"/>
      <c r="N67" s="1278">
        <f>'数据-取费表'!B2</f>
        <v>44258</v>
      </c>
      <c r="O67" s="1278"/>
      <c r="P67" s="1278"/>
      <c r="Q67" s="1911"/>
      <c r="R67" s="1911"/>
      <c r="S67" s="1911"/>
      <c r="T67" s="1911"/>
      <c r="U67" s="1911"/>
      <c r="V67" s="1911"/>
    </row>
    <row r="68" spans="1:22" ht="25.5" customHeight="1">
      <c r="A68" s="352"/>
      <c r="B68" s="3491" t="s">
        <v>393</v>
      </c>
      <c r="C68" s="3491"/>
      <c r="D68" s="353"/>
      <c r="E68" s="77"/>
      <c r="F68" s="354"/>
      <c r="G68" s="3476"/>
      <c r="H68" s="3007" t="s">
        <v>2962</v>
      </c>
      <c r="I68" s="3008"/>
      <c r="J68" s="1918"/>
      <c r="K68" s="1890">
        <v>3</v>
      </c>
      <c r="L68" s="3445" t="s">
        <v>392</v>
      </c>
      <c r="M68" s="3445"/>
      <c r="N68" s="1246">
        <f ca="1">C42</f>
        <v>31186</v>
      </c>
      <c r="O68" s="1246"/>
      <c r="P68" s="1246"/>
      <c r="Q68" s="1911"/>
      <c r="R68" s="1911"/>
      <c r="S68" s="1911"/>
      <c r="T68" s="1911"/>
      <c r="U68" s="1911"/>
      <c r="V68" s="1911"/>
    </row>
    <row r="69" spans="1:22" ht="23.45" customHeight="1">
      <c r="A69" s="355"/>
      <c r="B69" s="3491" t="s">
        <v>394</v>
      </c>
      <c r="C69" s="3491"/>
      <c r="D69" s="356"/>
      <c r="E69" s="73"/>
      <c r="F69" s="354"/>
      <c r="G69" s="3477"/>
      <c r="H69" s="3007" t="s">
        <v>2963</v>
      </c>
      <c r="I69" s="3008"/>
      <c r="J69" s="1918"/>
      <c r="K69" s="1247">
        <v>4</v>
      </c>
      <c r="L69" s="3446" t="s">
        <v>2857</v>
      </c>
      <c r="M69" s="3447"/>
      <c r="N69" s="1248">
        <f ca="1">C44</f>
        <v>31186</v>
      </c>
      <c r="O69" s="1248"/>
      <c r="P69" s="1248"/>
      <c r="Q69" s="1911"/>
      <c r="R69" s="1911"/>
      <c r="S69" s="1911"/>
      <c r="T69" s="1911"/>
      <c r="U69" s="1911"/>
      <c r="V69" s="1911"/>
    </row>
    <row r="70" spans="1:22" ht="24" customHeight="1">
      <c r="A70" s="357" t="s">
        <v>395</v>
      </c>
      <c r="B70" s="3491" t="s">
        <v>396</v>
      </c>
      <c r="C70" s="3491"/>
      <c r="D70" s="356">
        <f ca="1">ROUND(D63*'数据-取费表'!B41/(1+'数据-取费表'!C42),0)</f>
        <v>1634</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0" t="s">
        <v>2992</v>
      </c>
      <c r="C71" s="3507"/>
      <c r="D71" s="356">
        <f ca="1">ROUND(D63*'数据-取费表'!B41/(1+'数据-取费表'!C42),0)</f>
        <v>1634</v>
      </c>
      <c r="E71" s="17" t="s">
        <v>397</v>
      </c>
      <c r="F71" s="358">
        <f>'数据-取费表'!B41</f>
        <v>5.5000000000000007E-2</v>
      </c>
      <c r="G71" s="359"/>
      <c r="H71" s="309"/>
      <c r="I71" s="1245"/>
      <c r="J71" s="1918"/>
      <c r="K71" s="2764" t="s">
        <v>398</v>
      </c>
      <c r="L71" s="3448" t="s">
        <v>399</v>
      </c>
      <c r="M71" s="3448"/>
      <c r="N71" s="2764" t="s">
        <v>400</v>
      </c>
      <c r="O71" s="2764" t="s">
        <v>401</v>
      </c>
      <c r="P71" s="2764" t="s">
        <v>402</v>
      </c>
      <c r="Q71" s="1911"/>
      <c r="R71" s="1911"/>
      <c r="S71" s="1911"/>
      <c r="T71" s="1911"/>
      <c r="U71" s="1911"/>
      <c r="V71" s="1911"/>
    </row>
    <row r="72" spans="1:22" ht="12" customHeight="1">
      <c r="A72" s="357" t="s">
        <v>405</v>
      </c>
      <c r="B72" s="3490" t="s">
        <v>2993</v>
      </c>
      <c r="C72" s="3507"/>
      <c r="D72" s="356">
        <f ca="1">C86</f>
        <v>1634</v>
      </c>
      <c r="E72" s="73" t="s">
        <v>406</v>
      </c>
      <c r="F72" s="358">
        <f>'数据-取费表'!B41</f>
        <v>5.5000000000000007E-2</v>
      </c>
      <c r="G72" s="359"/>
      <c r="H72" s="1251"/>
      <c r="I72" s="1245"/>
      <c r="J72" s="1918"/>
      <c r="K72" s="1890">
        <v>1</v>
      </c>
      <c r="L72" s="3444" t="s">
        <v>404</v>
      </c>
      <c r="M72" s="3444"/>
      <c r="N72" s="1249">
        <f ca="1">D66</f>
        <v>1634</v>
      </c>
      <c r="O72" s="1773" t="str">
        <f>E66</f>
        <v>销售额×税（费）率</v>
      </c>
      <c r="P72" s="1250">
        <f>F66</f>
        <v>5.5000000000000007E-2</v>
      </c>
      <c r="Q72" s="1911"/>
      <c r="R72" s="1911"/>
      <c r="S72" s="1911"/>
      <c r="T72" s="1911"/>
      <c r="U72" s="1911"/>
      <c r="V72" s="1911"/>
    </row>
    <row r="73" spans="1:22" ht="24" customHeight="1">
      <c r="A73" s="3478" t="s">
        <v>408</v>
      </c>
      <c r="B73" s="3479"/>
      <c r="C73" s="3479"/>
      <c r="D73" s="360">
        <f ca="1">IF(H73="个人住宅",0,ROUND(D63*I73,0))</f>
        <v>16</v>
      </c>
      <c r="E73" s="17" t="s">
        <v>409</v>
      </c>
      <c r="F73" s="358">
        <f>IF(H73="正常",I73,"免征")</f>
        <v>5.0000000000000001E-4</v>
      </c>
      <c r="G73" s="359"/>
      <c r="H73" s="189" t="s">
        <v>3127</v>
      </c>
      <c r="I73" s="358">
        <f>'数据-取费表'!B49</f>
        <v>5.0000000000000001E-4</v>
      </c>
      <c r="J73" s="1918"/>
      <c r="K73" s="1890">
        <v>2</v>
      </c>
      <c r="L73" s="3444" t="s">
        <v>407</v>
      </c>
      <c r="M73" s="3444"/>
      <c r="N73" s="1249">
        <f t="shared" ref="N73:P74" ca="1" si="1">D73</f>
        <v>16</v>
      </c>
      <c r="O73" s="1773" t="str">
        <f t="shared" si="1"/>
        <v>销售额×税（费）率</v>
      </c>
      <c r="P73" s="1250">
        <f t="shared" si="1"/>
        <v>5.0000000000000001E-4</v>
      </c>
      <c r="Q73" s="1911"/>
      <c r="R73" s="1911"/>
      <c r="S73" s="1911"/>
      <c r="T73" s="1911"/>
      <c r="U73" s="1911"/>
      <c r="V73" s="1911"/>
    </row>
    <row r="74" spans="1:22" ht="24.75">
      <c r="A74" s="3478" t="s">
        <v>411</v>
      </c>
      <c r="B74" s="3479"/>
      <c r="C74" s="3479"/>
      <c r="D74" s="360">
        <f ca="1">IF(H74="个人住宅",D75,D76)</f>
        <v>2811</v>
      </c>
      <c r="E74" s="17" t="s">
        <v>412</v>
      </c>
      <c r="F74" s="358" t="str">
        <f>IF(H74="正常",F76,"免征")</f>
        <v>——</v>
      </c>
      <c r="G74" s="970" t="s">
        <v>413</v>
      </c>
      <c r="H74" s="361" t="s">
        <v>3127</v>
      </c>
      <c r="I74" s="42"/>
      <c r="J74" s="1918"/>
      <c r="K74" s="1890">
        <v>3</v>
      </c>
      <c r="L74" s="3444" t="s">
        <v>410</v>
      </c>
      <c r="M74" s="3444"/>
      <c r="N74" s="1249">
        <f t="shared" ca="1" si="1"/>
        <v>2811</v>
      </c>
      <c r="O74" s="1773" t="str">
        <f t="shared" si="1"/>
        <v>增值额×税（费）率</v>
      </c>
      <c r="P74" s="1252" t="str">
        <f t="shared" si="1"/>
        <v>——</v>
      </c>
      <c r="Q74" s="1911"/>
      <c r="R74" s="1911"/>
      <c r="S74" s="1911"/>
      <c r="T74" s="1911"/>
      <c r="U74" s="1911"/>
      <c r="V74" s="1911"/>
    </row>
    <row r="75" spans="1:22" ht="12.75">
      <c r="A75" s="357" t="s">
        <v>414</v>
      </c>
      <c r="B75" s="3459" t="s">
        <v>415</v>
      </c>
      <c r="C75" s="3460"/>
      <c r="D75" s="362">
        <v>0</v>
      </c>
      <c r="E75" s="41" t="s">
        <v>416</v>
      </c>
      <c r="F75" s="363"/>
      <c r="G75" s="359"/>
      <c r="H75" s="42"/>
      <c r="I75" s="42"/>
      <c r="J75" s="1918"/>
      <c r="K75" s="2758" t="str">
        <f>IF(H77="非个人房产","",4)</f>
        <v/>
      </c>
      <c r="L75" s="3444" t="str">
        <f>IF(H77="非个人房产","——","个人所得税")</f>
        <v>——</v>
      </c>
      <c r="M75" s="3444"/>
      <c r="N75" s="1253" t="str">
        <f>D77</f>
        <v>——</v>
      </c>
      <c r="O75" s="1786" t="str">
        <f>E77</f>
        <v>——</v>
      </c>
      <c r="P75" s="1254" t="str">
        <f>F77</f>
        <v>——</v>
      </c>
      <c r="Q75" s="1911"/>
      <c r="R75" s="1911"/>
      <c r="S75" s="1911"/>
      <c r="T75" s="1911"/>
      <c r="U75" s="1911"/>
      <c r="V75" s="1911"/>
    </row>
    <row r="76" spans="1:22" ht="24.75">
      <c r="A76" s="357" t="s">
        <v>395</v>
      </c>
      <c r="B76" s="3459" t="s">
        <v>418</v>
      </c>
      <c r="C76" s="3501"/>
      <c r="D76" s="360">
        <f ca="1">IF(H76="转让取得",C99,C115)</f>
        <v>2811</v>
      </c>
      <c r="E76" s="17" t="s">
        <v>419</v>
      </c>
      <c r="F76" s="53" t="s">
        <v>21</v>
      </c>
      <c r="G76" s="359"/>
      <c r="H76" s="361" t="s">
        <v>3167</v>
      </c>
      <c r="I76" s="42"/>
      <c r="J76" s="1918"/>
      <c r="K76" s="2758" t="str">
        <f>IF(项目基本情况!K6="上海银行",IF(K75="",4,K75+1),"")</f>
        <v/>
      </c>
      <c r="L76" s="3455" t="str">
        <f>IF(项目基本情况!K6="上海银行","其他处置费用","")</f>
        <v/>
      </c>
      <c r="M76" s="3456"/>
      <c r="N76" s="1249" t="str">
        <f>IF(项目基本情况!K6="上海银行",N89,"")</f>
        <v/>
      </c>
      <c r="O76" s="3457" t="str">
        <f>IF(项目基本情况!K6="上海银行","包含处置中涉及的律师、诉讼、拍卖、评估等费用","")</f>
        <v/>
      </c>
      <c r="P76" s="3458"/>
      <c r="Q76" s="1911"/>
      <c r="R76" s="1911"/>
      <c r="S76" s="1911"/>
      <c r="T76" s="1911"/>
      <c r="U76" s="1911"/>
      <c r="V76" s="1911"/>
    </row>
    <row r="77" spans="1:22" ht="24.75" thickBot="1">
      <c r="A77" s="3470" t="s">
        <v>421</v>
      </c>
      <c r="B77" s="3471"/>
      <c r="C77" s="3471"/>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413</v>
      </c>
      <c r="H77" s="3010" t="s">
        <v>3168</v>
      </c>
      <c r="I77" s="3009" t="s">
        <v>2964</v>
      </c>
      <c r="J77" s="1918"/>
      <c r="K77" s="3466">
        <f>IF(AND(K75="",K76=""),4,IF(项目基本情况!K6="上海银行",K76+1,K75+1))</f>
        <v>4</v>
      </c>
      <c r="L77" s="3444" t="s">
        <v>2858</v>
      </c>
      <c r="M77" s="2763" t="s">
        <v>417</v>
      </c>
      <c r="N77" s="1255"/>
      <c r="O77" s="1256">
        <f ca="1">SUMIF(N72:N76,"&lt;9e307")</f>
        <v>4461</v>
      </c>
      <c r="P77" s="1257"/>
      <c r="Q77" s="2761">
        <f ca="1">O77/N69</f>
        <v>0.14304495607003143</v>
      </c>
      <c r="R77" s="1911"/>
      <c r="S77" s="1911"/>
      <c r="T77" s="1911"/>
      <c r="U77" s="1911"/>
      <c r="V77" s="1911"/>
    </row>
    <row r="78" spans="1:22" ht="12" customHeight="1">
      <c r="A78" s="1258"/>
      <c r="B78" s="309"/>
      <c r="C78" s="309"/>
      <c r="D78" s="309"/>
      <c r="E78" s="42"/>
      <c r="F78" s="42"/>
      <c r="G78" s="42"/>
      <c r="H78" s="990"/>
      <c r="I78" s="309"/>
      <c r="J78" s="1918"/>
      <c r="K78" s="3466"/>
      <c r="L78" s="3444"/>
      <c r="M78" s="2763" t="s">
        <v>420</v>
      </c>
      <c r="N78" s="1255"/>
      <c r="O78" s="1256" t="str">
        <f ca="1">NUMBERSTRING(INT(O77*10000),2)&amp;"元整"</f>
        <v>肆仟肆佰陆拾壹万元整</v>
      </c>
      <c r="P78" s="1257"/>
      <c r="Q78" s="1911"/>
      <c r="R78" s="1911"/>
      <c r="S78" s="1911"/>
      <c r="T78" s="1911"/>
      <c r="U78" s="1911"/>
      <c r="V78" s="1911"/>
    </row>
    <row r="79" spans="1:22" ht="13.5" thickBot="1">
      <c r="A79" s="3521" t="s">
        <v>422</v>
      </c>
      <c r="B79" s="3521"/>
      <c r="C79" s="3521"/>
      <c r="D79" s="3521"/>
      <c r="E79" s="3521"/>
      <c r="F79" s="42"/>
      <c r="G79" s="42"/>
      <c r="H79" s="990"/>
      <c r="I79" s="309"/>
      <c r="J79" s="1918"/>
      <c r="K79" s="3442">
        <f>K77+1</f>
        <v>5</v>
      </c>
      <c r="L79" s="3444" t="s">
        <v>2859</v>
      </c>
      <c r="M79" s="2763" t="s">
        <v>417</v>
      </c>
      <c r="N79" s="1255"/>
      <c r="O79" s="1256">
        <f ca="1">N69-O77</f>
        <v>26725</v>
      </c>
      <c r="P79" s="1257"/>
      <c r="Q79" s="1911"/>
      <c r="R79" s="1911"/>
      <c r="S79" s="1911"/>
      <c r="T79" s="1911"/>
      <c r="U79" s="1911"/>
      <c r="V79" s="1911"/>
    </row>
    <row r="80" spans="1:22" ht="25.5">
      <c r="A80" s="3452" t="s">
        <v>423</v>
      </c>
      <c r="B80" s="3453"/>
      <c r="C80" s="981"/>
      <c r="D80" s="981" t="s">
        <v>424</v>
      </c>
      <c r="E80" s="364" t="s">
        <v>425</v>
      </c>
      <c r="F80" s="42"/>
      <c r="G80" s="42"/>
      <c r="H80" s="990"/>
      <c r="I80" s="309"/>
      <c r="J80" s="1911"/>
      <c r="K80" s="3443"/>
      <c r="L80" s="3444"/>
      <c r="M80" s="2763" t="s">
        <v>420</v>
      </c>
      <c r="N80" s="1255"/>
      <c r="O80" s="1256" t="str">
        <f ca="1">NUMBERSTRING(INT(O79*10000),2)&amp;"元整"</f>
        <v>贰亿陆仟柒佰贰拾伍万元整</v>
      </c>
      <c r="P80" s="1257"/>
      <c r="Q80" s="1911"/>
      <c r="R80" s="1911"/>
      <c r="S80" s="1911"/>
      <c r="T80" s="1911"/>
      <c r="U80" s="1911"/>
      <c r="V80" s="1911"/>
    </row>
    <row r="81" spans="1:26" ht="13.5" thickBot="1">
      <c r="A81" s="375" t="s">
        <v>1813</v>
      </c>
      <c r="B81" s="365" t="s">
        <v>426</v>
      </c>
      <c r="C81" s="366">
        <f ca="1">ROUND((C82+C83)/(1+'数据-取费表'!C42),0)</f>
        <v>29701</v>
      </c>
      <c r="D81" s="367"/>
      <c r="E81" s="368"/>
      <c r="F81" s="42"/>
      <c r="G81" s="42"/>
      <c r="H81" s="990"/>
      <c r="I81" s="309"/>
      <c r="J81" s="1911"/>
      <c r="K81" s="2758">
        <f>K79+1</f>
        <v>6</v>
      </c>
      <c r="L81" s="3464" t="s">
        <v>2860</v>
      </c>
      <c r="M81" s="3465"/>
      <c r="N81" s="1259"/>
      <c r="O81" s="1260">
        <f ca="1">ROUND(O79*10000/'数据-汇总表'!E3,0)</f>
        <v>1964</v>
      </c>
      <c r="P81" s="1261"/>
      <c r="Q81" s="1911"/>
      <c r="R81" s="1911"/>
      <c r="S81" s="1911"/>
      <c r="T81" s="1911"/>
      <c r="U81" s="1911"/>
      <c r="V81" s="1911"/>
    </row>
    <row r="82" spans="1:26" ht="13.5" thickTop="1">
      <c r="A82" s="369" t="s">
        <v>1814</v>
      </c>
      <c r="B82" s="370" t="s">
        <v>427</v>
      </c>
      <c r="C82" s="371">
        <f ca="1">D63</f>
        <v>31186</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4" t="s">
        <v>2848</v>
      </c>
      <c r="L83" s="2769" t="s">
        <v>2849</v>
      </c>
      <c r="M83" s="2759">
        <f ca="1">IF(N69&gt;10000,N69*0.5%,IF(AND(N69&gt;1000,N69&lt;=10000),N69*1%,IF(AND(N69&gt;100,N69&lt;=1000),N69*3%,IF(AND(N69&gt;10,N69&lt;=100),N69*5%,N69*8%))))</f>
        <v>155.93</v>
      </c>
      <c r="N83" s="53">
        <f ca="1">ROUND(M83,1)</f>
        <v>155.9</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4"/>
      <c r="L84" s="2769" t="s">
        <v>2850</v>
      </c>
      <c r="M84" s="2759">
        <f ca="1">IF(N69&gt;2000,N69*0.5%,IF(AND(N69&gt;1000,N69&lt;=2000),N69*0.6%,IF(AND(N69&gt;500,N69&lt;=1000),N69*0.7%,IF(AND(N69&gt;200,N69&lt;=500),N69*0.8%,IF(AND(N69&gt;100,N69&lt;=200),N69*0.9%,IF(AND(N69&gt;50,N69&lt;=100),N69*1%,IF(AND(N69&gt;20,N69&lt;=50),N69*1.5%,IF(AND(N69&gt;10,N69&lt;=20),N69*2%,IF(AND(N69&gt;1,N69&lt;=10),N69*2.5%)))))))))</f>
        <v>155.93</v>
      </c>
      <c r="N84" s="53">
        <f t="shared" ref="N84:N85" ca="1" si="2">ROUND(M84,1)</f>
        <v>155.9</v>
      </c>
      <c r="O84" s="1911" t="s">
        <v>2851</v>
      </c>
      <c r="P84" s="1911"/>
      <c r="Q84" s="1911"/>
      <c r="R84" s="1911"/>
      <c r="S84" s="1911"/>
      <c r="T84" s="1911"/>
      <c r="U84" s="1911"/>
      <c r="V84" s="1911"/>
    </row>
    <row r="85" spans="1:26" ht="12.75">
      <c r="A85" s="375" t="s">
        <v>1817</v>
      </c>
      <c r="B85" s="376" t="s">
        <v>430</v>
      </c>
      <c r="C85" s="379">
        <f ca="1">C81-C84</f>
        <v>29701</v>
      </c>
      <c r="D85" s="372" t="s">
        <v>19</v>
      </c>
      <c r="E85" s="373"/>
      <c r="F85" s="42"/>
      <c r="G85" s="42"/>
      <c r="H85" s="990"/>
      <c r="I85" s="309"/>
      <c r="J85" s="1911"/>
      <c r="K85" s="3454"/>
      <c r="L85" s="2769" t="s">
        <v>2852</v>
      </c>
      <c r="M85" s="2759">
        <f ca="1">IF(N69&gt;1000,N69*0.1%,IF(AND(N69&gt;500,N69&lt;=1000),N69*0.5%,IF(AND(N69&gt;50,N69&lt;=500),N69*1%,IF(AND(N69&gt;1,N69&lt;=50),N69*1.5%))))</f>
        <v>31.186</v>
      </c>
      <c r="N85" s="53">
        <f t="shared" ca="1" si="2"/>
        <v>31.2</v>
      </c>
      <c r="O85" s="1911" t="s">
        <v>2851</v>
      </c>
      <c r="P85" s="1911"/>
      <c r="Q85" s="1911"/>
      <c r="R85" s="1911"/>
      <c r="S85" s="1911"/>
      <c r="T85" s="1911"/>
      <c r="U85" s="1911"/>
      <c r="V85" s="1911"/>
    </row>
    <row r="86" spans="1:26" ht="13.5" thickBot="1">
      <c r="A86" s="380" t="s">
        <v>1818</v>
      </c>
      <c r="B86" s="381" t="s">
        <v>431</v>
      </c>
      <c r="C86" s="382">
        <f ca="1">IF(C85&lt;=0,0,ROUND(C85*D86,0))</f>
        <v>1634</v>
      </c>
      <c r="D86" s="383">
        <f>'数据-取费表'!B41</f>
        <v>5.5000000000000007E-2</v>
      </c>
      <c r="E86" s="384"/>
      <c r="F86" s="42"/>
      <c r="G86" s="42"/>
      <c r="H86" s="990"/>
      <c r="I86" s="309"/>
      <c r="J86" s="1911"/>
      <c r="K86" s="3454"/>
      <c r="L86" s="2769" t="s">
        <v>2853</v>
      </c>
      <c r="M86" s="2759">
        <f ca="1">N69*0.5%</f>
        <v>155.93</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4"/>
      <c r="L87" s="2769" t="s">
        <v>2855</v>
      </c>
      <c r="M87" s="2759">
        <f ca="1">IF(N69&gt;=10000,(8.25+(N69-10000)*0.01%),IF(AND(N69&gt;=8000,N69&lt;10000),(7.85+(N69-8000)*0.02%),IF(AND(N69&gt;=5000,N69&lt;8000),(6.65+(N69-5000)*0.04%),IF(AND(N69&gt;=2000,N69&lt;5000),(4.25+(PN69-2000)*0.08%),IF(AND(N69&gt;=1000,N69&lt;2000),(2.75+(N69-1000)*0.15%),IF(AND(N69&gt;=100,N69&lt;1000),(0.5+(N69-100)*0.25%),IF(AND(N69&gt;0,N69&lt;100),N69*0.5%)))))))</f>
        <v>10.368600000000001</v>
      </c>
      <c r="N87" s="53">
        <f ca="1">ROUND(M87*0.9,1)</f>
        <v>9.3000000000000007</v>
      </c>
      <c r="O87" s="2762"/>
      <c r="P87" s="1911"/>
      <c r="Q87" s="1911"/>
      <c r="R87" s="1911"/>
      <c r="S87" s="1911"/>
      <c r="T87" s="1911"/>
      <c r="U87" s="1911"/>
      <c r="V87" s="1911"/>
      <c r="W87" s="290"/>
      <c r="X87" s="290"/>
      <c r="Y87" s="290"/>
      <c r="Z87" s="290"/>
    </row>
    <row r="88" spans="1:26" s="1267" customFormat="1" ht="15" thickBot="1">
      <c r="A88" s="3493" t="s">
        <v>432</v>
      </c>
      <c r="B88" s="3494"/>
      <c r="C88" s="3494"/>
      <c r="D88" s="3494"/>
      <c r="E88" s="3494"/>
      <c r="F88" s="3494"/>
      <c r="G88" s="3494"/>
      <c r="H88" s="3494"/>
      <c r="I88" s="1268"/>
      <c r="J88" s="1919"/>
      <c r="K88" s="3454"/>
      <c r="L88" s="2769" t="s">
        <v>2856</v>
      </c>
      <c r="M88" s="2759">
        <f ca="1">IF(N69&gt;10000,N69*0.5%,IF(AND(N69&gt;5000,N69&lt;=10000),N69*1%,IF(AND(N69&gt;1000,N69&lt;=5000),N69*2%,IF(AND(N69&gt;200,N69&lt;=1000),N69*3%,N69*5%))))</f>
        <v>155.93</v>
      </c>
      <c r="N88" s="53">
        <f ca="1">ROUND(M88,1)</f>
        <v>155.9</v>
      </c>
      <c r="O88" s="2762"/>
      <c r="P88" s="1916"/>
      <c r="Q88" s="1916"/>
      <c r="R88" s="1916"/>
      <c r="S88" s="1916"/>
      <c r="T88" s="1916"/>
      <c r="U88" s="1916"/>
      <c r="V88" s="1916"/>
      <c r="W88" s="1920"/>
      <c r="X88" s="1920"/>
      <c r="Y88" s="1920"/>
      <c r="Z88" s="1920"/>
    </row>
    <row r="89" spans="1:26" s="1267" customFormat="1" ht="14.25">
      <c r="A89" s="3452" t="s">
        <v>423</v>
      </c>
      <c r="B89" s="3453"/>
      <c r="C89" s="981"/>
      <c r="D89" s="981" t="s">
        <v>424</v>
      </c>
      <c r="E89" s="385" t="s">
        <v>433</v>
      </c>
      <c r="F89" s="386"/>
      <c r="G89" s="386"/>
      <c r="H89" s="387"/>
      <c r="I89" s="1269"/>
      <c r="J89" s="1921"/>
      <c r="K89" s="3454"/>
      <c r="L89" s="2769" t="s">
        <v>27</v>
      </c>
      <c r="M89" s="2760"/>
      <c r="N89" s="53">
        <f ca="1">ROUND(SUM(N83:N88),0)</f>
        <v>509</v>
      </c>
      <c r="O89" s="2770">
        <f ca="1">N89/N69</f>
        <v>1.6321426281023538E-2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29701</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149</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0" t="s">
        <v>441</v>
      </c>
      <c r="F94" s="3491"/>
      <c r="G94" s="3491"/>
      <c r="H94" s="3492"/>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149</v>
      </c>
      <c r="D96" s="400">
        <f>'数据-取费表'!B43</f>
        <v>5.000000000000001E-3</v>
      </c>
      <c r="E96" s="3449" t="s">
        <v>2412</v>
      </c>
      <c r="F96" s="3450"/>
      <c r="G96" s="3450"/>
      <c r="H96" s="3451"/>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29552</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198.33557046979865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17679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3" t="s">
        <v>448</v>
      </c>
      <c r="B101" s="3494"/>
      <c r="C101" s="3494"/>
      <c r="D101" s="3494"/>
      <c r="E101" s="3494"/>
      <c r="F101" s="3494"/>
      <c r="G101" s="3494"/>
      <c r="H101" s="3494"/>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2" t="s">
        <v>423</v>
      </c>
      <c r="B102" s="3453"/>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29701</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20332.240000000002</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18348.240000000002</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973"/>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c r="D108" s="400"/>
      <c r="E108" s="411" t="str">
        <f>IF(H106="-","土地取得成本中已包含该笔费用"," ")</f>
        <v xml:space="preserve"> </v>
      </c>
      <c r="F108" s="973"/>
      <c r="G108" s="3505" t="s">
        <v>2956</v>
      </c>
      <c r="H108" s="3506"/>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50"/>
      <c r="G109" s="3450"/>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1835</v>
      </c>
      <c r="D110" s="3275">
        <v>0.1</v>
      </c>
      <c r="E110" s="3483" t="s">
        <v>458</v>
      </c>
      <c r="F110" s="3450"/>
      <c r="G110" s="3450"/>
      <c r="H110" s="3451"/>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149</v>
      </c>
      <c r="D111" s="400">
        <f>'数据-取费表'!B43</f>
        <v>5.000000000000001E-3</v>
      </c>
      <c r="E111" s="3449" t="s">
        <v>2412</v>
      </c>
      <c r="F111" s="3450"/>
      <c r="G111" s="3450"/>
      <c r="H111" s="3451"/>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50"/>
      <c r="G112" s="3450"/>
      <c r="H112" s="3451"/>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9369</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0.46079526899151296</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2811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C14" sqref="C14:C1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95" t="s">
        <v>298</v>
      </c>
      <c r="B3" s="3496"/>
      <c r="C3" s="3496"/>
      <c r="D3" s="3496"/>
      <c r="E3" s="3496"/>
      <c r="F3" s="3496"/>
      <c r="G3" s="3496"/>
      <c r="H3" s="3496"/>
      <c r="I3" s="3496"/>
      <c r="J3" s="1912"/>
      <c r="K3" s="1911"/>
      <c r="L3" s="1911"/>
      <c r="M3" s="1911"/>
      <c r="N3" s="1911"/>
      <c r="O3" s="1911"/>
      <c r="P3" s="1911"/>
      <c r="Q3" s="1911"/>
      <c r="R3" s="1911"/>
      <c r="S3" s="1911"/>
      <c r="T3" s="1911"/>
      <c r="U3" s="1911"/>
      <c r="V3" s="1911"/>
    </row>
    <row r="4" spans="1:22" ht="14.25">
      <c r="A4" s="256" t="s">
        <v>299</v>
      </c>
      <c r="B4" s="257" t="s">
        <v>300</v>
      </c>
      <c r="C4" s="258"/>
      <c r="D4" s="258"/>
      <c r="E4" s="3459" t="s">
        <v>301</v>
      </c>
      <c r="F4" s="3501"/>
      <c r="G4" s="3501"/>
      <c r="H4" s="3501"/>
      <c r="I4" s="3460"/>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88" t="s">
        <v>302</v>
      </c>
      <c r="B5" s="3489">
        <v>25</v>
      </c>
      <c r="C5" s="3497"/>
      <c r="D5" s="3500"/>
      <c r="E5" s="259" t="s">
        <v>303</v>
      </c>
      <c r="F5" s="260"/>
      <c r="G5" s="260"/>
      <c r="H5" s="260"/>
      <c r="I5" s="261"/>
      <c r="J5" s="1912"/>
      <c r="K5" s="1911"/>
      <c r="L5" s="1911"/>
      <c r="M5" s="1911"/>
      <c r="N5" s="1911"/>
      <c r="O5" s="1911"/>
      <c r="P5" s="1911"/>
      <c r="Q5" s="1911"/>
      <c r="R5" s="1911"/>
      <c r="S5" s="1911"/>
      <c r="T5" s="1911"/>
      <c r="U5" s="1911"/>
      <c r="V5" s="1911"/>
    </row>
    <row r="6" spans="1:22" ht="14.25">
      <c r="A6" s="3488"/>
      <c r="B6" s="3489"/>
      <c r="C6" s="3498"/>
      <c r="D6" s="3500"/>
      <c r="E6" s="259" t="s">
        <v>304</v>
      </c>
      <c r="F6" s="260"/>
      <c r="G6" s="260"/>
      <c r="H6" s="260"/>
      <c r="I6" s="261"/>
      <c r="J6" s="1912"/>
      <c r="K6" s="1911"/>
      <c r="L6" s="1911"/>
      <c r="M6" s="1911"/>
      <c r="N6" s="1911"/>
      <c r="O6" s="1911"/>
      <c r="P6" s="1911"/>
      <c r="Q6" s="1911"/>
      <c r="R6" s="1911"/>
      <c r="S6" s="1911"/>
      <c r="T6" s="1911"/>
      <c r="U6" s="1911"/>
      <c r="V6" s="1911"/>
    </row>
    <row r="7" spans="1:22" ht="14.25">
      <c r="A7" s="3488"/>
      <c r="B7" s="3489"/>
      <c r="C7" s="3499"/>
      <c r="D7" s="3500"/>
      <c r="E7" s="259" t="s">
        <v>305</v>
      </c>
      <c r="F7" s="260"/>
      <c r="G7" s="260"/>
      <c r="H7" s="260"/>
      <c r="I7" s="261"/>
      <c r="J7" s="1912"/>
      <c r="K7" s="1911"/>
      <c r="L7" s="1911"/>
      <c r="M7" s="1911"/>
      <c r="N7" s="1911"/>
      <c r="O7" s="1911"/>
      <c r="P7" s="1911"/>
      <c r="Q7" s="1911"/>
      <c r="R7" s="1911"/>
      <c r="S7" s="1911"/>
      <c r="T7" s="1911"/>
      <c r="U7" s="1911"/>
      <c r="V7" s="1911"/>
    </row>
    <row r="8" spans="1:22" ht="14.25">
      <c r="A8" s="3488" t="s">
        <v>306</v>
      </c>
      <c r="B8" s="3489">
        <v>15</v>
      </c>
      <c r="C8" s="3497"/>
      <c r="D8" s="3500"/>
      <c r="E8" s="259" t="s">
        <v>307</v>
      </c>
      <c r="F8" s="260"/>
      <c r="G8" s="260"/>
      <c r="H8" s="260"/>
      <c r="I8" s="261"/>
      <c r="J8" s="1912"/>
      <c r="K8" s="1911"/>
      <c r="L8" s="1911"/>
      <c r="M8" s="1911"/>
      <c r="N8" s="1911"/>
      <c r="O8" s="1911"/>
      <c r="P8" s="1911"/>
      <c r="Q8" s="1911"/>
      <c r="R8" s="1911"/>
      <c r="S8" s="1911"/>
      <c r="T8" s="1911"/>
      <c r="U8" s="1911"/>
      <c r="V8" s="1911"/>
    </row>
    <row r="9" spans="1:22" ht="14.25">
      <c r="A9" s="3488"/>
      <c r="B9" s="3489"/>
      <c r="C9" s="3499"/>
      <c r="D9" s="3500"/>
      <c r="E9" s="259" t="s">
        <v>308</v>
      </c>
      <c r="F9" s="260"/>
      <c r="G9" s="260"/>
      <c r="H9" s="260"/>
      <c r="I9" s="261"/>
      <c r="J9" s="1912"/>
      <c r="K9" s="1911"/>
      <c r="L9" s="1911"/>
      <c r="M9" s="1911"/>
      <c r="N9" s="1911"/>
      <c r="O9" s="1911"/>
      <c r="P9" s="1911"/>
      <c r="Q9" s="1911"/>
      <c r="R9" s="1911"/>
      <c r="S9" s="1911"/>
      <c r="T9" s="1911"/>
      <c r="U9" s="1911"/>
      <c r="V9" s="1911"/>
    </row>
    <row r="10" spans="1:22" ht="14.25">
      <c r="A10" s="3488" t="s">
        <v>309</v>
      </c>
      <c r="B10" s="3489">
        <v>15</v>
      </c>
      <c r="C10" s="3497"/>
      <c r="D10" s="3500"/>
      <c r="E10" s="259" t="s">
        <v>310</v>
      </c>
      <c r="F10" s="260"/>
      <c r="G10" s="260"/>
      <c r="H10" s="260"/>
      <c r="I10" s="261"/>
      <c r="J10" s="1912"/>
      <c r="K10" s="1911"/>
      <c r="L10" s="1911"/>
      <c r="M10" s="1911"/>
      <c r="N10" s="1911"/>
      <c r="O10" s="1911"/>
      <c r="P10" s="1911"/>
      <c r="Q10" s="1911"/>
      <c r="R10" s="1911"/>
      <c r="S10" s="1911"/>
      <c r="T10" s="1911"/>
      <c r="U10" s="1911"/>
      <c r="V10" s="1911"/>
    </row>
    <row r="11" spans="1:22" ht="14.25">
      <c r="A11" s="3488"/>
      <c r="B11" s="3489"/>
      <c r="C11" s="3499"/>
      <c r="D11" s="3500"/>
      <c r="E11" s="259" t="s">
        <v>311</v>
      </c>
      <c r="F11" s="260"/>
      <c r="G11" s="260"/>
      <c r="H11" s="260"/>
      <c r="I11" s="261"/>
      <c r="J11" s="1912"/>
      <c r="K11" s="1911"/>
      <c r="L11" s="1911"/>
      <c r="M11" s="1911"/>
      <c r="N11" s="1911"/>
      <c r="O11" s="1911"/>
      <c r="P11" s="1911"/>
      <c r="Q11" s="1911"/>
      <c r="R11" s="1911"/>
      <c r="S11" s="1911"/>
      <c r="T11" s="1911"/>
      <c r="U11" s="1911"/>
      <c r="V11" s="1911"/>
    </row>
    <row r="12" spans="1:22" ht="14.25">
      <c r="A12" s="3488" t="s">
        <v>312</v>
      </c>
      <c r="B12" s="3489">
        <v>15</v>
      </c>
      <c r="C12" s="3497"/>
      <c r="D12" s="3500"/>
      <c r="E12" s="259" t="s">
        <v>313</v>
      </c>
      <c r="F12" s="260"/>
      <c r="G12" s="260"/>
      <c r="H12" s="260"/>
      <c r="I12" s="261"/>
      <c r="J12" s="1912"/>
      <c r="K12" s="1911"/>
      <c r="L12" s="1911"/>
      <c r="M12" s="1911"/>
      <c r="N12" s="1911"/>
      <c r="O12" s="1911"/>
      <c r="P12" s="1911"/>
      <c r="Q12" s="1911"/>
      <c r="R12" s="1911"/>
      <c r="S12" s="1911"/>
      <c r="T12" s="1911"/>
      <c r="U12" s="1911"/>
      <c r="V12" s="1911"/>
    </row>
    <row r="13" spans="1:22" ht="14.25">
      <c r="A13" s="3488"/>
      <c r="B13" s="3489"/>
      <c r="C13" s="3499"/>
      <c r="D13" s="3500"/>
      <c r="E13" s="259" t="s">
        <v>314</v>
      </c>
      <c r="F13" s="260"/>
      <c r="G13" s="260"/>
      <c r="H13" s="260"/>
      <c r="I13" s="261"/>
      <c r="J13" s="1912"/>
      <c r="K13" s="1911"/>
      <c r="L13" s="1911"/>
      <c r="M13" s="1911"/>
      <c r="N13" s="1911"/>
      <c r="O13" s="1911"/>
      <c r="P13" s="1911"/>
      <c r="Q13" s="1911"/>
      <c r="R13" s="1911"/>
      <c r="S13" s="1911"/>
      <c r="T13" s="1911"/>
      <c r="U13" s="1911"/>
      <c r="V13" s="1911"/>
    </row>
    <row r="14" spans="1:22" ht="14.25">
      <c r="A14" s="3488" t="s">
        <v>315</v>
      </c>
      <c r="B14" s="3489">
        <v>30</v>
      </c>
      <c r="C14" s="3497"/>
      <c r="D14" s="3500"/>
      <c r="E14" s="259" t="s">
        <v>316</v>
      </c>
      <c r="F14" s="260"/>
      <c r="G14" s="260"/>
      <c r="H14" s="260"/>
      <c r="I14" s="261"/>
      <c r="J14" s="1912"/>
      <c r="K14" s="1911"/>
      <c r="L14" s="1911"/>
      <c r="M14" s="1911"/>
      <c r="N14" s="1911"/>
      <c r="O14" s="1911"/>
      <c r="P14" s="1911"/>
      <c r="Q14" s="1911"/>
      <c r="R14" s="1911"/>
      <c r="S14" s="1911"/>
      <c r="T14" s="1911"/>
      <c r="U14" s="1911"/>
      <c r="V14" s="1911"/>
    </row>
    <row r="15" spans="1:22" ht="14.25">
      <c r="A15" s="3488"/>
      <c r="B15" s="3489"/>
      <c r="C15" s="3498"/>
      <c r="D15" s="3500"/>
      <c r="E15" s="259" t="s">
        <v>317</v>
      </c>
      <c r="F15" s="260"/>
      <c r="G15" s="260"/>
      <c r="H15" s="260"/>
      <c r="I15" s="261"/>
      <c r="J15" s="1912"/>
      <c r="K15" s="1911"/>
      <c r="L15" s="1911"/>
      <c r="M15" s="1911"/>
      <c r="N15" s="1911"/>
      <c r="O15" s="1911"/>
      <c r="P15" s="1911"/>
      <c r="Q15" s="1911"/>
      <c r="R15" s="1911"/>
      <c r="S15" s="1911"/>
      <c r="T15" s="1911"/>
      <c r="U15" s="1911"/>
      <c r="V15" s="1911"/>
    </row>
    <row r="16" spans="1:22" ht="14.25">
      <c r="A16" s="3488"/>
      <c r="B16" s="3489"/>
      <c r="C16" s="3499"/>
      <c r="D16" s="350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502" t="s">
        <v>2958</v>
      </c>
      <c r="F18" s="3503"/>
      <c r="G18" s="3503"/>
      <c r="H18" s="3503"/>
      <c r="I18" s="3503"/>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SUMIF(INDIRECT("'"&amp;C4&amp;"'"&amp;"!A:A"),'结果表-23净值'!B19,INDIRECT("'"&amp;C4&amp;"'"&amp;"!B:B"))</f>
        <v>#REF!</v>
      </c>
      <c r="D19" s="269" t="e">
        <f ca="1">SUMIF(INDIRECT("'"&amp;D4&amp;"'"&amp;"!A:A"),'结果表-23净值'!B19,INDIRECT("'"&amp;D4&amp;"'"&amp;"!B:B"))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SUMIF(INDIRECT("'"&amp;C4&amp;"'"&amp;"!A:A"),'结果表-23净值'!B20,INDIRECT("'"&amp;C4&amp;"'"&amp;"!B:B"))</f>
        <v>#REF!</v>
      </c>
      <c r="D20" s="275" t="e">
        <f ca="1">SUMIF(INDIRECT("'"&amp;D4&amp;"'"&amp;"!A:A"),'结果表-23净值'!B20,INDIRECT("'"&amp;D4&amp;"'"&amp;"!B:B"))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SUMIF(INDIRECT("'"&amp;C4&amp;"'"&amp;"!A:A"),'结果表-23净值'!B21,INDIRECT("'"&amp;C4&amp;"'"&amp;"!B:B"))</f>
        <v>#REF!</v>
      </c>
      <c r="D21" s="149" t="e">
        <f ca="1">SUMIF(INDIRECT("'"&amp;D4&amp;"'"&amp;"!A:A"),'结果表-23净值'!B21,INDIRECT("'"&amp;D4&amp;"'"&amp;"!B:B"))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1"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08"/>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504" t="s">
        <v>2960</v>
      </c>
      <c r="B31" s="3504"/>
      <c r="C31" s="3504"/>
      <c r="D31" s="3504"/>
      <c r="E31" s="3504"/>
      <c r="F31" s="3504"/>
      <c r="G31" s="3504"/>
      <c r="H31" s="3504"/>
      <c r="I31" s="3504"/>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61"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6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63"/>
      <c r="F35" s="299" t="s">
        <v>342</v>
      </c>
      <c r="G35" s="969"/>
      <c r="H35" s="968" t="s">
        <v>343</v>
      </c>
      <c r="I35" s="309"/>
      <c r="J35" s="1911"/>
      <c r="K35" s="3467" t="s">
        <v>350</v>
      </c>
      <c r="L35" s="3467" t="s">
        <v>351</v>
      </c>
      <c r="M35" s="1217" t="s">
        <v>352</v>
      </c>
      <c r="N35" s="3467" t="s">
        <v>353</v>
      </c>
      <c r="O35" s="3467" t="s">
        <v>354</v>
      </c>
      <c r="P35" s="1911"/>
      <c r="V35" s="1911"/>
    </row>
    <row r="36" spans="1:26" ht="16.5" customHeight="1">
      <c r="A36" s="301" t="s">
        <v>344</v>
      </c>
      <c r="B36" s="302" t="s">
        <v>333</v>
      </c>
      <c r="C36" s="303" t="s">
        <v>345</v>
      </c>
      <c r="D36" s="303" t="s">
        <v>346</v>
      </c>
      <c r="E36" s="304" t="s">
        <v>347</v>
      </c>
      <c r="F36" s="309"/>
      <c r="G36" s="309"/>
      <c r="H36" s="309"/>
      <c r="I36" s="309"/>
      <c r="J36" s="1913"/>
      <c r="K36" s="3468"/>
      <c r="L36" s="3468"/>
      <c r="M36" s="1219" t="s">
        <v>355</v>
      </c>
      <c r="N36" s="3468"/>
      <c r="O36" s="3468"/>
      <c r="P36" s="1911"/>
      <c r="V36" s="1911"/>
    </row>
    <row r="37" spans="1:26" ht="16.5" customHeight="1" thickBot="1">
      <c r="A37" s="1213" t="s">
        <v>348</v>
      </c>
      <c r="B37" s="305"/>
      <c r="C37" s="292"/>
      <c r="D37" s="292"/>
      <c r="E37" s="293"/>
      <c r="F37" s="309"/>
      <c r="G37" s="309"/>
      <c r="H37" s="309"/>
      <c r="I37" s="309"/>
      <c r="J37" s="1913"/>
      <c r="K37" s="3469"/>
      <c r="L37" s="3469"/>
      <c r="M37" s="1220"/>
      <c r="N37" s="3469"/>
      <c r="O37" s="3469"/>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480" t="str">
        <f>MID(A44,3,LEN(A44)-2)</f>
        <v>抵押价格</v>
      </c>
      <c r="L39" s="3481"/>
      <c r="M39" s="3481"/>
      <c r="N39" s="3482"/>
      <c r="O39" s="1340" t="e">
        <f ca="1">C44</f>
        <v>#REF!</v>
      </c>
      <c r="P39" s="1911"/>
      <c r="V39" s="1911"/>
    </row>
    <row r="40" spans="1:26" ht="19.5" thickBot="1">
      <c r="A40" s="104" t="s">
        <v>863</v>
      </c>
      <c r="B40" s="309"/>
      <c r="C40" s="309"/>
      <c r="D40" s="309"/>
      <c r="E40" s="309"/>
      <c r="F40" s="309"/>
      <c r="G40" s="309"/>
      <c r="H40" s="309"/>
      <c r="I40" s="309"/>
      <c r="J40" s="1913"/>
      <c r="K40" s="3480" t="str">
        <f t="shared" ref="K40:K41" si="0">MID(A45,3,LEN(A45)-2)</f>
        <v/>
      </c>
      <c r="L40" s="3481"/>
      <c r="M40" s="3481"/>
      <c r="N40" s="3482"/>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0" t="str">
        <f t="shared" si="0"/>
        <v/>
      </c>
      <c r="L41" s="3481"/>
      <c r="M41" s="3481"/>
      <c r="N41" s="3482"/>
      <c r="O41" s="1340" t="str">
        <f>C46</f>
        <v>——</v>
      </c>
      <c r="P41" s="1911"/>
      <c r="V41" s="1911"/>
    </row>
    <row r="42" spans="1:26" ht="29.25">
      <c r="A42" s="3509" t="s">
        <v>2055</v>
      </c>
      <c r="B42" s="3510"/>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519" t="s">
        <v>2709</v>
      </c>
      <c r="B43" s="3520"/>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509" t="str">
        <f>IF(OR(项目基本情况!E8="抵押价格",项目基本情况!E8="已注销及未注销"),"3.抵押价格","——")</f>
        <v>3.抵押价格</v>
      </c>
      <c r="B44" s="3510"/>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514" t="str">
        <f>IF(项目基本情况!E8="已注销及未注销","4.抵押担保权已注销时的抵押价格",IF(项目基本情况!E8="已注销","3.抵押担保权已注销时的抵押价格","——"))</f>
        <v>——</v>
      </c>
      <c r="B45" s="3515"/>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1" t="str">
        <f>IF(项目基本情况!E9="抵押净值",IF(A45="——","4.抵押净值","5.抵押净值"),"——")</f>
        <v>——</v>
      </c>
      <c r="B46" s="3512"/>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2" t="s">
        <v>374</v>
      </c>
      <c r="B63" s="3473"/>
      <c r="C63" s="3474"/>
      <c r="D63" s="339">
        <f>系统读取表!D15</f>
        <v>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16" t="s">
        <v>378</v>
      </c>
      <c r="B64" s="3517"/>
      <c r="C64" s="3517"/>
      <c r="D64" s="3517"/>
      <c r="E64" s="3517"/>
      <c r="F64" s="3517"/>
      <c r="G64" s="3518"/>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3" t="s">
        <v>386</v>
      </c>
      <c r="B66" s="3479"/>
      <c r="C66" s="3479"/>
      <c r="D66" s="259">
        <f>IF(H66="情况1",0,IF(H66="情况2",D70,IF(H66="情况3",D71,IF(H66="情况4",D72))))</f>
        <v>0</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440" t="s">
        <v>385</v>
      </c>
      <c r="M66" s="3441"/>
      <c r="N66" s="2312"/>
      <c r="O66" s="2313"/>
      <c r="P66" s="2314"/>
      <c r="Q66" s="1911"/>
      <c r="R66" s="1911"/>
      <c r="S66" s="1911"/>
      <c r="T66" s="1911"/>
      <c r="U66" s="1911"/>
      <c r="V66" s="1911"/>
    </row>
    <row r="67" spans="1:22" ht="25.5" customHeight="1">
      <c r="A67" s="350" t="s">
        <v>389</v>
      </c>
      <c r="B67" s="3491" t="s">
        <v>390</v>
      </c>
      <c r="C67" s="3491"/>
      <c r="D67" s="351">
        <v>0</v>
      </c>
      <c r="E67" s="41" t="s">
        <v>391</v>
      </c>
      <c r="F67" s="62" t="s">
        <v>21</v>
      </c>
      <c r="G67" s="3475"/>
      <c r="H67" s="3006" t="s">
        <v>2961</v>
      </c>
      <c r="I67" s="3008"/>
      <c r="J67" s="1918"/>
      <c r="K67" s="3287">
        <v>2</v>
      </c>
      <c r="L67" s="3445" t="s">
        <v>388</v>
      </c>
      <c r="M67" s="3445"/>
      <c r="N67" s="1278">
        <f>'数据-取费表'!B2</f>
        <v>44258</v>
      </c>
      <c r="O67" s="1278"/>
      <c r="P67" s="1278"/>
      <c r="Q67" s="1911"/>
      <c r="R67" s="1911"/>
      <c r="S67" s="1911"/>
      <c r="T67" s="1911"/>
      <c r="U67" s="1911"/>
      <c r="V67" s="1911"/>
    </row>
    <row r="68" spans="1:22" ht="25.5" customHeight="1">
      <c r="A68" s="352"/>
      <c r="B68" s="3491" t="s">
        <v>393</v>
      </c>
      <c r="C68" s="3491"/>
      <c r="D68" s="353"/>
      <c r="E68" s="77"/>
      <c r="F68" s="354"/>
      <c r="G68" s="3476"/>
      <c r="H68" s="3007" t="s">
        <v>2962</v>
      </c>
      <c r="I68" s="3008"/>
      <c r="J68" s="1918"/>
      <c r="K68" s="3287">
        <v>3</v>
      </c>
      <c r="L68" s="3445" t="s">
        <v>392</v>
      </c>
      <c r="M68" s="3445"/>
      <c r="N68" s="1246" t="e">
        <f ca="1">C42</f>
        <v>#REF!</v>
      </c>
      <c r="O68" s="1246"/>
      <c r="P68" s="1246"/>
      <c r="Q68" s="1911"/>
      <c r="R68" s="1911"/>
      <c r="S68" s="1911"/>
      <c r="T68" s="1911"/>
      <c r="U68" s="1911"/>
      <c r="V68" s="1911"/>
    </row>
    <row r="69" spans="1:22" ht="23.45" customHeight="1">
      <c r="A69" s="355"/>
      <c r="B69" s="3491" t="s">
        <v>394</v>
      </c>
      <c r="C69" s="3491"/>
      <c r="D69" s="356"/>
      <c r="E69" s="73"/>
      <c r="F69" s="354"/>
      <c r="G69" s="3477"/>
      <c r="H69" s="3007" t="s">
        <v>2963</v>
      </c>
      <c r="I69" s="3008"/>
      <c r="J69" s="1918"/>
      <c r="K69" s="3289">
        <v>4</v>
      </c>
      <c r="L69" s="3446" t="s">
        <v>2857</v>
      </c>
      <c r="M69" s="3447"/>
      <c r="N69" s="1248" t="e">
        <f ca="1">C44</f>
        <v>#REF!</v>
      </c>
      <c r="O69" s="1248"/>
      <c r="P69" s="1248"/>
      <c r="Q69" s="1911"/>
      <c r="R69" s="1911"/>
      <c r="S69" s="1911"/>
      <c r="T69" s="1911"/>
      <c r="U69" s="1911"/>
      <c r="V69" s="1911"/>
    </row>
    <row r="70" spans="1:22" ht="24" customHeight="1">
      <c r="A70" s="357" t="s">
        <v>395</v>
      </c>
      <c r="B70" s="3491" t="s">
        <v>396</v>
      </c>
      <c r="C70" s="3491"/>
      <c r="D70" s="356">
        <f>ROUND(D63*'数据-取费表'!B41/(1+'数据-取费表'!C42),0)</f>
        <v>0</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0" t="s">
        <v>2992</v>
      </c>
      <c r="C71" s="3507"/>
      <c r="D71" s="356">
        <f>ROUND(D63*'数据-取费表'!B41/(1+'数据-取费表'!C42),0)</f>
        <v>0</v>
      </c>
      <c r="E71" s="17" t="s">
        <v>397</v>
      </c>
      <c r="F71" s="358">
        <f>'数据-取费表'!B41</f>
        <v>5.5000000000000007E-2</v>
      </c>
      <c r="G71" s="359"/>
      <c r="H71" s="309"/>
      <c r="I71" s="1245"/>
      <c r="J71" s="1918"/>
      <c r="K71" s="3291" t="s">
        <v>398</v>
      </c>
      <c r="L71" s="3448" t="s">
        <v>399</v>
      </c>
      <c r="M71" s="3448"/>
      <c r="N71" s="3291" t="s">
        <v>400</v>
      </c>
      <c r="O71" s="3291" t="s">
        <v>401</v>
      </c>
      <c r="P71" s="3291" t="s">
        <v>402</v>
      </c>
      <c r="Q71" s="1911"/>
      <c r="R71" s="1911"/>
      <c r="S71" s="1911"/>
      <c r="T71" s="1911"/>
      <c r="U71" s="1911"/>
      <c r="V71" s="1911"/>
    </row>
    <row r="72" spans="1:22" ht="12" customHeight="1">
      <c r="A72" s="357" t="s">
        <v>405</v>
      </c>
      <c r="B72" s="3490" t="s">
        <v>2993</v>
      </c>
      <c r="C72" s="3507"/>
      <c r="D72" s="356">
        <f>C86</f>
        <v>0</v>
      </c>
      <c r="E72" s="73" t="s">
        <v>406</v>
      </c>
      <c r="F72" s="358">
        <f>'数据-取费表'!B41</f>
        <v>5.5000000000000007E-2</v>
      </c>
      <c r="G72" s="359"/>
      <c r="H72" s="1251"/>
      <c r="I72" s="1245"/>
      <c r="J72" s="1918"/>
      <c r="K72" s="3287">
        <v>1</v>
      </c>
      <c r="L72" s="3444" t="s">
        <v>404</v>
      </c>
      <c r="M72" s="3444"/>
      <c r="N72" s="1249">
        <f>D66</f>
        <v>0</v>
      </c>
      <c r="O72" s="3286" t="str">
        <f>E66</f>
        <v>销售额×税（费）率</v>
      </c>
      <c r="P72" s="1250">
        <f>F66</f>
        <v>5.5000000000000007E-2</v>
      </c>
      <c r="Q72" s="1911"/>
      <c r="R72" s="1911"/>
      <c r="S72" s="1911"/>
      <c r="T72" s="1911"/>
      <c r="U72" s="1911"/>
      <c r="V72" s="1911"/>
    </row>
    <row r="73" spans="1:22" ht="24" customHeight="1">
      <c r="A73" s="3478" t="s">
        <v>408</v>
      </c>
      <c r="B73" s="3479"/>
      <c r="C73" s="3479"/>
      <c r="D73" s="360">
        <f>IF(H73="个人住宅",0,ROUND(D63*I73,0))</f>
        <v>0</v>
      </c>
      <c r="E73" s="17" t="s">
        <v>409</v>
      </c>
      <c r="F73" s="358">
        <f>IF(H73="正常",I73,"免征")</f>
        <v>5.0000000000000001E-4</v>
      </c>
      <c r="G73" s="359"/>
      <c r="H73" s="189" t="s">
        <v>3127</v>
      </c>
      <c r="I73" s="358">
        <f>'数据-取费表'!B49</f>
        <v>5.0000000000000001E-4</v>
      </c>
      <c r="J73" s="1918"/>
      <c r="K73" s="3287">
        <v>2</v>
      </c>
      <c r="L73" s="3444" t="s">
        <v>407</v>
      </c>
      <c r="M73" s="3444"/>
      <c r="N73" s="1249">
        <f t="shared" ref="N73:P74" si="1">D73</f>
        <v>0</v>
      </c>
      <c r="O73" s="3286" t="str">
        <f t="shared" si="1"/>
        <v>销售额×税（费）率</v>
      </c>
      <c r="P73" s="1250">
        <f t="shared" si="1"/>
        <v>5.0000000000000001E-4</v>
      </c>
      <c r="Q73" s="1911"/>
      <c r="R73" s="1911"/>
      <c r="S73" s="1911"/>
      <c r="T73" s="1911"/>
      <c r="U73" s="1911"/>
      <c r="V73" s="1911"/>
    </row>
    <row r="74" spans="1:22" ht="24.75">
      <c r="A74" s="3478" t="s">
        <v>411</v>
      </c>
      <c r="B74" s="3479"/>
      <c r="C74" s="3479"/>
      <c r="D74" s="360">
        <f>IF(H74="个人住宅",D75,D76)</f>
        <v>0</v>
      </c>
      <c r="E74" s="17" t="s">
        <v>412</v>
      </c>
      <c r="F74" s="358" t="str">
        <f>IF(H74="正常",F76,"免征")</f>
        <v>——</v>
      </c>
      <c r="G74" s="970" t="s">
        <v>387</v>
      </c>
      <c r="H74" s="361" t="s">
        <v>3127</v>
      </c>
      <c r="I74" s="42"/>
      <c r="J74" s="1918"/>
      <c r="K74" s="3287">
        <v>3</v>
      </c>
      <c r="L74" s="3444" t="s">
        <v>410</v>
      </c>
      <c r="M74" s="3444"/>
      <c r="N74" s="1249">
        <f t="shared" si="1"/>
        <v>0</v>
      </c>
      <c r="O74" s="3286" t="str">
        <f t="shared" si="1"/>
        <v>增值额×税（费）率</v>
      </c>
      <c r="P74" s="1252" t="str">
        <f t="shared" si="1"/>
        <v>——</v>
      </c>
      <c r="Q74" s="1911"/>
      <c r="R74" s="1911"/>
      <c r="S74" s="1911"/>
      <c r="T74" s="1911"/>
      <c r="U74" s="1911"/>
      <c r="V74" s="1911"/>
    </row>
    <row r="75" spans="1:22" ht="12.75">
      <c r="A75" s="357" t="s">
        <v>414</v>
      </c>
      <c r="B75" s="3459" t="s">
        <v>415</v>
      </c>
      <c r="C75" s="3460"/>
      <c r="D75" s="362">
        <v>0</v>
      </c>
      <c r="E75" s="41" t="s">
        <v>416</v>
      </c>
      <c r="F75" s="363"/>
      <c r="G75" s="359"/>
      <c r="H75" s="42"/>
      <c r="I75" s="42"/>
      <c r="J75" s="1918"/>
      <c r="K75" s="3287" t="str">
        <f>IF(H77="非个人房产","",4)</f>
        <v/>
      </c>
      <c r="L75" s="3444" t="str">
        <f>IF(H77="非个人房产","——","个人所得税")</f>
        <v>——</v>
      </c>
      <c r="M75" s="3444"/>
      <c r="N75" s="1253" t="str">
        <f>D77</f>
        <v>——</v>
      </c>
      <c r="O75" s="1786" t="str">
        <f>E77</f>
        <v>——</v>
      </c>
      <c r="P75" s="1254" t="str">
        <f>F77</f>
        <v>——</v>
      </c>
      <c r="Q75" s="1911"/>
      <c r="R75" s="1911"/>
      <c r="S75" s="1911"/>
      <c r="T75" s="1911"/>
      <c r="U75" s="1911"/>
      <c r="V75" s="1911"/>
    </row>
    <row r="76" spans="1:22" ht="24.75">
      <c r="A76" s="357" t="s">
        <v>395</v>
      </c>
      <c r="B76" s="3459" t="s">
        <v>418</v>
      </c>
      <c r="C76" s="3501"/>
      <c r="D76" s="360">
        <f>IF(H76="转让取得",C99,C115)</f>
        <v>0</v>
      </c>
      <c r="E76" s="17" t="s">
        <v>419</v>
      </c>
      <c r="F76" s="53" t="s">
        <v>21</v>
      </c>
      <c r="G76" s="359"/>
      <c r="H76" s="361" t="s">
        <v>3167</v>
      </c>
      <c r="I76" s="42"/>
      <c r="J76" s="1918"/>
      <c r="K76" s="3287" t="str">
        <f>IF(项目基本情况!K6="上海银行",IF(K75="",4,K75+1),"")</f>
        <v/>
      </c>
      <c r="L76" s="3455" t="str">
        <f>IF(项目基本情况!K6="上海银行","其他处置费用","")</f>
        <v/>
      </c>
      <c r="M76" s="3456"/>
      <c r="N76" s="1249" t="str">
        <f>IF(项目基本情况!K6="上海银行",N89,"")</f>
        <v/>
      </c>
      <c r="O76" s="3457" t="str">
        <f>IF(项目基本情况!K6="上海银行","包含处置中涉及的律师、诉讼、拍卖、评估等费用","")</f>
        <v/>
      </c>
      <c r="P76" s="3458"/>
      <c r="Q76" s="1911"/>
      <c r="R76" s="1911"/>
      <c r="S76" s="1911"/>
      <c r="T76" s="1911"/>
      <c r="U76" s="1911"/>
      <c r="V76" s="1911"/>
    </row>
    <row r="77" spans="1:22" ht="24.75" thickBot="1">
      <c r="A77" s="3470" t="s">
        <v>421</v>
      </c>
      <c r="B77" s="3471"/>
      <c r="C77" s="3471"/>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66">
        <f>IF(AND(K75="",K76=""),4,IF(项目基本情况!K6="上海银行",K76+1,K75+1))</f>
        <v>4</v>
      </c>
      <c r="L77" s="3444" t="s">
        <v>2858</v>
      </c>
      <c r="M77" s="2763" t="s">
        <v>417</v>
      </c>
      <c r="N77" s="1255"/>
      <c r="O77" s="1256">
        <f>SUMIF(N72:N76,"&lt;9e307")</f>
        <v>0</v>
      </c>
      <c r="P77" s="1257"/>
      <c r="Q77" s="2761" t="e">
        <f ca="1">O77/N69</f>
        <v>#REF!</v>
      </c>
      <c r="R77" s="1911"/>
      <c r="S77" s="1911"/>
      <c r="T77" s="1911"/>
      <c r="U77" s="1911"/>
      <c r="V77" s="1911"/>
    </row>
    <row r="78" spans="1:22" ht="12" customHeight="1">
      <c r="A78" s="1258"/>
      <c r="B78" s="309"/>
      <c r="C78" s="309"/>
      <c r="D78" s="309"/>
      <c r="E78" s="42"/>
      <c r="F78" s="42"/>
      <c r="G78" s="42"/>
      <c r="H78" s="990"/>
      <c r="I78" s="309"/>
      <c r="J78" s="1918"/>
      <c r="K78" s="3466"/>
      <c r="L78" s="3444"/>
      <c r="M78" s="2763" t="s">
        <v>420</v>
      </c>
      <c r="N78" s="1255"/>
      <c r="O78" s="1256" t="str">
        <f>NUMBERSTRING(INT(O77*10000),2)&amp;"元整"</f>
        <v>零元整</v>
      </c>
      <c r="P78" s="1257"/>
      <c r="Q78" s="1911"/>
      <c r="R78" s="1911"/>
      <c r="S78" s="1911"/>
      <c r="T78" s="1911"/>
      <c r="U78" s="1911"/>
      <c r="V78" s="1911"/>
    </row>
    <row r="79" spans="1:22" ht="13.5" thickBot="1">
      <c r="A79" s="3521" t="s">
        <v>422</v>
      </c>
      <c r="B79" s="3521"/>
      <c r="C79" s="3521"/>
      <c r="D79" s="3521"/>
      <c r="E79" s="3521"/>
      <c r="F79" s="42"/>
      <c r="G79" s="42"/>
      <c r="H79" s="990"/>
      <c r="I79" s="309"/>
      <c r="J79" s="1918"/>
      <c r="K79" s="3442">
        <f>K77+1</f>
        <v>5</v>
      </c>
      <c r="L79" s="3444" t="s">
        <v>2859</v>
      </c>
      <c r="M79" s="2763" t="s">
        <v>417</v>
      </c>
      <c r="N79" s="1255"/>
      <c r="O79" s="1256" t="e">
        <f ca="1">N69-O77</f>
        <v>#REF!</v>
      </c>
      <c r="P79" s="1257"/>
      <c r="Q79" s="1911"/>
      <c r="R79" s="1911"/>
      <c r="S79" s="1911"/>
      <c r="T79" s="1911"/>
      <c r="U79" s="1911"/>
      <c r="V79" s="1911"/>
    </row>
    <row r="80" spans="1:22" ht="12.75">
      <c r="A80" s="3452" t="s">
        <v>423</v>
      </c>
      <c r="B80" s="3453"/>
      <c r="C80" s="3281"/>
      <c r="D80" s="3281" t="s">
        <v>424</v>
      </c>
      <c r="E80" s="364" t="s">
        <v>425</v>
      </c>
      <c r="F80" s="42"/>
      <c r="G80" s="42"/>
      <c r="H80" s="990"/>
      <c r="I80" s="309"/>
      <c r="J80" s="1911"/>
      <c r="K80" s="3443"/>
      <c r="L80" s="3444"/>
      <c r="M80" s="2763" t="s">
        <v>420</v>
      </c>
      <c r="N80" s="1255"/>
      <c r="O80" s="1256" t="e">
        <f ca="1">NUMBERSTRING(INT(O79*10000),2)&amp;"元整"</f>
        <v>#REF!</v>
      </c>
      <c r="P80" s="1257"/>
      <c r="Q80" s="1911"/>
      <c r="R80" s="1911"/>
      <c r="S80" s="1911"/>
      <c r="T80" s="1911"/>
      <c r="U80" s="1911"/>
      <c r="V80" s="1911"/>
    </row>
    <row r="81" spans="1:26" ht="13.5" thickBot="1">
      <c r="A81" s="375" t="s">
        <v>1813</v>
      </c>
      <c r="B81" s="365" t="s">
        <v>426</v>
      </c>
      <c r="C81" s="366">
        <f>ROUND((C82+C83)/(1+'数据-取费表'!C42),0)</f>
        <v>0</v>
      </c>
      <c r="D81" s="367"/>
      <c r="E81" s="368"/>
      <c r="F81" s="42"/>
      <c r="G81" s="42"/>
      <c r="H81" s="990"/>
      <c r="I81" s="309"/>
      <c r="J81" s="1911"/>
      <c r="K81" s="3287">
        <f>K79+1</f>
        <v>6</v>
      </c>
      <c r="L81" s="3464" t="s">
        <v>2860</v>
      </c>
      <c r="M81" s="3465"/>
      <c r="N81" s="1259"/>
      <c r="O81" s="1260" t="e">
        <f ca="1">ROUND(O79*10000/'数据-汇总表'!E3,0)</f>
        <v>#REF!</v>
      </c>
      <c r="P81" s="1261"/>
      <c r="Q81" s="1911"/>
      <c r="R81" s="1911"/>
      <c r="S81" s="1911"/>
      <c r="T81" s="1911"/>
      <c r="U81" s="1911"/>
      <c r="V81" s="1911"/>
    </row>
    <row r="82" spans="1:26" ht="13.5" thickTop="1">
      <c r="A82" s="369" t="s">
        <v>1814</v>
      </c>
      <c r="B82" s="370" t="s">
        <v>427</v>
      </c>
      <c r="C82" s="371">
        <f>D63</f>
        <v>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4" t="s">
        <v>2848</v>
      </c>
      <c r="L83" s="3288" t="s">
        <v>2849</v>
      </c>
      <c r="M83" s="2759" t="e">
        <f ca="1">IF(N69&gt;10000,N69*0.5%,IF(AND(N69&gt;1000,N69&lt;=10000),N69*1%,IF(AND(N69&gt;100,N69&lt;=1000),N69*3%,IF(AND(N69&gt;10,N69&lt;=100),N69*5%,N69*8%))))</f>
        <v>#REF!</v>
      </c>
      <c r="N83" s="53" t="e">
        <f ca="1">ROUND(M83,1)</f>
        <v>#REF!</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4"/>
      <c r="L84" s="3288" t="s">
        <v>2850</v>
      </c>
      <c r="M84" s="2759"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1911" t="s">
        <v>2851</v>
      </c>
      <c r="P84" s="1911"/>
      <c r="Q84" s="1911"/>
      <c r="R84" s="1911"/>
      <c r="S84" s="1911"/>
      <c r="T84" s="1911"/>
      <c r="U84" s="1911"/>
      <c r="V84" s="1911"/>
    </row>
    <row r="85" spans="1:26" ht="12.75">
      <c r="A85" s="375" t="s">
        <v>1817</v>
      </c>
      <c r="B85" s="376" t="s">
        <v>430</v>
      </c>
      <c r="C85" s="379">
        <f>C81-C84</f>
        <v>0</v>
      </c>
      <c r="D85" s="372" t="s">
        <v>19</v>
      </c>
      <c r="E85" s="373"/>
      <c r="F85" s="42"/>
      <c r="G85" s="42"/>
      <c r="H85" s="990"/>
      <c r="I85" s="309"/>
      <c r="J85" s="1911"/>
      <c r="K85" s="3454"/>
      <c r="L85" s="3288" t="s">
        <v>2852</v>
      </c>
      <c r="M85" s="2759" t="e">
        <f ca="1">IF(N69&gt;1000,N69*0.1%,IF(AND(N69&gt;500,N69&lt;=1000),N69*0.5%,IF(AND(N69&gt;50,N69&lt;=500),N69*1%,IF(AND(N69&gt;1,N69&lt;=50),N69*1.5%))))</f>
        <v>#REF!</v>
      </c>
      <c r="N85" s="53" t="e">
        <f t="shared" ca="1" si="2"/>
        <v>#REF!</v>
      </c>
      <c r="O85" s="1911" t="s">
        <v>2851</v>
      </c>
      <c r="P85" s="1911"/>
      <c r="Q85" s="1911"/>
      <c r="R85" s="1911"/>
      <c r="S85" s="1911"/>
      <c r="T85" s="1911"/>
      <c r="U85" s="1911"/>
      <c r="V85" s="1911"/>
    </row>
    <row r="86" spans="1:26" ht="13.5" thickBot="1">
      <c r="A86" s="380" t="s">
        <v>1818</v>
      </c>
      <c r="B86" s="381" t="s">
        <v>431</v>
      </c>
      <c r="C86" s="382">
        <f>IF(C85&lt;=0,0,ROUND(C85*D86,0))</f>
        <v>0</v>
      </c>
      <c r="D86" s="383">
        <f>'数据-取费表'!B41</f>
        <v>5.5000000000000007E-2</v>
      </c>
      <c r="E86" s="384"/>
      <c r="F86" s="42"/>
      <c r="G86" s="42"/>
      <c r="H86" s="990"/>
      <c r="I86" s="309"/>
      <c r="J86" s="1911"/>
      <c r="K86" s="3454"/>
      <c r="L86" s="3288" t="s">
        <v>2853</v>
      </c>
      <c r="M86" s="2759" t="e">
        <f ca="1">N69*0.5%</f>
        <v>#REF!</v>
      </c>
      <c r="N86" s="53" t="e">
        <f ca="1">IF(M86&gt;0.5,0.5,ROUND(M86,0))</f>
        <v>#REF!</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4"/>
      <c r="L87" s="3288" t="s">
        <v>2855</v>
      </c>
      <c r="M87" s="2759"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2762"/>
      <c r="P87" s="1911"/>
      <c r="Q87" s="1911"/>
      <c r="R87" s="1911"/>
      <c r="S87" s="1911"/>
      <c r="T87" s="1911"/>
      <c r="U87" s="1911"/>
      <c r="V87" s="1911"/>
      <c r="W87" s="290"/>
      <c r="X87" s="290"/>
      <c r="Y87" s="290"/>
      <c r="Z87" s="290"/>
    </row>
    <row r="88" spans="1:26" s="1267" customFormat="1" ht="15" thickBot="1">
      <c r="A88" s="3493" t="s">
        <v>432</v>
      </c>
      <c r="B88" s="3494"/>
      <c r="C88" s="3494"/>
      <c r="D88" s="3494"/>
      <c r="E88" s="3494"/>
      <c r="F88" s="3494"/>
      <c r="G88" s="3494"/>
      <c r="H88" s="3494"/>
      <c r="I88" s="1268"/>
      <c r="J88" s="1919"/>
      <c r="K88" s="3454"/>
      <c r="L88" s="3288" t="s">
        <v>2856</v>
      </c>
      <c r="M88" s="2759" t="e">
        <f ca="1">IF(N69&gt;10000,N69*0.5%,IF(AND(N69&gt;5000,N69&lt;=10000),N69*1%,IF(AND(N69&gt;1000,N69&lt;=5000),N69*2%,IF(AND(N69&gt;200,N69&lt;=1000),N69*3%,N69*5%))))</f>
        <v>#REF!</v>
      </c>
      <c r="N88" s="53" t="e">
        <f ca="1">ROUND(M88,1)</f>
        <v>#REF!</v>
      </c>
      <c r="O88" s="2762"/>
      <c r="P88" s="1916"/>
      <c r="Q88" s="1916"/>
      <c r="R88" s="1916"/>
      <c r="S88" s="1916"/>
      <c r="T88" s="1916"/>
      <c r="U88" s="1916"/>
      <c r="V88" s="1916"/>
      <c r="W88" s="1920"/>
      <c r="X88" s="1920"/>
      <c r="Y88" s="1920"/>
      <c r="Z88" s="1920"/>
    </row>
    <row r="89" spans="1:26" s="1267" customFormat="1" ht="14.25">
      <c r="A89" s="3452" t="s">
        <v>423</v>
      </c>
      <c r="B89" s="3453"/>
      <c r="C89" s="3281"/>
      <c r="D89" s="3281" t="s">
        <v>424</v>
      </c>
      <c r="E89" s="385" t="s">
        <v>433</v>
      </c>
      <c r="F89" s="386"/>
      <c r="G89" s="386"/>
      <c r="H89" s="387"/>
      <c r="I89" s="1269"/>
      <c r="J89" s="1921"/>
      <c r="K89" s="3454"/>
      <c r="L89" s="3288" t="s">
        <v>27</v>
      </c>
      <c r="M89" s="2760"/>
      <c r="N89" s="53" t="e">
        <f ca="1">ROUND(SUM(N83:N88),0)</f>
        <v>#REF!</v>
      </c>
      <c r="O89" s="2770" t="e">
        <f ca="1">N89/N69</f>
        <v>#REF!</v>
      </c>
      <c r="P89" s="1916"/>
      <c r="Q89" s="1916"/>
      <c r="R89" s="1916"/>
      <c r="S89" s="1916"/>
      <c r="T89" s="1916"/>
      <c r="U89" s="1916"/>
      <c r="V89" s="1916"/>
      <c r="W89" s="1920"/>
      <c r="X89" s="1920"/>
      <c r="Y89" s="1920"/>
      <c r="Z89" s="1920"/>
    </row>
    <row r="90" spans="1:26" s="1267" customFormat="1" ht="14.25">
      <c r="A90" s="375" t="s">
        <v>1813</v>
      </c>
      <c r="B90" s="376" t="s">
        <v>434</v>
      </c>
      <c r="C90" s="379">
        <f>ROUND(D63/(1+'数据-取费表'!C42),0)</f>
        <v>0</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C92+C96</f>
        <v>0</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0" t="s">
        <v>441</v>
      </c>
      <c r="F94" s="3491"/>
      <c r="G94" s="3491"/>
      <c r="H94" s="3492"/>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ROUND(D63*D96/(1+'数据-取费表'!C42),0)</f>
        <v>0</v>
      </c>
      <c r="D96" s="400">
        <f>'数据-取费表'!B43</f>
        <v>5.000000000000001E-3</v>
      </c>
      <c r="E96" s="3449" t="s">
        <v>2412</v>
      </c>
      <c r="F96" s="3450"/>
      <c r="G96" s="3450"/>
      <c r="H96" s="3451"/>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C90-C91</f>
        <v>0</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IF(C97&lt;=0,0,C97/C91)</f>
        <v>0</v>
      </c>
      <c r="D98" s="372" t="s">
        <v>19</v>
      </c>
      <c r="E98" s="26" t="str">
        <f>IF(C98&gt;=200%,"增值额超过扣除项目金额200%",IF(C98&gt;=100%,"增值额超过扣除项目金额100%，未超过200%",IF(C98&gt;=50%,"增值额超过扣除项目金额50%，未超过100%",IF(C98&lt;50%,"增值额未超过扣除项目金额50%"))))</f>
        <v>增值额未超过扣除项目金额50%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ROUND(IF(C97&lt;=0,0,IF(C98&gt;=200%,C97*60%-C91*35%,IF(C98&gt;=100%,C97*50%-C91*15%,IF(C98&gt;=50%,C97*40%-C91*5%,IF(C98&lt;50%,C97*30%,0))))),0)</f>
        <v>0</v>
      </c>
      <c r="D99" s="403" t="s">
        <v>19</v>
      </c>
      <c r="E99" s="404"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3" t="s">
        <v>448</v>
      </c>
      <c r="B101" s="3494"/>
      <c r="C101" s="3494"/>
      <c r="D101" s="3494"/>
      <c r="E101" s="3494"/>
      <c r="F101" s="3494"/>
      <c r="G101" s="3494"/>
      <c r="H101" s="3494"/>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2" t="s">
        <v>423</v>
      </c>
      <c r="B102" s="3453"/>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ROUND(D63/(1+'数据-取费表'!C42),0)</f>
        <v>0</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IF(H106="仅含出让金",C105+C108+C109+C110+C111+C112,C105+C109+C110+C111+C112)</f>
        <v>18348.240000000002</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18348.240000000002</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505" t="s">
        <v>2956</v>
      </c>
      <c r="H108" s="3506"/>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50"/>
      <c r="G109" s="3450"/>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3" t="s">
        <v>458</v>
      </c>
      <c r="F110" s="3450"/>
      <c r="G110" s="3450"/>
      <c r="H110" s="3451"/>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ROUND(D63*D111/(1+'数据-取费表'!C42),0)</f>
        <v>0</v>
      </c>
      <c r="D111" s="400">
        <f>'数据-取费表'!B43</f>
        <v>5.000000000000001E-3</v>
      </c>
      <c r="E111" s="3449" t="s">
        <v>2412</v>
      </c>
      <c r="F111" s="3450"/>
      <c r="G111" s="3450"/>
      <c r="H111" s="3451"/>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50"/>
      <c r="G112" s="3450"/>
      <c r="H112" s="3451"/>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ROUND(C103-C104,0)</f>
        <v>-18348</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IF(C113&lt;=0,0,C113/C104)</f>
        <v>0</v>
      </c>
      <c r="D114" s="372" t="s">
        <v>19</v>
      </c>
      <c r="E114" s="26" t="str">
        <f>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ROUND(IF(C113&lt;=0,0,IF(C114&gt;=200%,C113*60%-C104*35%,IF(C114&gt;=100%,C113*50%-C104*15%,IF(C114&gt;=50%,C113*40%-C104*5%,IF(C114&lt;50%,C113*30%,0))))),0)</f>
        <v>0</v>
      </c>
      <c r="D115" s="403" t="s">
        <v>19</v>
      </c>
      <c r="E115" s="404"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98" priority="10" stopIfTrue="1" operator="equal">
      <formula>25</formula>
    </cfRule>
  </conditionalFormatting>
  <conditionalFormatting sqref="C8:C9">
    <cfRule type="cellIs" dxfId="197" priority="9" stopIfTrue="1" operator="equal">
      <formula>15</formula>
    </cfRule>
  </conditionalFormatting>
  <conditionalFormatting sqref="C14:C16">
    <cfRule type="cellIs" dxfId="196" priority="8" stopIfTrue="1" operator="equal">
      <formula>30</formula>
    </cfRule>
  </conditionalFormatting>
  <conditionalFormatting sqref="D5:D7">
    <cfRule type="cellIs" dxfId="195" priority="7" stopIfTrue="1" operator="equal">
      <formula>25</formula>
    </cfRule>
  </conditionalFormatting>
  <conditionalFormatting sqref="D8:D9">
    <cfRule type="cellIs" dxfId="194" priority="6" stopIfTrue="1" operator="equal">
      <formula>15</formula>
    </cfRule>
  </conditionalFormatting>
  <conditionalFormatting sqref="C10:D13">
    <cfRule type="cellIs" dxfId="193" priority="5" stopIfTrue="1" operator="equal">
      <formula>15</formula>
    </cfRule>
  </conditionalFormatting>
  <conditionalFormatting sqref="D14:D16">
    <cfRule type="cellIs" dxfId="192" priority="4" stopIfTrue="1" operator="equal">
      <formula>30</formula>
    </cfRule>
  </conditionalFormatting>
  <conditionalFormatting sqref="C108">
    <cfRule type="expression" dxfId="191" priority="3" stopIfTrue="1">
      <formula>$H$106&lt;&gt;"仅含出让金"</formula>
    </cfRule>
  </conditionalFormatting>
  <conditionalFormatting sqref="C109">
    <cfRule type="expression" dxfId="190" priority="2" stopIfTrue="1">
      <formula>$H$109="由企业提供"</formula>
    </cfRule>
  </conditionalFormatting>
  <conditionalFormatting sqref="I33">
    <cfRule type="expression" dxfId="18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3" zoomScale="70" zoomScaleNormal="100" zoomScaleSheetLayoutView="70" zoomScalePageLayoutView="80" workbookViewId="0">
      <selection activeCell="I123" sqref="I123"/>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95" t="s">
        <v>298</v>
      </c>
      <c r="B3" s="3496"/>
      <c r="C3" s="3496"/>
      <c r="D3" s="3496"/>
      <c r="E3" s="3496"/>
      <c r="F3" s="3496"/>
      <c r="G3" s="3496"/>
      <c r="H3" s="3496"/>
      <c r="I3" s="3496"/>
      <c r="J3" s="1912"/>
      <c r="K3" s="1911"/>
      <c r="L3" s="1911"/>
      <c r="M3" s="1911"/>
      <c r="N3" s="1911"/>
      <c r="O3" s="1911"/>
      <c r="P3" s="1911"/>
      <c r="Q3" s="1911"/>
      <c r="R3" s="1911"/>
      <c r="S3" s="1911"/>
      <c r="T3" s="1911"/>
      <c r="U3" s="1911"/>
      <c r="V3" s="1911"/>
    </row>
    <row r="4" spans="1:22" ht="14.25">
      <c r="A4" s="256" t="s">
        <v>299</v>
      </c>
      <c r="B4" s="257" t="s">
        <v>300</v>
      </c>
      <c r="C4" s="258"/>
      <c r="D4" s="258"/>
      <c r="E4" s="3459" t="s">
        <v>301</v>
      </c>
      <c r="F4" s="3501"/>
      <c r="G4" s="3501"/>
      <c r="H4" s="3501"/>
      <c r="I4" s="3460"/>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88" t="s">
        <v>302</v>
      </c>
      <c r="B5" s="3489">
        <v>25</v>
      </c>
      <c r="C5" s="3497"/>
      <c r="D5" s="3500"/>
      <c r="E5" s="259" t="s">
        <v>303</v>
      </c>
      <c r="F5" s="260"/>
      <c r="G5" s="260"/>
      <c r="H5" s="260"/>
      <c r="I5" s="261"/>
      <c r="J5" s="1912"/>
      <c r="K5" s="1911"/>
      <c r="L5" s="1911"/>
      <c r="M5" s="1911"/>
      <c r="N5" s="1911"/>
      <c r="O5" s="1911"/>
      <c r="P5" s="1911"/>
      <c r="Q5" s="1911"/>
      <c r="R5" s="1911"/>
      <c r="S5" s="1911"/>
      <c r="T5" s="1911"/>
      <c r="U5" s="1911"/>
      <c r="V5" s="1911"/>
    </row>
    <row r="6" spans="1:22" ht="14.25">
      <c r="A6" s="3488"/>
      <c r="B6" s="3489"/>
      <c r="C6" s="3498"/>
      <c r="D6" s="3500"/>
      <c r="E6" s="259" t="s">
        <v>304</v>
      </c>
      <c r="F6" s="260"/>
      <c r="G6" s="260"/>
      <c r="H6" s="260"/>
      <c r="I6" s="261"/>
      <c r="J6" s="1912"/>
      <c r="K6" s="1911"/>
      <c r="L6" s="1911"/>
      <c r="M6" s="1911"/>
      <c r="N6" s="1911"/>
      <c r="O6" s="1911"/>
      <c r="P6" s="1911"/>
      <c r="Q6" s="1911"/>
      <c r="R6" s="1911"/>
      <c r="S6" s="1911"/>
      <c r="T6" s="1911"/>
      <c r="U6" s="1911"/>
      <c r="V6" s="1911"/>
    </row>
    <row r="7" spans="1:22" ht="14.25">
      <c r="A7" s="3488"/>
      <c r="B7" s="3489"/>
      <c r="C7" s="3499"/>
      <c r="D7" s="3500"/>
      <c r="E7" s="259" t="s">
        <v>305</v>
      </c>
      <c r="F7" s="260"/>
      <c r="G7" s="260"/>
      <c r="H7" s="260"/>
      <c r="I7" s="261"/>
      <c r="J7" s="1912"/>
      <c r="K7" s="1911"/>
      <c r="L7" s="1911"/>
      <c r="M7" s="1911"/>
      <c r="N7" s="1911"/>
      <c r="O7" s="1911"/>
      <c r="P7" s="1911"/>
      <c r="Q7" s="1911"/>
      <c r="R7" s="1911"/>
      <c r="S7" s="1911"/>
      <c r="T7" s="1911"/>
      <c r="U7" s="1911"/>
      <c r="V7" s="1911"/>
    </row>
    <row r="8" spans="1:22" ht="14.25">
      <c r="A8" s="3488" t="s">
        <v>306</v>
      </c>
      <c r="B8" s="3489">
        <v>15</v>
      </c>
      <c r="C8" s="3497"/>
      <c r="D8" s="3500"/>
      <c r="E8" s="259" t="s">
        <v>307</v>
      </c>
      <c r="F8" s="260"/>
      <c r="G8" s="260"/>
      <c r="H8" s="260"/>
      <c r="I8" s="261"/>
      <c r="J8" s="1912"/>
      <c r="K8" s="1911"/>
      <c r="L8" s="1911"/>
      <c r="M8" s="1911"/>
      <c r="N8" s="1911"/>
      <c r="O8" s="1911"/>
      <c r="P8" s="1911"/>
      <c r="Q8" s="1911"/>
      <c r="R8" s="1911"/>
      <c r="S8" s="1911"/>
      <c r="T8" s="1911"/>
      <c r="U8" s="1911"/>
      <c r="V8" s="1911"/>
    </row>
    <row r="9" spans="1:22" ht="14.25">
      <c r="A9" s="3488"/>
      <c r="B9" s="3489"/>
      <c r="C9" s="3499"/>
      <c r="D9" s="3500"/>
      <c r="E9" s="259" t="s">
        <v>308</v>
      </c>
      <c r="F9" s="260"/>
      <c r="G9" s="260"/>
      <c r="H9" s="260"/>
      <c r="I9" s="261"/>
      <c r="J9" s="1912"/>
      <c r="K9" s="1911"/>
      <c r="L9" s="1911"/>
      <c r="M9" s="1911"/>
      <c r="N9" s="1911"/>
      <c r="O9" s="1911"/>
      <c r="P9" s="1911"/>
      <c r="Q9" s="1911"/>
      <c r="R9" s="1911"/>
      <c r="S9" s="1911"/>
      <c r="T9" s="1911"/>
      <c r="U9" s="1911"/>
      <c r="V9" s="1911"/>
    </row>
    <row r="10" spans="1:22" ht="14.25">
      <c r="A10" s="3488" t="s">
        <v>309</v>
      </c>
      <c r="B10" s="3489">
        <v>15</v>
      </c>
      <c r="C10" s="3497"/>
      <c r="D10" s="3500"/>
      <c r="E10" s="259" t="s">
        <v>310</v>
      </c>
      <c r="F10" s="260"/>
      <c r="G10" s="260"/>
      <c r="H10" s="260"/>
      <c r="I10" s="261"/>
      <c r="J10" s="1912"/>
      <c r="K10" s="1911"/>
      <c r="L10" s="1911"/>
      <c r="M10" s="1911"/>
      <c r="N10" s="1911"/>
      <c r="O10" s="1911"/>
      <c r="P10" s="1911"/>
      <c r="Q10" s="1911"/>
      <c r="R10" s="1911"/>
      <c r="S10" s="1911"/>
      <c r="T10" s="1911"/>
      <c r="U10" s="1911"/>
      <c r="V10" s="1911"/>
    </row>
    <row r="11" spans="1:22" ht="14.25">
      <c r="A11" s="3488"/>
      <c r="B11" s="3489"/>
      <c r="C11" s="3499"/>
      <c r="D11" s="3500"/>
      <c r="E11" s="259" t="s">
        <v>311</v>
      </c>
      <c r="F11" s="260"/>
      <c r="G11" s="260"/>
      <c r="H11" s="260"/>
      <c r="I11" s="261"/>
      <c r="J11" s="1912"/>
      <c r="K11" s="1911"/>
      <c r="L11" s="1911"/>
      <c r="M11" s="1911"/>
      <c r="N11" s="1911"/>
      <c r="O11" s="1911"/>
      <c r="P11" s="1911"/>
      <c r="Q11" s="1911"/>
      <c r="R11" s="1911"/>
      <c r="S11" s="1911"/>
      <c r="T11" s="1911"/>
      <c r="U11" s="1911"/>
      <c r="V11" s="1911"/>
    </row>
    <row r="12" spans="1:22" ht="14.25">
      <c r="A12" s="3488" t="s">
        <v>312</v>
      </c>
      <c r="B12" s="3489">
        <v>15</v>
      </c>
      <c r="C12" s="3497"/>
      <c r="D12" s="3500"/>
      <c r="E12" s="259" t="s">
        <v>313</v>
      </c>
      <c r="F12" s="260"/>
      <c r="G12" s="260"/>
      <c r="H12" s="260"/>
      <c r="I12" s="261"/>
      <c r="J12" s="1912"/>
      <c r="K12" s="1911"/>
      <c r="L12" s="1911"/>
      <c r="M12" s="1911"/>
      <c r="N12" s="1911"/>
      <c r="O12" s="1911"/>
      <c r="P12" s="1911"/>
      <c r="Q12" s="1911"/>
      <c r="R12" s="1911"/>
      <c r="S12" s="1911"/>
      <c r="T12" s="1911"/>
      <c r="U12" s="1911"/>
      <c r="V12" s="1911"/>
    </row>
    <row r="13" spans="1:22" ht="14.25">
      <c r="A13" s="3488"/>
      <c r="B13" s="3489"/>
      <c r="C13" s="3499"/>
      <c r="D13" s="3500"/>
      <c r="E13" s="259" t="s">
        <v>314</v>
      </c>
      <c r="F13" s="260"/>
      <c r="G13" s="260"/>
      <c r="H13" s="260"/>
      <c r="I13" s="261"/>
      <c r="J13" s="1912"/>
      <c r="K13" s="1911"/>
      <c r="L13" s="1911"/>
      <c r="M13" s="1911"/>
      <c r="N13" s="1911"/>
      <c r="O13" s="1911"/>
      <c r="P13" s="1911"/>
      <c r="Q13" s="1911"/>
      <c r="R13" s="1911"/>
      <c r="S13" s="1911"/>
      <c r="T13" s="1911"/>
      <c r="U13" s="1911"/>
      <c r="V13" s="1911"/>
    </row>
    <row r="14" spans="1:22" ht="14.25">
      <c r="A14" s="3488" t="s">
        <v>315</v>
      </c>
      <c r="B14" s="3489">
        <v>30</v>
      </c>
      <c r="C14" s="3497"/>
      <c r="D14" s="3500"/>
      <c r="E14" s="259" t="s">
        <v>316</v>
      </c>
      <c r="F14" s="260"/>
      <c r="G14" s="260"/>
      <c r="H14" s="260"/>
      <c r="I14" s="261"/>
      <c r="J14" s="1912"/>
      <c r="K14" s="1911"/>
      <c r="L14" s="1911"/>
      <c r="M14" s="1911"/>
      <c r="N14" s="1911"/>
      <c r="O14" s="1911"/>
      <c r="P14" s="1911"/>
      <c r="Q14" s="1911"/>
      <c r="R14" s="1911"/>
      <c r="S14" s="1911"/>
      <c r="T14" s="1911"/>
      <c r="U14" s="1911"/>
      <c r="V14" s="1911"/>
    </row>
    <row r="15" spans="1:22" ht="14.25">
      <c r="A15" s="3488"/>
      <c r="B15" s="3489"/>
      <c r="C15" s="3498"/>
      <c r="D15" s="3500"/>
      <c r="E15" s="259" t="s">
        <v>317</v>
      </c>
      <c r="F15" s="260"/>
      <c r="G15" s="260"/>
      <c r="H15" s="260"/>
      <c r="I15" s="261"/>
      <c r="J15" s="1912"/>
      <c r="K15" s="1911"/>
      <c r="L15" s="1911"/>
      <c r="M15" s="1911"/>
      <c r="N15" s="1911"/>
      <c r="O15" s="1911"/>
      <c r="P15" s="1911"/>
      <c r="Q15" s="1911"/>
      <c r="R15" s="1911"/>
      <c r="S15" s="1911"/>
      <c r="T15" s="1911"/>
      <c r="U15" s="1911"/>
      <c r="V15" s="1911"/>
    </row>
    <row r="16" spans="1:22" ht="14.25">
      <c r="A16" s="3488"/>
      <c r="B16" s="3489"/>
      <c r="C16" s="3499"/>
      <c r="D16" s="350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502" t="s">
        <v>2958</v>
      </c>
      <c r="F18" s="3503"/>
      <c r="G18" s="3503"/>
      <c r="H18" s="3503"/>
      <c r="I18" s="3503"/>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SUMIF(INDIRECT("'"&amp;C4&amp;"'"&amp;"!A:A"),'结果表-24净值'!B19,INDIRECT("'"&amp;C4&amp;"'"&amp;"!B:B"))</f>
        <v>#REF!</v>
      </c>
      <c r="D19" s="269" t="e">
        <f ca="1">SUMIF(INDIRECT("'"&amp;D4&amp;"'"&amp;"!A:A"),'结果表-24净值'!B19,INDIRECT("'"&amp;D4&amp;"'"&amp;"!B:B"))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SUMIF(INDIRECT("'"&amp;C4&amp;"'"&amp;"!A:A"),'结果表-24净值'!B20,INDIRECT("'"&amp;C4&amp;"'"&amp;"!B:B"))</f>
        <v>#REF!</v>
      </c>
      <c r="D20" s="275" t="e">
        <f ca="1">SUMIF(INDIRECT("'"&amp;D4&amp;"'"&amp;"!A:A"),'结果表-24净值'!B20,INDIRECT("'"&amp;D4&amp;"'"&amp;"!B:B"))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SUMIF(INDIRECT("'"&amp;C4&amp;"'"&amp;"!A:A"),'结果表-24净值'!B21,INDIRECT("'"&amp;C4&amp;"'"&amp;"!B:B"))</f>
        <v>#REF!</v>
      </c>
      <c r="D21" s="149" t="e">
        <f ca="1">SUMIF(INDIRECT("'"&amp;D4&amp;"'"&amp;"!A:A"),'结果表-24净值'!B21,INDIRECT("'"&amp;D4&amp;"'"&amp;"!B:B"))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1"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08"/>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504" t="s">
        <v>2960</v>
      </c>
      <c r="B31" s="3504"/>
      <c r="C31" s="3504"/>
      <c r="D31" s="3504"/>
      <c r="E31" s="3504"/>
      <c r="F31" s="3504"/>
      <c r="G31" s="3504"/>
      <c r="H31" s="3504"/>
      <c r="I31" s="3504"/>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61"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6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63"/>
      <c r="F35" s="299" t="s">
        <v>342</v>
      </c>
      <c r="G35" s="969"/>
      <c r="H35" s="968" t="s">
        <v>343</v>
      </c>
      <c r="I35" s="309"/>
      <c r="J35" s="1911"/>
      <c r="K35" s="3467" t="s">
        <v>350</v>
      </c>
      <c r="L35" s="3467" t="s">
        <v>351</v>
      </c>
      <c r="M35" s="1217" t="s">
        <v>352</v>
      </c>
      <c r="N35" s="3467" t="s">
        <v>353</v>
      </c>
      <c r="O35" s="3467" t="s">
        <v>354</v>
      </c>
      <c r="P35" s="1911"/>
      <c r="V35" s="1911"/>
    </row>
    <row r="36" spans="1:26" ht="16.5" customHeight="1">
      <c r="A36" s="301" t="s">
        <v>344</v>
      </c>
      <c r="B36" s="302" t="s">
        <v>333</v>
      </c>
      <c r="C36" s="303" t="s">
        <v>345</v>
      </c>
      <c r="D36" s="303" t="s">
        <v>346</v>
      </c>
      <c r="E36" s="304" t="s">
        <v>347</v>
      </c>
      <c r="F36" s="309"/>
      <c r="G36" s="309"/>
      <c r="H36" s="309"/>
      <c r="I36" s="309"/>
      <c r="J36" s="1913"/>
      <c r="K36" s="3468"/>
      <c r="L36" s="3468"/>
      <c r="M36" s="1219" t="s">
        <v>355</v>
      </c>
      <c r="N36" s="3468"/>
      <c r="O36" s="3468"/>
      <c r="P36" s="1911"/>
      <c r="V36" s="1911"/>
    </row>
    <row r="37" spans="1:26" ht="16.5" customHeight="1" thickBot="1">
      <c r="A37" s="1213" t="s">
        <v>348</v>
      </c>
      <c r="B37" s="305"/>
      <c r="C37" s="292"/>
      <c r="D37" s="292"/>
      <c r="E37" s="293"/>
      <c r="F37" s="309"/>
      <c r="G37" s="309"/>
      <c r="H37" s="309"/>
      <c r="I37" s="309"/>
      <c r="J37" s="1913"/>
      <c r="K37" s="3469"/>
      <c r="L37" s="3469"/>
      <c r="M37" s="1220"/>
      <c r="N37" s="3469"/>
      <c r="O37" s="3469"/>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480" t="str">
        <f>MID(A44,3,LEN(A44)-2)</f>
        <v>抵押价格</v>
      </c>
      <c r="L39" s="3481"/>
      <c r="M39" s="3481"/>
      <c r="N39" s="3482"/>
      <c r="O39" s="1340" t="e">
        <f ca="1">C44</f>
        <v>#REF!</v>
      </c>
      <c r="P39" s="1911"/>
      <c r="V39" s="1911"/>
    </row>
    <row r="40" spans="1:26" ht="19.5" thickBot="1">
      <c r="A40" s="104" t="s">
        <v>863</v>
      </c>
      <c r="B40" s="309"/>
      <c r="C40" s="309"/>
      <c r="D40" s="309"/>
      <c r="E40" s="309"/>
      <c r="F40" s="309"/>
      <c r="G40" s="309"/>
      <c r="H40" s="309"/>
      <c r="I40" s="309"/>
      <c r="J40" s="1913"/>
      <c r="K40" s="3480" t="str">
        <f t="shared" ref="K40:K41" si="0">MID(A45,3,LEN(A45)-2)</f>
        <v/>
      </c>
      <c r="L40" s="3481"/>
      <c r="M40" s="3481"/>
      <c r="N40" s="3482"/>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0" t="str">
        <f t="shared" si="0"/>
        <v/>
      </c>
      <c r="L41" s="3481"/>
      <c r="M41" s="3481"/>
      <c r="N41" s="3482"/>
      <c r="O41" s="1340" t="str">
        <f>C46</f>
        <v>——</v>
      </c>
      <c r="P41" s="1911"/>
      <c r="V41" s="1911"/>
    </row>
    <row r="42" spans="1:26" ht="29.25">
      <c r="A42" s="3509" t="s">
        <v>2055</v>
      </c>
      <c r="B42" s="3510"/>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519" t="s">
        <v>2709</v>
      </c>
      <c r="B43" s="3520"/>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509" t="str">
        <f>IF(OR(项目基本情况!E8="抵押价格",项目基本情况!E8="已注销及未注销"),"3.抵押价格","——")</f>
        <v>3.抵押价格</v>
      </c>
      <c r="B44" s="3510"/>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514" t="str">
        <f>IF(项目基本情况!E8="已注销及未注销","4.抵押担保权已注销时的抵押价格",IF(项目基本情况!E8="已注销","3.抵押担保权已注销时的抵押价格","——"))</f>
        <v>——</v>
      </c>
      <c r="B45" s="3515"/>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1" t="str">
        <f>IF(项目基本情况!E9="抵押净值",IF(A45="——","4.抵押净值","5.抵押净值"),"——")</f>
        <v>——</v>
      </c>
      <c r="B46" s="3512"/>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2" t="s">
        <v>374</v>
      </c>
      <c r="B63" s="3473"/>
      <c r="C63" s="3474"/>
      <c r="D63" s="339">
        <f ca="1">系统读取表!D16*F63</f>
        <v>32197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16" t="s">
        <v>378</v>
      </c>
      <c r="B64" s="3517"/>
      <c r="C64" s="3517"/>
      <c r="D64" s="3517"/>
      <c r="E64" s="3517"/>
      <c r="F64" s="3517"/>
      <c r="G64" s="3518"/>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3" t="s">
        <v>386</v>
      </c>
      <c r="B66" s="3479"/>
      <c r="C66" s="3479"/>
      <c r="D66" s="259">
        <f ca="1">IF(H66="情况1",0,IF(H66="情况2",D70,IF(H66="情况3",D71,IF(H66="情况4",D72))))</f>
        <v>1687</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440" t="s">
        <v>385</v>
      </c>
      <c r="M66" s="3441"/>
      <c r="N66" s="2312"/>
      <c r="O66" s="2313"/>
      <c r="P66" s="2314"/>
      <c r="Q66" s="1911"/>
      <c r="R66" s="1911"/>
      <c r="S66" s="1911"/>
      <c r="T66" s="1911"/>
      <c r="U66" s="1911"/>
      <c r="V66" s="1911"/>
    </row>
    <row r="67" spans="1:22" ht="25.5" customHeight="1">
      <c r="A67" s="350" t="s">
        <v>389</v>
      </c>
      <c r="B67" s="3491" t="s">
        <v>390</v>
      </c>
      <c r="C67" s="3491"/>
      <c r="D67" s="351">
        <v>0</v>
      </c>
      <c r="E67" s="41" t="s">
        <v>391</v>
      </c>
      <c r="F67" s="62" t="s">
        <v>21</v>
      </c>
      <c r="G67" s="3475"/>
      <c r="H67" s="3006" t="s">
        <v>2961</v>
      </c>
      <c r="I67" s="3008"/>
      <c r="J67" s="1918"/>
      <c r="K67" s="3287">
        <v>2</v>
      </c>
      <c r="L67" s="3445" t="s">
        <v>388</v>
      </c>
      <c r="M67" s="3445"/>
      <c r="N67" s="1278">
        <f>'数据-取费表'!B2</f>
        <v>44258</v>
      </c>
      <c r="O67" s="1278"/>
      <c r="P67" s="1278"/>
      <c r="Q67" s="1911"/>
      <c r="R67" s="1911"/>
      <c r="S67" s="1911"/>
      <c r="T67" s="1911"/>
      <c r="U67" s="1911"/>
      <c r="V67" s="1911"/>
    </row>
    <row r="68" spans="1:22" ht="25.5" customHeight="1">
      <c r="A68" s="352"/>
      <c r="B68" s="3491" t="s">
        <v>393</v>
      </c>
      <c r="C68" s="3491"/>
      <c r="D68" s="353"/>
      <c r="E68" s="77"/>
      <c r="F68" s="354"/>
      <c r="G68" s="3476"/>
      <c r="H68" s="3007" t="s">
        <v>2962</v>
      </c>
      <c r="I68" s="3008"/>
      <c r="J68" s="1918"/>
      <c r="K68" s="3287">
        <v>3</v>
      </c>
      <c r="L68" s="3445" t="s">
        <v>392</v>
      </c>
      <c r="M68" s="3445"/>
      <c r="N68" s="1246">
        <f ca="1">系统读取表!D16</f>
        <v>32197</v>
      </c>
      <c r="O68" s="1246"/>
      <c r="P68" s="1246"/>
      <c r="Q68" s="1911"/>
      <c r="R68" s="1911"/>
      <c r="S68" s="1911"/>
      <c r="T68" s="1911"/>
      <c r="U68" s="1911"/>
      <c r="V68" s="1911"/>
    </row>
    <row r="69" spans="1:22" ht="23.45" customHeight="1">
      <c r="A69" s="355"/>
      <c r="B69" s="3491" t="s">
        <v>394</v>
      </c>
      <c r="C69" s="3491"/>
      <c r="D69" s="356"/>
      <c r="E69" s="73"/>
      <c r="F69" s="354"/>
      <c r="G69" s="3477"/>
      <c r="H69" s="3007" t="s">
        <v>2963</v>
      </c>
      <c r="I69" s="3008"/>
      <c r="J69" s="1918"/>
      <c r="K69" s="3289">
        <v>4</v>
      </c>
      <c r="L69" s="3446" t="s">
        <v>2857</v>
      </c>
      <c r="M69" s="3447"/>
      <c r="N69" s="1248">
        <f ca="1">N68</f>
        <v>32197</v>
      </c>
      <c r="O69" s="1248"/>
      <c r="P69" s="1248"/>
      <c r="Q69" s="1911"/>
      <c r="R69" s="1911"/>
      <c r="S69" s="1911"/>
      <c r="T69" s="1911"/>
      <c r="U69" s="1911"/>
      <c r="V69" s="1911"/>
    </row>
    <row r="70" spans="1:22" ht="24" customHeight="1">
      <c r="A70" s="357" t="s">
        <v>395</v>
      </c>
      <c r="B70" s="3491" t="s">
        <v>396</v>
      </c>
      <c r="C70" s="3491"/>
      <c r="D70" s="356">
        <f ca="1">ROUND(D63*'数据-取费表'!B41/(1+'数据-取费表'!C42),0)</f>
        <v>1687</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0" t="s">
        <v>2992</v>
      </c>
      <c r="C71" s="3507"/>
      <c r="D71" s="356">
        <f ca="1">ROUND(D63*'数据-取费表'!B41/(1+'数据-取费表'!C42),0)</f>
        <v>1687</v>
      </c>
      <c r="E71" s="17" t="s">
        <v>397</v>
      </c>
      <c r="F71" s="358">
        <f>'数据-取费表'!B41</f>
        <v>5.5000000000000007E-2</v>
      </c>
      <c r="G71" s="359"/>
      <c r="H71" s="309"/>
      <c r="I71" s="1245"/>
      <c r="J71" s="1918"/>
      <c r="K71" s="3291" t="s">
        <v>398</v>
      </c>
      <c r="L71" s="3448" t="s">
        <v>399</v>
      </c>
      <c r="M71" s="3448"/>
      <c r="N71" s="3291" t="s">
        <v>400</v>
      </c>
      <c r="O71" s="3291" t="s">
        <v>401</v>
      </c>
      <c r="P71" s="3291" t="s">
        <v>402</v>
      </c>
      <c r="Q71" s="1911"/>
      <c r="R71" s="1911"/>
      <c r="S71" s="1911"/>
      <c r="T71" s="1911"/>
      <c r="U71" s="1911"/>
      <c r="V71" s="1911"/>
    </row>
    <row r="72" spans="1:22" ht="12" customHeight="1">
      <c r="A72" s="357" t="s">
        <v>405</v>
      </c>
      <c r="B72" s="3490" t="s">
        <v>2993</v>
      </c>
      <c r="C72" s="3507"/>
      <c r="D72" s="356">
        <f ca="1">C86</f>
        <v>1687</v>
      </c>
      <c r="E72" s="73" t="s">
        <v>406</v>
      </c>
      <c r="F72" s="358">
        <f>'数据-取费表'!B41</f>
        <v>5.5000000000000007E-2</v>
      </c>
      <c r="G72" s="359"/>
      <c r="H72" s="1251"/>
      <c r="I72" s="1245"/>
      <c r="J72" s="1918"/>
      <c r="K72" s="3287">
        <v>1</v>
      </c>
      <c r="L72" s="3444" t="s">
        <v>404</v>
      </c>
      <c r="M72" s="3444"/>
      <c r="N72" s="1249">
        <f ca="1">D66</f>
        <v>1687</v>
      </c>
      <c r="O72" s="3286" t="str">
        <f>E66</f>
        <v>销售额×税（费）率</v>
      </c>
      <c r="P72" s="1250">
        <f>F66</f>
        <v>5.5000000000000007E-2</v>
      </c>
      <c r="Q72" s="1911"/>
      <c r="R72" s="1911"/>
      <c r="S72" s="1911"/>
      <c r="T72" s="1911"/>
      <c r="U72" s="1911"/>
      <c r="V72" s="1911"/>
    </row>
    <row r="73" spans="1:22" ht="24" customHeight="1">
      <c r="A73" s="3478" t="s">
        <v>408</v>
      </c>
      <c r="B73" s="3479"/>
      <c r="C73" s="3479"/>
      <c r="D73" s="360">
        <f ca="1">IF(H73="个人住宅",0,ROUND(D63*I73,0))</f>
        <v>16</v>
      </c>
      <c r="E73" s="17" t="s">
        <v>409</v>
      </c>
      <c r="F73" s="358">
        <f>IF(H73="正常",I73,"免征")</f>
        <v>5.0000000000000001E-4</v>
      </c>
      <c r="G73" s="359"/>
      <c r="H73" s="189" t="s">
        <v>3127</v>
      </c>
      <c r="I73" s="358">
        <f>'数据-取费表'!B49</f>
        <v>5.0000000000000001E-4</v>
      </c>
      <c r="J73" s="1918"/>
      <c r="K73" s="3287">
        <v>2</v>
      </c>
      <c r="L73" s="3444" t="s">
        <v>407</v>
      </c>
      <c r="M73" s="3444"/>
      <c r="N73" s="1249">
        <f t="shared" ref="N73:P74" ca="1" si="1">D73</f>
        <v>16</v>
      </c>
      <c r="O73" s="3286" t="str">
        <f t="shared" si="1"/>
        <v>销售额×税（费）率</v>
      </c>
      <c r="P73" s="1250">
        <f t="shared" si="1"/>
        <v>5.0000000000000001E-4</v>
      </c>
      <c r="Q73" s="1911"/>
      <c r="R73" s="1911"/>
      <c r="S73" s="1911"/>
      <c r="T73" s="1911"/>
      <c r="U73" s="1911"/>
      <c r="V73" s="1911"/>
    </row>
    <row r="74" spans="1:22" ht="24.75">
      <c r="A74" s="3478" t="s">
        <v>411</v>
      </c>
      <c r="B74" s="3479"/>
      <c r="C74" s="3479"/>
      <c r="D74" s="360">
        <f ca="1">IF(H74="个人住宅",D75,D76)</f>
        <v>2902</v>
      </c>
      <c r="E74" s="17" t="s">
        <v>412</v>
      </c>
      <c r="F74" s="358" t="str">
        <f>IF(H74="正常",F76,"免征")</f>
        <v>——</v>
      </c>
      <c r="G74" s="970" t="s">
        <v>387</v>
      </c>
      <c r="H74" s="361" t="s">
        <v>3127</v>
      </c>
      <c r="I74" s="42"/>
      <c r="J74" s="1918"/>
      <c r="K74" s="3287">
        <v>3</v>
      </c>
      <c r="L74" s="3444" t="s">
        <v>410</v>
      </c>
      <c r="M74" s="3444"/>
      <c r="N74" s="1249">
        <f t="shared" ca="1" si="1"/>
        <v>2902</v>
      </c>
      <c r="O74" s="3286" t="str">
        <f t="shared" si="1"/>
        <v>增值额×税（费）率</v>
      </c>
      <c r="P74" s="1252" t="str">
        <f t="shared" si="1"/>
        <v>——</v>
      </c>
      <c r="Q74" s="1911"/>
      <c r="R74" s="1911"/>
      <c r="S74" s="1911"/>
      <c r="T74" s="1911"/>
      <c r="U74" s="1911"/>
      <c r="V74" s="1911"/>
    </row>
    <row r="75" spans="1:22" ht="12.75">
      <c r="A75" s="357" t="s">
        <v>414</v>
      </c>
      <c r="B75" s="3459" t="s">
        <v>415</v>
      </c>
      <c r="C75" s="3460"/>
      <c r="D75" s="362">
        <v>0</v>
      </c>
      <c r="E75" s="41" t="s">
        <v>416</v>
      </c>
      <c r="F75" s="363"/>
      <c r="G75" s="359"/>
      <c r="H75" s="42"/>
      <c r="I75" s="42"/>
      <c r="J75" s="1918"/>
      <c r="K75" s="3287" t="str">
        <f>IF(H77="非个人房产","",4)</f>
        <v/>
      </c>
      <c r="L75" s="3444" t="str">
        <f>IF(H77="非个人房产","——","个人所得税")</f>
        <v>——</v>
      </c>
      <c r="M75" s="3444"/>
      <c r="N75" s="1253" t="str">
        <f>D77</f>
        <v>——</v>
      </c>
      <c r="O75" s="1786" t="str">
        <f>E77</f>
        <v>——</v>
      </c>
      <c r="P75" s="1254" t="str">
        <f>F77</f>
        <v>——</v>
      </c>
      <c r="Q75" s="1911"/>
      <c r="R75" s="1911"/>
      <c r="S75" s="1911"/>
      <c r="T75" s="1911"/>
      <c r="U75" s="1911"/>
      <c r="V75" s="1911"/>
    </row>
    <row r="76" spans="1:22" ht="24.75">
      <c r="A76" s="357" t="s">
        <v>395</v>
      </c>
      <c r="B76" s="3459" t="s">
        <v>418</v>
      </c>
      <c r="C76" s="3501"/>
      <c r="D76" s="360">
        <f ca="1">IF(H76="转让取得",C99,C115)</f>
        <v>2902</v>
      </c>
      <c r="E76" s="17" t="s">
        <v>419</v>
      </c>
      <c r="F76" s="53" t="s">
        <v>21</v>
      </c>
      <c r="G76" s="359"/>
      <c r="H76" s="361" t="s">
        <v>3167</v>
      </c>
      <c r="I76" s="42"/>
      <c r="J76" s="1918"/>
      <c r="K76" s="3287" t="str">
        <f>IF(项目基本情况!K6="上海银行",IF(K75="",4,K75+1),"")</f>
        <v/>
      </c>
      <c r="L76" s="3455" t="str">
        <f>IF(项目基本情况!K6="上海银行","其他处置费用","")</f>
        <v/>
      </c>
      <c r="M76" s="3456"/>
      <c r="N76" s="1249" t="str">
        <f>IF(项目基本情况!K6="上海银行",N89,"")</f>
        <v/>
      </c>
      <c r="O76" s="3457" t="str">
        <f>IF(项目基本情况!K6="上海银行","包含处置中涉及的律师、诉讼、拍卖、评估等费用","")</f>
        <v/>
      </c>
      <c r="P76" s="3458"/>
      <c r="Q76" s="1911"/>
      <c r="R76" s="1911"/>
      <c r="S76" s="1911"/>
      <c r="T76" s="1911"/>
      <c r="U76" s="1911"/>
      <c r="V76" s="1911"/>
    </row>
    <row r="77" spans="1:22" ht="24.75" thickBot="1">
      <c r="A77" s="3470" t="s">
        <v>421</v>
      </c>
      <c r="B77" s="3471"/>
      <c r="C77" s="3471"/>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66">
        <f>IF(AND(K75="",K76=""),4,IF(项目基本情况!K6="上海银行",K76+1,K75+1))</f>
        <v>4</v>
      </c>
      <c r="L77" s="3444" t="s">
        <v>2858</v>
      </c>
      <c r="M77" s="2763" t="s">
        <v>417</v>
      </c>
      <c r="N77" s="1255"/>
      <c r="O77" s="1256">
        <f ca="1">SUMIF(N72:N76,"&lt;9e307")</f>
        <v>4605</v>
      </c>
      <c r="P77" s="1257"/>
      <c r="Q77" s="2761">
        <f ca="1">O77/N69</f>
        <v>0.14302574774047272</v>
      </c>
      <c r="R77" s="1911"/>
      <c r="S77" s="1911"/>
      <c r="T77" s="1911"/>
      <c r="U77" s="1911"/>
      <c r="V77" s="1911"/>
    </row>
    <row r="78" spans="1:22" ht="12" customHeight="1">
      <c r="A78" s="1258"/>
      <c r="B78" s="309"/>
      <c r="C78" s="309"/>
      <c r="D78" s="309"/>
      <c r="E78" s="42"/>
      <c r="F78" s="42"/>
      <c r="G78" s="42"/>
      <c r="H78" s="990"/>
      <c r="I78" s="309"/>
      <c r="J78" s="1918"/>
      <c r="K78" s="3466"/>
      <c r="L78" s="3444"/>
      <c r="M78" s="2763" t="s">
        <v>420</v>
      </c>
      <c r="N78" s="1255"/>
      <c r="O78" s="1256" t="str">
        <f ca="1">NUMBERSTRING(INT(O77*10000),2)&amp;"元整"</f>
        <v>肆仟陆佰零伍万元整</v>
      </c>
      <c r="P78" s="1257"/>
      <c r="Q78" s="1911"/>
      <c r="R78" s="1911"/>
      <c r="S78" s="1911"/>
      <c r="T78" s="1911"/>
      <c r="U78" s="1911"/>
      <c r="V78" s="1911"/>
    </row>
    <row r="79" spans="1:22" ht="13.5" thickBot="1">
      <c r="A79" s="3521" t="s">
        <v>422</v>
      </c>
      <c r="B79" s="3521"/>
      <c r="C79" s="3521"/>
      <c r="D79" s="3521"/>
      <c r="E79" s="3521"/>
      <c r="F79" s="42"/>
      <c r="G79" s="42"/>
      <c r="H79" s="990"/>
      <c r="I79" s="309"/>
      <c r="J79" s="1918"/>
      <c r="K79" s="3442">
        <f>K77+1</f>
        <v>5</v>
      </c>
      <c r="L79" s="3444" t="s">
        <v>2859</v>
      </c>
      <c r="M79" s="2763" t="s">
        <v>417</v>
      </c>
      <c r="N79" s="1255"/>
      <c r="O79" s="1256">
        <f ca="1">N69-O77</f>
        <v>27592</v>
      </c>
      <c r="P79" s="1257"/>
      <c r="Q79" s="1911"/>
      <c r="R79" s="1911"/>
      <c r="S79" s="1911"/>
      <c r="T79" s="1911"/>
      <c r="U79" s="1911"/>
      <c r="V79" s="1911"/>
    </row>
    <row r="80" spans="1:22" ht="25.5">
      <c r="A80" s="3452" t="s">
        <v>423</v>
      </c>
      <c r="B80" s="3453"/>
      <c r="C80" s="3281"/>
      <c r="D80" s="3281" t="s">
        <v>424</v>
      </c>
      <c r="E80" s="364" t="s">
        <v>425</v>
      </c>
      <c r="F80" s="42"/>
      <c r="G80" s="42"/>
      <c r="H80" s="990"/>
      <c r="I80" s="309"/>
      <c r="J80" s="1911"/>
      <c r="K80" s="3443"/>
      <c r="L80" s="3444"/>
      <c r="M80" s="2763" t="s">
        <v>420</v>
      </c>
      <c r="N80" s="1255"/>
      <c r="O80" s="1256" t="str">
        <f ca="1">NUMBERSTRING(INT(O79*10000),2)&amp;"元整"</f>
        <v>贰亿柒仟伍佰玖拾贰万元整</v>
      </c>
      <c r="P80" s="1257"/>
      <c r="Q80" s="1911"/>
      <c r="R80" s="1911"/>
      <c r="S80" s="1911"/>
      <c r="T80" s="1911"/>
      <c r="U80" s="1911"/>
      <c r="V80" s="1911"/>
    </row>
    <row r="81" spans="1:26" ht="13.5" thickBot="1">
      <c r="A81" s="375" t="s">
        <v>1813</v>
      </c>
      <c r="B81" s="365" t="s">
        <v>426</v>
      </c>
      <c r="C81" s="366">
        <f ca="1">ROUND((C82+C83)/(1+'数据-取费表'!C42),0)</f>
        <v>30664</v>
      </c>
      <c r="D81" s="367"/>
      <c r="E81" s="368"/>
      <c r="F81" s="42"/>
      <c r="G81" s="42"/>
      <c r="H81" s="990"/>
      <c r="I81" s="309"/>
      <c r="J81" s="1911"/>
      <c r="K81" s="3287">
        <f>K79+1</f>
        <v>6</v>
      </c>
      <c r="L81" s="3464" t="s">
        <v>2860</v>
      </c>
      <c r="M81" s="3465"/>
      <c r="N81" s="1259"/>
      <c r="O81" s="1260">
        <f ca="1">ROUND(O79*10000/'数据-汇总表'!E3,0)</f>
        <v>2028</v>
      </c>
      <c r="P81" s="1261"/>
      <c r="Q81" s="1911"/>
      <c r="R81" s="1911"/>
      <c r="S81" s="1911"/>
      <c r="T81" s="1911"/>
      <c r="U81" s="1911"/>
      <c r="V81" s="1911"/>
    </row>
    <row r="82" spans="1:26" ht="13.5" thickTop="1">
      <c r="A82" s="369" t="s">
        <v>1814</v>
      </c>
      <c r="B82" s="370" t="s">
        <v>427</v>
      </c>
      <c r="C82" s="371">
        <f ca="1">D63</f>
        <v>32197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4" t="s">
        <v>2848</v>
      </c>
      <c r="L83" s="3288" t="s">
        <v>2849</v>
      </c>
      <c r="M83" s="2759">
        <f ca="1">IF(N69&gt;10000,N69*0.5%,IF(AND(N69&gt;1000,N69&lt;=10000),N69*1%,IF(AND(N69&gt;100,N69&lt;=1000),N69*3%,IF(AND(N69&gt;10,N69&lt;=100),N69*5%,N69*8%))))</f>
        <v>160.98500000000001</v>
      </c>
      <c r="N83" s="53">
        <f ca="1">ROUND(M83,1)</f>
        <v>161</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4"/>
      <c r="L84" s="3288" t="s">
        <v>2850</v>
      </c>
      <c r="M84" s="2759">
        <f ca="1">IF(N69&gt;2000,N69*0.5%,IF(AND(N69&gt;1000,N69&lt;=2000),N69*0.6%,IF(AND(N69&gt;500,N69&lt;=1000),N69*0.7%,IF(AND(N69&gt;200,N69&lt;=500),N69*0.8%,IF(AND(N69&gt;100,N69&lt;=200),N69*0.9%,IF(AND(N69&gt;50,N69&lt;=100),N69*1%,IF(AND(N69&gt;20,N69&lt;=50),N69*1.5%,IF(AND(N69&gt;10,N69&lt;=20),N69*2%,IF(AND(N69&gt;1,N69&lt;=10),N69*2.5%)))))))))</f>
        <v>160.98500000000001</v>
      </c>
      <c r="N84" s="53">
        <f t="shared" ref="N84:N85" ca="1" si="2">ROUND(M84,1)</f>
        <v>161</v>
      </c>
      <c r="O84" s="1911" t="s">
        <v>2851</v>
      </c>
      <c r="P84" s="1911"/>
      <c r="Q84" s="1911"/>
      <c r="R84" s="1911"/>
      <c r="S84" s="1911"/>
      <c r="T84" s="1911"/>
      <c r="U84" s="1911"/>
      <c r="V84" s="1911"/>
    </row>
    <row r="85" spans="1:26" ht="12.75">
      <c r="A85" s="375" t="s">
        <v>1817</v>
      </c>
      <c r="B85" s="376" t="s">
        <v>430</v>
      </c>
      <c r="C85" s="379">
        <f ca="1">C81-C84</f>
        <v>30664</v>
      </c>
      <c r="D85" s="372" t="s">
        <v>19</v>
      </c>
      <c r="E85" s="373"/>
      <c r="F85" s="42"/>
      <c r="G85" s="42"/>
      <c r="H85" s="990"/>
      <c r="I85" s="309"/>
      <c r="J85" s="1911"/>
      <c r="K85" s="3454"/>
      <c r="L85" s="3288" t="s">
        <v>2852</v>
      </c>
      <c r="M85" s="2759">
        <f ca="1">IF(N69&gt;1000,N69*0.1%,IF(AND(N69&gt;500,N69&lt;=1000),N69*0.5%,IF(AND(N69&gt;50,N69&lt;=500),N69*1%,IF(AND(N69&gt;1,N69&lt;=50),N69*1.5%))))</f>
        <v>32.197000000000003</v>
      </c>
      <c r="N85" s="53">
        <f t="shared" ca="1" si="2"/>
        <v>32.200000000000003</v>
      </c>
      <c r="O85" s="1911" t="s">
        <v>2851</v>
      </c>
      <c r="P85" s="1911"/>
      <c r="Q85" s="1911"/>
      <c r="R85" s="1911"/>
      <c r="S85" s="1911"/>
      <c r="T85" s="1911"/>
      <c r="U85" s="1911"/>
      <c r="V85" s="1911"/>
    </row>
    <row r="86" spans="1:26" ht="13.5" thickBot="1">
      <c r="A86" s="380" t="s">
        <v>1818</v>
      </c>
      <c r="B86" s="381" t="s">
        <v>431</v>
      </c>
      <c r="C86" s="382">
        <f ca="1">IF(C85&lt;=0,0,ROUND(C85*D86,0))</f>
        <v>1687</v>
      </c>
      <c r="D86" s="383">
        <f>'数据-取费表'!B41</f>
        <v>5.5000000000000007E-2</v>
      </c>
      <c r="E86" s="384"/>
      <c r="F86" s="42"/>
      <c r="G86" s="42"/>
      <c r="H86" s="990"/>
      <c r="I86" s="309"/>
      <c r="J86" s="1911"/>
      <c r="K86" s="3454"/>
      <c r="L86" s="3288" t="s">
        <v>2853</v>
      </c>
      <c r="M86" s="2759">
        <f ca="1">N69*0.5%</f>
        <v>160.98500000000001</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4"/>
      <c r="L87" s="3288" t="s">
        <v>2855</v>
      </c>
      <c r="M87" s="2759">
        <f ca="1">IF(N69&gt;=10000,(8.25+(N69-10000)*0.01%),IF(AND(N69&gt;=8000,N69&lt;10000),(7.85+(N69-8000)*0.02%),IF(AND(N69&gt;=5000,N69&lt;8000),(6.65+(N69-5000)*0.04%),IF(AND(N69&gt;=2000,N69&lt;5000),(4.25+(PN69-2000)*0.08%),IF(AND(N69&gt;=1000,N69&lt;2000),(2.75+(N69-1000)*0.15%),IF(AND(N69&gt;=100,N69&lt;1000),(0.5+(N69-100)*0.25%),IF(AND(N69&gt;0,N69&lt;100),N69*0.5%)))))))</f>
        <v>10.4697</v>
      </c>
      <c r="N87" s="53">
        <f ca="1">ROUND(M87*0.9,1)</f>
        <v>9.4</v>
      </c>
      <c r="O87" s="2762"/>
      <c r="P87" s="1911"/>
      <c r="Q87" s="1911"/>
      <c r="R87" s="1911"/>
      <c r="S87" s="1911"/>
      <c r="T87" s="1911"/>
      <c r="U87" s="1911"/>
      <c r="V87" s="1911"/>
      <c r="W87" s="290"/>
      <c r="X87" s="290"/>
      <c r="Y87" s="290"/>
      <c r="Z87" s="290"/>
    </row>
    <row r="88" spans="1:26" s="1267" customFormat="1" ht="15" thickBot="1">
      <c r="A88" s="3493" t="s">
        <v>432</v>
      </c>
      <c r="B88" s="3494"/>
      <c r="C88" s="3494"/>
      <c r="D88" s="3494"/>
      <c r="E88" s="3494"/>
      <c r="F88" s="3494"/>
      <c r="G88" s="3494"/>
      <c r="H88" s="3494"/>
      <c r="I88" s="1268"/>
      <c r="J88" s="1919"/>
      <c r="K88" s="3454"/>
      <c r="L88" s="3288" t="s">
        <v>2856</v>
      </c>
      <c r="M88" s="2759">
        <f ca="1">IF(N69&gt;10000,N69*0.5%,IF(AND(N69&gt;5000,N69&lt;=10000),N69*1%,IF(AND(N69&gt;1000,N69&lt;=5000),N69*2%,IF(AND(N69&gt;200,N69&lt;=1000),N69*3%,N69*5%))))</f>
        <v>160.98500000000001</v>
      </c>
      <c r="N88" s="53">
        <f ca="1">ROUND(M88,1)</f>
        <v>161</v>
      </c>
      <c r="O88" s="2762"/>
      <c r="P88" s="1916"/>
      <c r="Q88" s="1916"/>
      <c r="R88" s="1916"/>
      <c r="S88" s="1916"/>
      <c r="T88" s="1916"/>
      <c r="U88" s="1916"/>
      <c r="V88" s="1916"/>
      <c r="W88" s="1920"/>
      <c r="X88" s="1920"/>
      <c r="Y88" s="1920"/>
      <c r="Z88" s="1920"/>
    </row>
    <row r="89" spans="1:26" s="1267" customFormat="1" ht="14.25">
      <c r="A89" s="3452" t="s">
        <v>423</v>
      </c>
      <c r="B89" s="3453"/>
      <c r="C89" s="3281"/>
      <c r="D89" s="3281" t="s">
        <v>424</v>
      </c>
      <c r="E89" s="385" t="s">
        <v>433</v>
      </c>
      <c r="F89" s="386"/>
      <c r="G89" s="386"/>
      <c r="H89" s="387"/>
      <c r="I89" s="1269"/>
      <c r="J89" s="1921"/>
      <c r="K89" s="3454"/>
      <c r="L89" s="3288" t="s">
        <v>27</v>
      </c>
      <c r="M89" s="2760"/>
      <c r="N89" s="53">
        <f ca="1">ROUND(SUM(N83:N88),0)</f>
        <v>525</v>
      </c>
      <c r="O89" s="2770">
        <f ca="1">N89/N69</f>
        <v>1.6305867006242817E-2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30664</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153</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0" t="s">
        <v>441</v>
      </c>
      <c r="F94" s="3491"/>
      <c r="G94" s="3491"/>
      <c r="H94" s="3492"/>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153</v>
      </c>
      <c r="D96" s="400">
        <f>'数据-取费表'!B43</f>
        <v>5.000000000000001E-3</v>
      </c>
      <c r="E96" s="3449" t="s">
        <v>2412</v>
      </c>
      <c r="F96" s="3450"/>
      <c r="G96" s="3450"/>
      <c r="H96" s="3451"/>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30511</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199.41830065359477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18253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3" t="s">
        <v>448</v>
      </c>
      <c r="B101" s="3494"/>
      <c r="C101" s="3494"/>
      <c r="D101" s="3494"/>
      <c r="E101" s="3494"/>
      <c r="F101" s="3494"/>
      <c r="G101" s="3494"/>
      <c r="H101" s="3494"/>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2" t="s">
        <v>423</v>
      </c>
      <c r="B102" s="3453"/>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30664</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20990.639999999999</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18943.64</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18206.64</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737</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505" t="s">
        <v>2956</v>
      </c>
      <c r="H108" s="3506"/>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50"/>
      <c r="G109" s="3450"/>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1894</v>
      </c>
      <c r="D110" s="3275">
        <v>0.1</v>
      </c>
      <c r="E110" s="3483" t="s">
        <v>458</v>
      </c>
      <c r="F110" s="3450"/>
      <c r="G110" s="3450"/>
      <c r="H110" s="3451"/>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153</v>
      </c>
      <c r="D111" s="400">
        <f>'数据-取费表'!B43</f>
        <v>5.000000000000001E-3</v>
      </c>
      <c r="E111" s="3449" t="s">
        <v>2412</v>
      </c>
      <c r="F111" s="3450"/>
      <c r="G111" s="3450"/>
      <c r="H111" s="3451"/>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50"/>
      <c r="G112" s="3450"/>
      <c r="H112" s="3451"/>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9673</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0.46082444365679182</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2902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49" t="str">
        <f>项目基本情况!B1</f>
        <v>出让国有建设用地使用权抵押价格预评估</v>
      </c>
      <c r="C37" s="3349"/>
      <c r="D37" s="3349"/>
      <c r="E37" s="3349"/>
      <c r="F37" s="3349"/>
      <c r="G37" s="3349"/>
      <c r="H37" s="3349"/>
      <c r="I37" s="3349"/>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91" zoomScale="70" zoomScaleNormal="100" zoomScaleSheetLayoutView="70" zoomScalePageLayoutView="80" workbookViewId="0">
      <selection activeCell="G122" sqref="G122"/>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95" t="s">
        <v>298</v>
      </c>
      <c r="B3" s="3496"/>
      <c r="C3" s="3496"/>
      <c r="D3" s="3496"/>
      <c r="E3" s="3496"/>
      <c r="F3" s="3496"/>
      <c r="G3" s="3496"/>
      <c r="H3" s="3496"/>
      <c r="I3" s="3496"/>
      <c r="J3" s="1912"/>
      <c r="K3" s="1911"/>
      <c r="L3" s="1911"/>
      <c r="M3" s="1911"/>
      <c r="N3" s="1911"/>
      <c r="O3" s="1911"/>
      <c r="P3" s="1911"/>
      <c r="Q3" s="1911"/>
      <c r="R3" s="1911"/>
      <c r="S3" s="1911"/>
      <c r="T3" s="1911"/>
      <c r="U3" s="1911"/>
      <c r="V3" s="1911"/>
    </row>
    <row r="4" spans="1:22" ht="14.25">
      <c r="A4" s="256" t="s">
        <v>299</v>
      </c>
      <c r="B4" s="257" t="s">
        <v>300</v>
      </c>
      <c r="C4" s="258"/>
      <c r="D4" s="258"/>
      <c r="E4" s="3459" t="s">
        <v>301</v>
      </c>
      <c r="F4" s="3501"/>
      <c r="G4" s="3501"/>
      <c r="H4" s="3501"/>
      <c r="I4" s="3460"/>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88" t="s">
        <v>302</v>
      </c>
      <c r="B5" s="3489">
        <v>25</v>
      </c>
      <c r="C5" s="3497"/>
      <c r="D5" s="3500"/>
      <c r="E5" s="259" t="s">
        <v>303</v>
      </c>
      <c r="F5" s="260"/>
      <c r="G5" s="260"/>
      <c r="H5" s="260"/>
      <c r="I5" s="261"/>
      <c r="J5" s="1912"/>
      <c r="K5" s="1911"/>
      <c r="L5" s="1911"/>
      <c r="M5" s="1911"/>
      <c r="N5" s="1911"/>
      <c r="O5" s="1911"/>
      <c r="P5" s="1911"/>
      <c r="Q5" s="1911"/>
      <c r="R5" s="1911"/>
      <c r="S5" s="1911"/>
      <c r="T5" s="1911"/>
      <c r="U5" s="1911"/>
      <c r="V5" s="1911"/>
    </row>
    <row r="6" spans="1:22" ht="14.25">
      <c r="A6" s="3488"/>
      <c r="B6" s="3489"/>
      <c r="C6" s="3498"/>
      <c r="D6" s="3500"/>
      <c r="E6" s="259" t="s">
        <v>304</v>
      </c>
      <c r="F6" s="260"/>
      <c r="G6" s="260"/>
      <c r="H6" s="260"/>
      <c r="I6" s="261"/>
      <c r="J6" s="1912"/>
      <c r="K6" s="1911"/>
      <c r="L6" s="1911"/>
      <c r="M6" s="1911"/>
      <c r="N6" s="1911"/>
      <c r="O6" s="1911"/>
      <c r="P6" s="1911"/>
      <c r="Q6" s="1911"/>
      <c r="R6" s="1911"/>
      <c r="S6" s="1911"/>
      <c r="T6" s="1911"/>
      <c r="U6" s="1911"/>
      <c r="V6" s="1911"/>
    </row>
    <row r="7" spans="1:22" ht="14.25">
      <c r="A7" s="3488"/>
      <c r="B7" s="3489"/>
      <c r="C7" s="3499"/>
      <c r="D7" s="3500"/>
      <c r="E7" s="259" t="s">
        <v>305</v>
      </c>
      <c r="F7" s="260"/>
      <c r="G7" s="260"/>
      <c r="H7" s="260"/>
      <c r="I7" s="261"/>
      <c r="J7" s="1912"/>
      <c r="K7" s="1911"/>
      <c r="L7" s="1911"/>
      <c r="M7" s="1911"/>
      <c r="N7" s="1911"/>
      <c r="O7" s="1911"/>
      <c r="P7" s="1911"/>
      <c r="Q7" s="1911"/>
      <c r="R7" s="1911"/>
      <c r="S7" s="1911"/>
      <c r="T7" s="1911"/>
      <c r="U7" s="1911"/>
      <c r="V7" s="1911"/>
    </row>
    <row r="8" spans="1:22" ht="14.25">
      <c r="A8" s="3488" t="s">
        <v>306</v>
      </c>
      <c r="B8" s="3489">
        <v>15</v>
      </c>
      <c r="C8" s="3497"/>
      <c r="D8" s="3500"/>
      <c r="E8" s="259" t="s">
        <v>307</v>
      </c>
      <c r="F8" s="260"/>
      <c r="G8" s="260"/>
      <c r="H8" s="260"/>
      <c r="I8" s="261"/>
      <c r="J8" s="1912"/>
      <c r="K8" s="1911"/>
      <c r="L8" s="1911"/>
      <c r="M8" s="1911"/>
      <c r="N8" s="1911"/>
      <c r="O8" s="1911"/>
      <c r="P8" s="1911"/>
      <c r="Q8" s="1911"/>
      <c r="R8" s="1911"/>
      <c r="S8" s="1911"/>
      <c r="T8" s="1911"/>
      <c r="U8" s="1911"/>
      <c r="V8" s="1911"/>
    </row>
    <row r="9" spans="1:22" ht="14.25">
      <c r="A9" s="3488"/>
      <c r="B9" s="3489"/>
      <c r="C9" s="3499"/>
      <c r="D9" s="3500"/>
      <c r="E9" s="259" t="s">
        <v>308</v>
      </c>
      <c r="F9" s="260"/>
      <c r="G9" s="260"/>
      <c r="H9" s="260"/>
      <c r="I9" s="261"/>
      <c r="J9" s="1912"/>
      <c r="K9" s="1911"/>
      <c r="L9" s="1911"/>
      <c r="M9" s="1911"/>
      <c r="N9" s="1911"/>
      <c r="O9" s="1911"/>
      <c r="P9" s="1911"/>
      <c r="Q9" s="1911"/>
      <c r="R9" s="1911"/>
      <c r="S9" s="1911"/>
      <c r="T9" s="1911"/>
      <c r="U9" s="1911"/>
      <c r="V9" s="1911"/>
    </row>
    <row r="10" spans="1:22" ht="14.25">
      <c r="A10" s="3488" t="s">
        <v>309</v>
      </c>
      <c r="B10" s="3489">
        <v>15</v>
      </c>
      <c r="C10" s="3497"/>
      <c r="D10" s="3500"/>
      <c r="E10" s="259" t="s">
        <v>310</v>
      </c>
      <c r="F10" s="260"/>
      <c r="G10" s="260"/>
      <c r="H10" s="260"/>
      <c r="I10" s="261"/>
      <c r="J10" s="1912"/>
      <c r="K10" s="1911"/>
      <c r="L10" s="1911"/>
      <c r="M10" s="1911"/>
      <c r="N10" s="1911"/>
      <c r="O10" s="1911"/>
      <c r="P10" s="1911"/>
      <c r="Q10" s="1911"/>
      <c r="R10" s="1911"/>
      <c r="S10" s="1911"/>
      <c r="T10" s="1911"/>
      <c r="U10" s="1911"/>
      <c r="V10" s="1911"/>
    </row>
    <row r="11" spans="1:22" ht="14.25">
      <c r="A11" s="3488"/>
      <c r="B11" s="3489"/>
      <c r="C11" s="3499"/>
      <c r="D11" s="3500"/>
      <c r="E11" s="259" t="s">
        <v>311</v>
      </c>
      <c r="F11" s="260"/>
      <c r="G11" s="260"/>
      <c r="H11" s="260"/>
      <c r="I11" s="261"/>
      <c r="J11" s="1912"/>
      <c r="K11" s="1911"/>
      <c r="L11" s="1911"/>
      <c r="M11" s="1911"/>
      <c r="N11" s="1911"/>
      <c r="O11" s="1911"/>
      <c r="P11" s="1911"/>
      <c r="Q11" s="1911"/>
      <c r="R11" s="1911"/>
      <c r="S11" s="1911"/>
      <c r="T11" s="1911"/>
      <c r="U11" s="1911"/>
      <c r="V11" s="1911"/>
    </row>
    <row r="12" spans="1:22" ht="14.25">
      <c r="A12" s="3488" t="s">
        <v>312</v>
      </c>
      <c r="B12" s="3489">
        <v>15</v>
      </c>
      <c r="C12" s="3497"/>
      <c r="D12" s="3500"/>
      <c r="E12" s="259" t="s">
        <v>313</v>
      </c>
      <c r="F12" s="260"/>
      <c r="G12" s="260"/>
      <c r="H12" s="260"/>
      <c r="I12" s="261"/>
      <c r="J12" s="1912"/>
      <c r="K12" s="1911"/>
      <c r="L12" s="1911"/>
      <c r="M12" s="1911"/>
      <c r="N12" s="1911"/>
      <c r="O12" s="1911"/>
      <c r="P12" s="1911"/>
      <c r="Q12" s="1911"/>
      <c r="R12" s="1911"/>
      <c r="S12" s="1911"/>
      <c r="T12" s="1911"/>
      <c r="U12" s="1911"/>
      <c r="V12" s="1911"/>
    </row>
    <row r="13" spans="1:22" ht="14.25">
      <c r="A13" s="3488"/>
      <c r="B13" s="3489"/>
      <c r="C13" s="3499"/>
      <c r="D13" s="3500"/>
      <c r="E13" s="259" t="s">
        <v>314</v>
      </c>
      <c r="F13" s="260"/>
      <c r="G13" s="260"/>
      <c r="H13" s="260"/>
      <c r="I13" s="261"/>
      <c r="J13" s="1912"/>
      <c r="K13" s="1911"/>
      <c r="L13" s="1911"/>
      <c r="M13" s="1911"/>
      <c r="N13" s="1911"/>
      <c r="O13" s="1911"/>
      <c r="P13" s="1911"/>
      <c r="Q13" s="1911"/>
      <c r="R13" s="1911"/>
      <c r="S13" s="1911"/>
      <c r="T13" s="1911"/>
      <c r="U13" s="1911"/>
      <c r="V13" s="1911"/>
    </row>
    <row r="14" spans="1:22" ht="14.25">
      <c r="A14" s="3488" t="s">
        <v>315</v>
      </c>
      <c r="B14" s="3489">
        <v>30</v>
      </c>
      <c r="C14" s="3497"/>
      <c r="D14" s="3500"/>
      <c r="E14" s="259" t="s">
        <v>316</v>
      </c>
      <c r="F14" s="260"/>
      <c r="G14" s="260"/>
      <c r="H14" s="260"/>
      <c r="I14" s="261"/>
      <c r="J14" s="1912"/>
      <c r="K14" s="1911"/>
      <c r="L14" s="1911"/>
      <c r="M14" s="1911"/>
      <c r="N14" s="1911"/>
      <c r="O14" s="1911"/>
      <c r="P14" s="1911"/>
      <c r="Q14" s="1911"/>
      <c r="R14" s="1911"/>
      <c r="S14" s="1911"/>
      <c r="T14" s="1911"/>
      <c r="U14" s="1911"/>
      <c r="V14" s="1911"/>
    </row>
    <row r="15" spans="1:22" ht="14.25">
      <c r="A15" s="3488"/>
      <c r="B15" s="3489"/>
      <c r="C15" s="3498"/>
      <c r="D15" s="3500"/>
      <c r="E15" s="259" t="s">
        <v>317</v>
      </c>
      <c r="F15" s="260"/>
      <c r="G15" s="260"/>
      <c r="H15" s="260"/>
      <c r="I15" s="261"/>
      <c r="J15" s="1912"/>
      <c r="K15" s="1911"/>
      <c r="L15" s="1911"/>
      <c r="M15" s="1911"/>
      <c r="N15" s="1911"/>
      <c r="O15" s="1911"/>
      <c r="P15" s="1911"/>
      <c r="Q15" s="1911"/>
      <c r="R15" s="1911"/>
      <c r="S15" s="1911"/>
      <c r="T15" s="1911"/>
      <c r="U15" s="1911"/>
      <c r="V15" s="1911"/>
    </row>
    <row r="16" spans="1:22" ht="14.25">
      <c r="A16" s="3488"/>
      <c r="B16" s="3489"/>
      <c r="C16" s="3499"/>
      <c r="D16" s="350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502" t="s">
        <v>2958</v>
      </c>
      <c r="F18" s="3503"/>
      <c r="G18" s="3503"/>
      <c r="H18" s="3503"/>
      <c r="I18" s="3503"/>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SUMIF(INDIRECT("'"&amp;C4&amp;"'"&amp;"!A:A"),'结果表-27净值'!B19,INDIRECT("'"&amp;C4&amp;"'"&amp;"!B:B"))</f>
        <v>#REF!</v>
      </c>
      <c r="D19" s="269" t="e">
        <f ca="1">SUMIF(INDIRECT("'"&amp;D4&amp;"'"&amp;"!A:A"),'结果表-27净值'!B19,INDIRECT("'"&amp;D4&amp;"'"&amp;"!B:B"))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SUMIF(INDIRECT("'"&amp;C4&amp;"'"&amp;"!A:A"),'结果表-27净值'!B20,INDIRECT("'"&amp;C4&amp;"'"&amp;"!B:B"))</f>
        <v>#REF!</v>
      </c>
      <c r="D20" s="275" t="e">
        <f ca="1">SUMIF(INDIRECT("'"&amp;D4&amp;"'"&amp;"!A:A"),'结果表-27净值'!B20,INDIRECT("'"&amp;D4&amp;"'"&amp;"!B:B"))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SUMIF(INDIRECT("'"&amp;C4&amp;"'"&amp;"!A:A"),'结果表-27净值'!B21,INDIRECT("'"&amp;C4&amp;"'"&amp;"!B:B"))</f>
        <v>#REF!</v>
      </c>
      <c r="D21" s="149" t="e">
        <f ca="1">SUMIF(INDIRECT("'"&amp;D4&amp;"'"&amp;"!A:A"),'结果表-27净值'!B21,INDIRECT("'"&amp;D4&amp;"'"&amp;"!B:B"))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1"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08"/>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504" t="s">
        <v>2960</v>
      </c>
      <c r="B31" s="3504"/>
      <c r="C31" s="3504"/>
      <c r="D31" s="3504"/>
      <c r="E31" s="3504"/>
      <c r="F31" s="3504"/>
      <c r="G31" s="3504"/>
      <c r="H31" s="3504"/>
      <c r="I31" s="3504"/>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61"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6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63"/>
      <c r="F35" s="299" t="s">
        <v>342</v>
      </c>
      <c r="G35" s="969"/>
      <c r="H35" s="968" t="s">
        <v>343</v>
      </c>
      <c r="I35" s="309"/>
      <c r="J35" s="1911"/>
      <c r="K35" s="3467" t="s">
        <v>350</v>
      </c>
      <c r="L35" s="3467" t="s">
        <v>351</v>
      </c>
      <c r="M35" s="1217" t="s">
        <v>352</v>
      </c>
      <c r="N35" s="3467" t="s">
        <v>353</v>
      </c>
      <c r="O35" s="3467" t="s">
        <v>354</v>
      </c>
      <c r="P35" s="1911"/>
      <c r="V35" s="1911"/>
    </row>
    <row r="36" spans="1:26" ht="16.5" customHeight="1">
      <c r="A36" s="301" t="s">
        <v>344</v>
      </c>
      <c r="B36" s="302" t="s">
        <v>333</v>
      </c>
      <c r="C36" s="303" t="s">
        <v>334</v>
      </c>
      <c r="D36" s="303" t="s">
        <v>346</v>
      </c>
      <c r="E36" s="304" t="s">
        <v>347</v>
      </c>
      <c r="F36" s="309"/>
      <c r="G36" s="309"/>
      <c r="H36" s="309"/>
      <c r="I36" s="309"/>
      <c r="J36" s="1913"/>
      <c r="K36" s="3468"/>
      <c r="L36" s="3468"/>
      <c r="M36" s="1219" t="s">
        <v>355</v>
      </c>
      <c r="N36" s="3468"/>
      <c r="O36" s="3468"/>
      <c r="P36" s="1911"/>
      <c r="V36" s="1911"/>
    </row>
    <row r="37" spans="1:26" ht="16.5" customHeight="1" thickBot="1">
      <c r="A37" s="1213" t="s">
        <v>348</v>
      </c>
      <c r="B37" s="305"/>
      <c r="C37" s="292"/>
      <c r="D37" s="292"/>
      <c r="E37" s="293"/>
      <c r="F37" s="309"/>
      <c r="G37" s="309"/>
      <c r="H37" s="309"/>
      <c r="I37" s="309"/>
      <c r="J37" s="1913"/>
      <c r="K37" s="3469"/>
      <c r="L37" s="3469"/>
      <c r="M37" s="1220"/>
      <c r="N37" s="3469"/>
      <c r="O37" s="3469"/>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480" t="str">
        <f>MID(A44,3,LEN(A44)-2)</f>
        <v>抵押价格</v>
      </c>
      <c r="L39" s="3481"/>
      <c r="M39" s="3481"/>
      <c r="N39" s="3482"/>
      <c r="O39" s="1340" t="e">
        <f ca="1">C44</f>
        <v>#REF!</v>
      </c>
      <c r="P39" s="1911"/>
      <c r="V39" s="1911"/>
    </row>
    <row r="40" spans="1:26" ht="19.5" thickBot="1">
      <c r="A40" s="104" t="s">
        <v>863</v>
      </c>
      <c r="B40" s="309"/>
      <c r="C40" s="309"/>
      <c r="D40" s="309"/>
      <c r="E40" s="309"/>
      <c r="F40" s="309"/>
      <c r="G40" s="309"/>
      <c r="H40" s="309"/>
      <c r="I40" s="309"/>
      <c r="J40" s="1913"/>
      <c r="K40" s="3480" t="str">
        <f t="shared" ref="K40:K41" si="0">MID(A45,3,LEN(A45)-2)</f>
        <v/>
      </c>
      <c r="L40" s="3481"/>
      <c r="M40" s="3481"/>
      <c r="N40" s="3482"/>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0" t="str">
        <f t="shared" si="0"/>
        <v/>
      </c>
      <c r="L41" s="3481"/>
      <c r="M41" s="3481"/>
      <c r="N41" s="3482"/>
      <c r="O41" s="1340" t="str">
        <f>C46</f>
        <v>——</v>
      </c>
      <c r="P41" s="1911"/>
      <c r="V41" s="1911"/>
    </row>
    <row r="42" spans="1:26" ht="29.25">
      <c r="A42" s="3509" t="s">
        <v>2055</v>
      </c>
      <c r="B42" s="3510"/>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519" t="s">
        <v>2709</v>
      </c>
      <c r="B43" s="3520"/>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509" t="str">
        <f>IF(OR(项目基本情况!E8="抵押价格",项目基本情况!E8="已注销及未注销"),"3.抵押价格","——")</f>
        <v>3.抵押价格</v>
      </c>
      <c r="B44" s="3510"/>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514" t="str">
        <f>IF(项目基本情况!E8="已注销及未注销","4.抵押担保权已注销时的抵押价格",IF(项目基本情况!E8="已注销","3.抵押担保权已注销时的抵押价格","——"))</f>
        <v>——</v>
      </c>
      <c r="B45" s="3515"/>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1" t="str">
        <f>IF(项目基本情况!E9="抵押净值",IF(A45="——","4.抵押净值","5.抵押净值"),"——")</f>
        <v>——</v>
      </c>
      <c r="B46" s="3512"/>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2" t="s">
        <v>374</v>
      </c>
      <c r="B63" s="3473"/>
      <c r="C63" s="3474"/>
      <c r="D63" s="339">
        <f ca="1">系统读取表!D17*F63</f>
        <v>21238</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16" t="s">
        <v>378</v>
      </c>
      <c r="B64" s="3517"/>
      <c r="C64" s="3517"/>
      <c r="D64" s="3517"/>
      <c r="E64" s="3517"/>
      <c r="F64" s="3517"/>
      <c r="G64" s="3518"/>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3" t="s">
        <v>386</v>
      </c>
      <c r="B66" s="3479"/>
      <c r="C66" s="3479"/>
      <c r="D66" s="259">
        <f ca="1">IF(H66="情况1",0,IF(H66="情况2",D70,IF(H66="情况3",D71,IF(H66="情况4",D72))))</f>
        <v>1112</v>
      </c>
      <c r="E66" s="3304" t="str">
        <f>IF(H66="情况4","(销售额-原购置价)×税（费）率","销售额×税（费）率")</f>
        <v>销售额×税（费）率</v>
      </c>
      <c r="F66" s="348">
        <f>IF(H66="情况1","免征",'数据-取费表'!B41)</f>
        <v>5.5000000000000007E-2</v>
      </c>
      <c r="G66" s="349" t="s">
        <v>387</v>
      </c>
      <c r="H66" s="189" t="s">
        <v>3166</v>
      </c>
      <c r="I66" s="1241"/>
      <c r="J66" s="1917"/>
      <c r="K66" s="3296">
        <v>1</v>
      </c>
      <c r="L66" s="3440" t="s">
        <v>385</v>
      </c>
      <c r="M66" s="3441"/>
      <c r="N66" s="2312"/>
      <c r="O66" s="2313"/>
      <c r="P66" s="2314"/>
      <c r="Q66" s="1911"/>
      <c r="R66" s="1911"/>
      <c r="S66" s="1911"/>
      <c r="T66" s="1911"/>
      <c r="U66" s="1911"/>
      <c r="V66" s="1911"/>
    </row>
    <row r="67" spans="1:22" ht="25.5" customHeight="1">
      <c r="A67" s="350" t="s">
        <v>389</v>
      </c>
      <c r="B67" s="3491" t="s">
        <v>390</v>
      </c>
      <c r="C67" s="3491"/>
      <c r="D67" s="351">
        <v>0</v>
      </c>
      <c r="E67" s="41" t="s">
        <v>391</v>
      </c>
      <c r="F67" s="62" t="s">
        <v>21</v>
      </c>
      <c r="G67" s="3475"/>
      <c r="H67" s="3006" t="s">
        <v>2961</v>
      </c>
      <c r="I67" s="3008"/>
      <c r="J67" s="1918"/>
      <c r="K67" s="3303">
        <v>2</v>
      </c>
      <c r="L67" s="3445" t="s">
        <v>388</v>
      </c>
      <c r="M67" s="3445"/>
      <c r="N67" s="1278">
        <f>'数据-取费表'!B2</f>
        <v>44258</v>
      </c>
      <c r="O67" s="1278"/>
      <c r="P67" s="1278"/>
      <c r="Q67" s="1911"/>
      <c r="R67" s="1911"/>
      <c r="S67" s="1911"/>
      <c r="T67" s="1911"/>
      <c r="U67" s="1911"/>
      <c r="V67" s="1911"/>
    </row>
    <row r="68" spans="1:22" ht="25.5" customHeight="1">
      <c r="A68" s="352"/>
      <c r="B68" s="3491" t="s">
        <v>393</v>
      </c>
      <c r="C68" s="3491"/>
      <c r="D68" s="353"/>
      <c r="E68" s="77"/>
      <c r="F68" s="354"/>
      <c r="G68" s="3476"/>
      <c r="H68" s="3007" t="s">
        <v>2962</v>
      </c>
      <c r="I68" s="3008"/>
      <c r="J68" s="1918"/>
      <c r="K68" s="3303">
        <v>3</v>
      </c>
      <c r="L68" s="3445" t="s">
        <v>392</v>
      </c>
      <c r="M68" s="3445"/>
      <c r="N68" s="1246">
        <f ca="1">系统读取表!D17</f>
        <v>21238</v>
      </c>
      <c r="O68" s="1246"/>
      <c r="P68" s="1246"/>
      <c r="Q68" s="1911"/>
      <c r="R68" s="1911"/>
      <c r="S68" s="1911"/>
      <c r="T68" s="1911"/>
      <c r="U68" s="1911"/>
      <c r="V68" s="1911"/>
    </row>
    <row r="69" spans="1:22" ht="23.45" customHeight="1">
      <c r="A69" s="355"/>
      <c r="B69" s="3491" t="s">
        <v>394</v>
      </c>
      <c r="C69" s="3491"/>
      <c r="D69" s="356"/>
      <c r="E69" s="73"/>
      <c r="F69" s="354"/>
      <c r="G69" s="3477"/>
      <c r="H69" s="3007" t="s">
        <v>2963</v>
      </c>
      <c r="I69" s="3008"/>
      <c r="J69" s="1918"/>
      <c r="K69" s="3295">
        <v>4</v>
      </c>
      <c r="L69" s="3446" t="s">
        <v>2857</v>
      </c>
      <c r="M69" s="3447"/>
      <c r="N69" s="1248">
        <f ca="1">N68</f>
        <v>21238</v>
      </c>
      <c r="O69" s="1248"/>
      <c r="P69" s="1248"/>
      <c r="Q69" s="1911"/>
      <c r="R69" s="1911"/>
      <c r="S69" s="1911"/>
      <c r="T69" s="1911"/>
      <c r="U69" s="1911"/>
      <c r="V69" s="1911"/>
    </row>
    <row r="70" spans="1:22" ht="24" customHeight="1">
      <c r="A70" s="357" t="s">
        <v>395</v>
      </c>
      <c r="B70" s="3491" t="s">
        <v>396</v>
      </c>
      <c r="C70" s="3491"/>
      <c r="D70" s="356">
        <f ca="1">ROUND(D63*'数据-取费表'!B41/(1+'数据-取费表'!C42),0)</f>
        <v>1112</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0" t="s">
        <v>2992</v>
      </c>
      <c r="C71" s="3507"/>
      <c r="D71" s="356">
        <f ca="1">ROUND(D63*'数据-取费表'!B41/(1+'数据-取费表'!C42),0)</f>
        <v>1112</v>
      </c>
      <c r="E71" s="17" t="s">
        <v>397</v>
      </c>
      <c r="F71" s="358">
        <f>'数据-取费表'!B41</f>
        <v>5.5000000000000007E-2</v>
      </c>
      <c r="G71" s="359"/>
      <c r="H71" s="309"/>
      <c r="I71" s="1245"/>
      <c r="J71" s="1918"/>
      <c r="K71" s="3298" t="s">
        <v>398</v>
      </c>
      <c r="L71" s="3448" t="s">
        <v>399</v>
      </c>
      <c r="M71" s="3448"/>
      <c r="N71" s="3298" t="s">
        <v>400</v>
      </c>
      <c r="O71" s="3298" t="s">
        <v>401</v>
      </c>
      <c r="P71" s="3298" t="s">
        <v>402</v>
      </c>
      <c r="Q71" s="1911"/>
      <c r="R71" s="1911"/>
      <c r="S71" s="1911"/>
      <c r="T71" s="1911"/>
      <c r="U71" s="1911"/>
      <c r="V71" s="1911"/>
    </row>
    <row r="72" spans="1:22" ht="12" customHeight="1">
      <c r="A72" s="357" t="s">
        <v>405</v>
      </c>
      <c r="B72" s="3490" t="s">
        <v>2993</v>
      </c>
      <c r="C72" s="3507"/>
      <c r="D72" s="356">
        <f ca="1">C86</f>
        <v>1112</v>
      </c>
      <c r="E72" s="73" t="s">
        <v>406</v>
      </c>
      <c r="F72" s="358">
        <f>'数据-取费表'!B41</f>
        <v>5.5000000000000007E-2</v>
      </c>
      <c r="G72" s="359"/>
      <c r="H72" s="1251"/>
      <c r="I72" s="1245"/>
      <c r="J72" s="1918"/>
      <c r="K72" s="3303">
        <v>1</v>
      </c>
      <c r="L72" s="3444" t="s">
        <v>404</v>
      </c>
      <c r="M72" s="3444"/>
      <c r="N72" s="1249">
        <f ca="1">D66</f>
        <v>1112</v>
      </c>
      <c r="O72" s="3297" t="str">
        <f>E66</f>
        <v>销售额×税（费）率</v>
      </c>
      <c r="P72" s="1250">
        <f>F66</f>
        <v>5.5000000000000007E-2</v>
      </c>
      <c r="Q72" s="1911"/>
      <c r="R72" s="1911"/>
      <c r="S72" s="1911"/>
      <c r="T72" s="1911"/>
      <c r="U72" s="1911"/>
      <c r="V72" s="1911"/>
    </row>
    <row r="73" spans="1:22" ht="24" customHeight="1">
      <c r="A73" s="3478" t="s">
        <v>408</v>
      </c>
      <c r="B73" s="3479"/>
      <c r="C73" s="3479"/>
      <c r="D73" s="360">
        <f ca="1">IF(H73="个人住宅",0,ROUND(D63*I73,0))</f>
        <v>11</v>
      </c>
      <c r="E73" s="17" t="s">
        <v>409</v>
      </c>
      <c r="F73" s="358">
        <f>IF(H73="正常",I73,"免征")</f>
        <v>5.0000000000000001E-4</v>
      </c>
      <c r="G73" s="359"/>
      <c r="H73" s="189" t="s">
        <v>3127</v>
      </c>
      <c r="I73" s="358">
        <f>'数据-取费表'!B49</f>
        <v>5.0000000000000001E-4</v>
      </c>
      <c r="J73" s="1918"/>
      <c r="K73" s="3303">
        <v>2</v>
      </c>
      <c r="L73" s="3444" t="s">
        <v>407</v>
      </c>
      <c r="M73" s="3444"/>
      <c r="N73" s="1249">
        <f t="shared" ref="N73:P74" ca="1" si="1">D73</f>
        <v>11</v>
      </c>
      <c r="O73" s="3297" t="str">
        <f t="shared" si="1"/>
        <v>销售额×税（费）率</v>
      </c>
      <c r="P73" s="1250">
        <f t="shared" si="1"/>
        <v>5.0000000000000001E-4</v>
      </c>
      <c r="Q73" s="1911"/>
      <c r="R73" s="1911"/>
      <c r="S73" s="1911"/>
      <c r="T73" s="1911"/>
      <c r="U73" s="1911"/>
      <c r="V73" s="1911"/>
    </row>
    <row r="74" spans="1:22" ht="24.75">
      <c r="A74" s="3478" t="s">
        <v>411</v>
      </c>
      <c r="B74" s="3479"/>
      <c r="C74" s="3479"/>
      <c r="D74" s="360">
        <f ca="1">IF(H74="个人住宅",D75,D76)</f>
        <v>1830</v>
      </c>
      <c r="E74" s="17" t="s">
        <v>412</v>
      </c>
      <c r="F74" s="358" t="str">
        <f>IF(H74="正常",F76,"免征")</f>
        <v>——</v>
      </c>
      <c r="G74" s="970" t="s">
        <v>387</v>
      </c>
      <c r="H74" s="361" t="s">
        <v>3127</v>
      </c>
      <c r="I74" s="42"/>
      <c r="J74" s="1918"/>
      <c r="K74" s="3303">
        <v>3</v>
      </c>
      <c r="L74" s="3444" t="s">
        <v>410</v>
      </c>
      <c r="M74" s="3444"/>
      <c r="N74" s="1249">
        <f t="shared" ca="1" si="1"/>
        <v>1830</v>
      </c>
      <c r="O74" s="3297" t="str">
        <f t="shared" si="1"/>
        <v>增值额×税（费）率</v>
      </c>
      <c r="P74" s="1252" t="str">
        <f t="shared" si="1"/>
        <v>——</v>
      </c>
      <c r="Q74" s="1911"/>
      <c r="R74" s="1911"/>
      <c r="S74" s="1911"/>
      <c r="T74" s="1911"/>
      <c r="U74" s="1911"/>
      <c r="V74" s="1911"/>
    </row>
    <row r="75" spans="1:22" ht="12.75">
      <c r="A75" s="357" t="s">
        <v>414</v>
      </c>
      <c r="B75" s="3459" t="s">
        <v>415</v>
      </c>
      <c r="C75" s="3460"/>
      <c r="D75" s="362">
        <v>0</v>
      </c>
      <c r="E75" s="41" t="s">
        <v>416</v>
      </c>
      <c r="F75" s="363"/>
      <c r="G75" s="359"/>
      <c r="H75" s="42"/>
      <c r="I75" s="42"/>
      <c r="J75" s="1918"/>
      <c r="K75" s="3303" t="str">
        <f>IF(H77="非个人房产","",4)</f>
        <v/>
      </c>
      <c r="L75" s="3444" t="str">
        <f>IF(H77="非个人房产","——","个人所得税")</f>
        <v>——</v>
      </c>
      <c r="M75" s="3444"/>
      <c r="N75" s="1253" t="str">
        <f>D77</f>
        <v>——</v>
      </c>
      <c r="O75" s="1786" t="str">
        <f>E77</f>
        <v>——</v>
      </c>
      <c r="P75" s="1254" t="str">
        <f>F77</f>
        <v>——</v>
      </c>
      <c r="Q75" s="1911"/>
      <c r="R75" s="1911"/>
      <c r="S75" s="1911"/>
      <c r="T75" s="1911"/>
      <c r="U75" s="1911"/>
      <c r="V75" s="1911"/>
    </row>
    <row r="76" spans="1:22" ht="24.75">
      <c r="A76" s="357" t="s">
        <v>395</v>
      </c>
      <c r="B76" s="3459" t="s">
        <v>418</v>
      </c>
      <c r="C76" s="3501"/>
      <c r="D76" s="360">
        <f ca="1">IF(H76="转让取得",C99,C115)</f>
        <v>1830</v>
      </c>
      <c r="E76" s="17" t="s">
        <v>419</v>
      </c>
      <c r="F76" s="53" t="s">
        <v>21</v>
      </c>
      <c r="G76" s="359"/>
      <c r="H76" s="361" t="s">
        <v>3167</v>
      </c>
      <c r="I76" s="42"/>
      <c r="J76" s="1918"/>
      <c r="K76" s="3303" t="str">
        <f>IF(项目基本情况!K6="上海银行",IF(K75="",4,K75+1),"")</f>
        <v/>
      </c>
      <c r="L76" s="3455" t="str">
        <f>IF(项目基本情况!K6="上海银行","其他处置费用","")</f>
        <v/>
      </c>
      <c r="M76" s="3456"/>
      <c r="N76" s="1249" t="str">
        <f>IF(项目基本情况!K6="上海银行",N89,"")</f>
        <v/>
      </c>
      <c r="O76" s="3457" t="str">
        <f>IF(项目基本情况!K6="上海银行","包含处置中涉及的律师、诉讼、拍卖、评估等费用","")</f>
        <v/>
      </c>
      <c r="P76" s="3458"/>
      <c r="Q76" s="1911"/>
      <c r="R76" s="1911"/>
      <c r="S76" s="1911"/>
      <c r="T76" s="1911"/>
      <c r="U76" s="1911"/>
      <c r="V76" s="1911"/>
    </row>
    <row r="77" spans="1:22" ht="24.75" thickBot="1">
      <c r="A77" s="3470" t="s">
        <v>421</v>
      </c>
      <c r="B77" s="3471"/>
      <c r="C77" s="3471"/>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66">
        <f>IF(AND(K75="",K76=""),4,IF(项目基本情况!K6="上海银行",K76+1,K75+1))</f>
        <v>4</v>
      </c>
      <c r="L77" s="3444" t="s">
        <v>2858</v>
      </c>
      <c r="M77" s="2763" t="s">
        <v>417</v>
      </c>
      <c r="N77" s="1255"/>
      <c r="O77" s="1256">
        <f ca="1">SUMIF(N72:N76,"&lt;9e307")</f>
        <v>2953</v>
      </c>
      <c r="P77" s="1257"/>
      <c r="Q77" s="2761">
        <f ca="1">O77/N69</f>
        <v>0.13904322440907807</v>
      </c>
      <c r="R77" s="1911"/>
      <c r="S77" s="1911"/>
      <c r="T77" s="1911"/>
      <c r="U77" s="1911"/>
      <c r="V77" s="1911"/>
    </row>
    <row r="78" spans="1:22" ht="12" customHeight="1">
      <c r="A78" s="1258"/>
      <c r="B78" s="309"/>
      <c r="C78" s="309"/>
      <c r="D78" s="309"/>
      <c r="E78" s="42"/>
      <c r="F78" s="42"/>
      <c r="G78" s="42"/>
      <c r="H78" s="990"/>
      <c r="I78" s="309"/>
      <c r="J78" s="1918"/>
      <c r="K78" s="3466"/>
      <c r="L78" s="3444"/>
      <c r="M78" s="2763" t="s">
        <v>420</v>
      </c>
      <c r="N78" s="1255"/>
      <c r="O78" s="1256" t="str">
        <f ca="1">NUMBERSTRING(INT(O77*10000),2)&amp;"元整"</f>
        <v>贰仟玖佰伍拾叁万元整</v>
      </c>
      <c r="P78" s="1257"/>
      <c r="Q78" s="1911"/>
      <c r="R78" s="1911"/>
      <c r="S78" s="1911"/>
      <c r="T78" s="1911"/>
      <c r="U78" s="1911"/>
      <c r="V78" s="1911"/>
    </row>
    <row r="79" spans="1:22" ht="13.5" thickBot="1">
      <c r="A79" s="3521" t="s">
        <v>422</v>
      </c>
      <c r="B79" s="3521"/>
      <c r="C79" s="3521"/>
      <c r="D79" s="3521"/>
      <c r="E79" s="3521"/>
      <c r="F79" s="42"/>
      <c r="G79" s="42"/>
      <c r="H79" s="990"/>
      <c r="I79" s="309"/>
      <c r="J79" s="1918"/>
      <c r="K79" s="3442">
        <f>K77+1</f>
        <v>5</v>
      </c>
      <c r="L79" s="3444" t="s">
        <v>2859</v>
      </c>
      <c r="M79" s="2763" t="s">
        <v>417</v>
      </c>
      <c r="N79" s="1255"/>
      <c r="O79" s="1256">
        <f ca="1">N69-O77</f>
        <v>18285</v>
      </c>
      <c r="P79" s="1257"/>
      <c r="Q79" s="1911"/>
      <c r="R79" s="1911"/>
      <c r="S79" s="1911"/>
      <c r="T79" s="1911"/>
      <c r="U79" s="1911"/>
      <c r="V79" s="1911"/>
    </row>
    <row r="80" spans="1:22" ht="25.5">
      <c r="A80" s="3452" t="s">
        <v>423</v>
      </c>
      <c r="B80" s="3453"/>
      <c r="C80" s="3301"/>
      <c r="D80" s="3301" t="s">
        <v>424</v>
      </c>
      <c r="E80" s="364" t="s">
        <v>425</v>
      </c>
      <c r="F80" s="42"/>
      <c r="G80" s="42"/>
      <c r="H80" s="990"/>
      <c r="I80" s="309"/>
      <c r="J80" s="1911"/>
      <c r="K80" s="3443"/>
      <c r="L80" s="3444"/>
      <c r="M80" s="2763" t="s">
        <v>420</v>
      </c>
      <c r="N80" s="1255"/>
      <c r="O80" s="1256" t="str">
        <f ca="1">NUMBERSTRING(INT(O79*10000),2)&amp;"元整"</f>
        <v>壹亿捌仟贰佰捌拾伍万元整</v>
      </c>
      <c r="P80" s="1257"/>
      <c r="Q80" s="1911"/>
      <c r="R80" s="1911"/>
      <c r="S80" s="1911"/>
      <c r="T80" s="1911"/>
      <c r="U80" s="1911"/>
      <c r="V80" s="1911"/>
    </row>
    <row r="81" spans="1:26" ht="13.5" thickBot="1">
      <c r="A81" s="375" t="s">
        <v>1813</v>
      </c>
      <c r="B81" s="365" t="s">
        <v>426</v>
      </c>
      <c r="C81" s="366">
        <f ca="1">ROUND((C82+C83)/(1+'数据-取费表'!C42),0)</f>
        <v>20227</v>
      </c>
      <c r="D81" s="367"/>
      <c r="E81" s="368"/>
      <c r="F81" s="42"/>
      <c r="G81" s="42"/>
      <c r="H81" s="990"/>
      <c r="I81" s="309"/>
      <c r="J81" s="1911"/>
      <c r="K81" s="3303">
        <f>K79+1</f>
        <v>6</v>
      </c>
      <c r="L81" s="3464" t="s">
        <v>2860</v>
      </c>
      <c r="M81" s="3465"/>
      <c r="N81" s="1259"/>
      <c r="O81" s="1260">
        <f ca="1">ROUND(O79*10000/'数据-汇总表'!E3,0)</f>
        <v>1344</v>
      </c>
      <c r="P81" s="1261"/>
      <c r="Q81" s="1911"/>
      <c r="R81" s="1911"/>
      <c r="S81" s="1911"/>
      <c r="T81" s="1911"/>
      <c r="U81" s="1911"/>
      <c r="V81" s="1911"/>
    </row>
    <row r="82" spans="1:26" ht="13.5" thickTop="1">
      <c r="A82" s="369" t="s">
        <v>1814</v>
      </c>
      <c r="B82" s="370" t="s">
        <v>427</v>
      </c>
      <c r="C82" s="371">
        <f ca="1">D63</f>
        <v>21238</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4" t="s">
        <v>2848</v>
      </c>
      <c r="L83" s="3302" t="s">
        <v>2849</v>
      </c>
      <c r="M83" s="2759">
        <f ca="1">IF(N69&gt;10000,N69*0.5%,IF(AND(N69&gt;1000,N69&lt;=10000),N69*1%,IF(AND(N69&gt;100,N69&lt;=1000),N69*3%,IF(AND(N69&gt;10,N69&lt;=100),N69*5%,N69*8%))))</f>
        <v>106.19</v>
      </c>
      <c r="N83" s="53">
        <f ca="1">ROUND(M83,1)</f>
        <v>106.2</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4"/>
      <c r="L84" s="3302" t="s">
        <v>2850</v>
      </c>
      <c r="M84" s="2759">
        <f ca="1">IF(N69&gt;2000,N69*0.5%,IF(AND(N69&gt;1000,N69&lt;=2000),N69*0.6%,IF(AND(N69&gt;500,N69&lt;=1000),N69*0.7%,IF(AND(N69&gt;200,N69&lt;=500),N69*0.8%,IF(AND(N69&gt;100,N69&lt;=200),N69*0.9%,IF(AND(N69&gt;50,N69&lt;=100),N69*1%,IF(AND(N69&gt;20,N69&lt;=50),N69*1.5%,IF(AND(N69&gt;10,N69&lt;=20),N69*2%,IF(AND(N69&gt;1,N69&lt;=10),N69*2.5%)))))))))</f>
        <v>106.19</v>
      </c>
      <c r="N84" s="53">
        <f t="shared" ref="N84:N85" ca="1" si="2">ROUND(M84,1)</f>
        <v>106.2</v>
      </c>
      <c r="O84" s="1911" t="s">
        <v>2851</v>
      </c>
      <c r="P84" s="1911"/>
      <c r="Q84" s="1911"/>
      <c r="R84" s="1911"/>
      <c r="S84" s="1911"/>
      <c r="T84" s="1911"/>
      <c r="U84" s="1911"/>
      <c r="V84" s="1911"/>
    </row>
    <row r="85" spans="1:26" ht="12.75">
      <c r="A85" s="375" t="s">
        <v>1817</v>
      </c>
      <c r="B85" s="376" t="s">
        <v>430</v>
      </c>
      <c r="C85" s="379">
        <f ca="1">C81-C84</f>
        <v>20227</v>
      </c>
      <c r="D85" s="372" t="s">
        <v>19</v>
      </c>
      <c r="E85" s="373"/>
      <c r="F85" s="42"/>
      <c r="G85" s="42"/>
      <c r="H85" s="990"/>
      <c r="I85" s="309"/>
      <c r="J85" s="1911"/>
      <c r="K85" s="3454"/>
      <c r="L85" s="3302" t="s">
        <v>2852</v>
      </c>
      <c r="M85" s="2759">
        <f ca="1">IF(N69&gt;1000,N69*0.1%,IF(AND(N69&gt;500,N69&lt;=1000),N69*0.5%,IF(AND(N69&gt;50,N69&lt;=500),N69*1%,IF(AND(N69&gt;1,N69&lt;=50),N69*1.5%))))</f>
        <v>21.238</v>
      </c>
      <c r="N85" s="53">
        <f t="shared" ca="1" si="2"/>
        <v>21.2</v>
      </c>
      <c r="O85" s="1911" t="s">
        <v>2851</v>
      </c>
      <c r="P85" s="1911"/>
      <c r="Q85" s="1911"/>
      <c r="R85" s="1911"/>
      <c r="S85" s="1911"/>
      <c r="T85" s="1911"/>
      <c r="U85" s="1911"/>
      <c r="V85" s="1911"/>
    </row>
    <row r="86" spans="1:26" ht="13.5" thickBot="1">
      <c r="A86" s="380" t="s">
        <v>1818</v>
      </c>
      <c r="B86" s="381" t="s">
        <v>431</v>
      </c>
      <c r="C86" s="382">
        <f ca="1">IF(C85&lt;=0,0,ROUND(C85*D86,0))</f>
        <v>1112</v>
      </c>
      <c r="D86" s="383">
        <f>'数据-取费表'!B41</f>
        <v>5.5000000000000007E-2</v>
      </c>
      <c r="E86" s="384"/>
      <c r="F86" s="42"/>
      <c r="G86" s="42"/>
      <c r="H86" s="990"/>
      <c r="I86" s="309"/>
      <c r="J86" s="1911"/>
      <c r="K86" s="3454"/>
      <c r="L86" s="3302" t="s">
        <v>2853</v>
      </c>
      <c r="M86" s="2759">
        <f ca="1">N69*0.5%</f>
        <v>106.19</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4"/>
      <c r="L87" s="3302" t="s">
        <v>2855</v>
      </c>
      <c r="M87" s="2759">
        <f ca="1">IF(N69&gt;=10000,(8.25+(N69-10000)*0.01%),IF(AND(N69&gt;=8000,N69&lt;10000),(7.85+(N69-8000)*0.02%),IF(AND(N69&gt;=5000,N69&lt;8000),(6.65+(N69-5000)*0.04%),IF(AND(N69&gt;=2000,N69&lt;5000),(4.25+(PN69-2000)*0.08%),IF(AND(N69&gt;=1000,N69&lt;2000),(2.75+(N69-1000)*0.15%),IF(AND(N69&gt;=100,N69&lt;1000),(0.5+(N69-100)*0.25%),IF(AND(N69&gt;0,N69&lt;100),N69*0.5%)))))))</f>
        <v>9.3737999999999992</v>
      </c>
      <c r="N87" s="53">
        <f ca="1">ROUND(M87*0.9,1)</f>
        <v>8.4</v>
      </c>
      <c r="O87" s="2762"/>
      <c r="P87" s="1911"/>
      <c r="Q87" s="1911"/>
      <c r="R87" s="1911"/>
      <c r="S87" s="1911"/>
      <c r="T87" s="1911"/>
      <c r="U87" s="1911"/>
      <c r="V87" s="1911"/>
      <c r="W87" s="290"/>
      <c r="X87" s="290"/>
      <c r="Y87" s="290"/>
      <c r="Z87" s="290"/>
    </row>
    <row r="88" spans="1:26" s="1267" customFormat="1" ht="15" thickBot="1">
      <c r="A88" s="3493" t="s">
        <v>432</v>
      </c>
      <c r="B88" s="3494"/>
      <c r="C88" s="3494"/>
      <c r="D88" s="3494"/>
      <c r="E88" s="3494"/>
      <c r="F88" s="3494"/>
      <c r="G88" s="3494"/>
      <c r="H88" s="3494"/>
      <c r="I88" s="1268"/>
      <c r="J88" s="1919"/>
      <c r="K88" s="3454"/>
      <c r="L88" s="3302" t="s">
        <v>2856</v>
      </c>
      <c r="M88" s="2759">
        <f ca="1">IF(N69&gt;10000,N69*0.5%,IF(AND(N69&gt;5000,N69&lt;=10000),N69*1%,IF(AND(N69&gt;1000,N69&lt;=5000),N69*2%,IF(AND(N69&gt;200,N69&lt;=1000),N69*3%,N69*5%))))</f>
        <v>106.19</v>
      </c>
      <c r="N88" s="53">
        <f ca="1">ROUND(M88,1)</f>
        <v>106.2</v>
      </c>
      <c r="O88" s="2762"/>
      <c r="P88" s="1916"/>
      <c r="Q88" s="1916"/>
      <c r="R88" s="1916"/>
      <c r="S88" s="1916"/>
      <c r="T88" s="1916"/>
      <c r="U88" s="1916"/>
      <c r="V88" s="1916"/>
      <c r="W88" s="1920"/>
      <c r="X88" s="1920"/>
      <c r="Y88" s="1920"/>
      <c r="Z88" s="1920"/>
    </row>
    <row r="89" spans="1:26" s="1267" customFormat="1" ht="14.25">
      <c r="A89" s="3452" t="s">
        <v>423</v>
      </c>
      <c r="B89" s="3453"/>
      <c r="C89" s="3301"/>
      <c r="D89" s="3301" t="s">
        <v>424</v>
      </c>
      <c r="E89" s="385" t="s">
        <v>433</v>
      </c>
      <c r="F89" s="386"/>
      <c r="G89" s="386"/>
      <c r="H89" s="387"/>
      <c r="I89" s="1269"/>
      <c r="J89" s="1921"/>
      <c r="K89" s="3454"/>
      <c r="L89" s="3302" t="s">
        <v>27</v>
      </c>
      <c r="M89" s="2760"/>
      <c r="N89" s="53">
        <f ca="1">ROUND(SUM(N83:N88),0)</f>
        <v>349</v>
      </c>
      <c r="O89" s="2770">
        <f ca="1">N89/N69</f>
        <v>1.6432809115735945E-2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20227</v>
      </c>
      <c r="D90" s="372" t="s">
        <v>19</v>
      </c>
      <c r="E90" s="3306"/>
      <c r="F90" s="3307"/>
      <c r="G90" s="330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101</v>
      </c>
      <c r="D91" s="372" t="s">
        <v>19</v>
      </c>
      <c r="E91" s="3306"/>
      <c r="F91" s="3307"/>
      <c r="G91" s="330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306"/>
      <c r="F92" s="3307"/>
      <c r="G92" s="330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0" t="s">
        <v>441</v>
      </c>
      <c r="F94" s="3491"/>
      <c r="G94" s="3491"/>
      <c r="H94" s="3492"/>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308"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101</v>
      </c>
      <c r="D96" s="400">
        <f>'数据-取费表'!B43</f>
        <v>5.000000000000001E-3</v>
      </c>
      <c r="E96" s="3449" t="s">
        <v>2412</v>
      </c>
      <c r="F96" s="3450"/>
      <c r="G96" s="3450"/>
      <c r="H96" s="3451"/>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20126</v>
      </c>
      <c r="D97" s="372" t="s">
        <v>19</v>
      </c>
      <c r="E97" s="3306"/>
      <c r="F97" s="3307"/>
      <c r="G97" s="330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199.26732673267327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307"/>
      <c r="G98" s="330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12040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3" t="s">
        <v>448</v>
      </c>
      <c r="B101" s="3494"/>
      <c r="C101" s="3494"/>
      <c r="D101" s="3494"/>
      <c r="E101" s="3494"/>
      <c r="F101" s="3494"/>
      <c r="G101" s="3494"/>
      <c r="H101" s="3494"/>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2" t="s">
        <v>423</v>
      </c>
      <c r="B102" s="3453"/>
      <c r="C102" s="3301"/>
      <c r="D102" s="330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20227</v>
      </c>
      <c r="D103" s="372" t="s">
        <v>19</v>
      </c>
      <c r="E103" s="3306"/>
      <c r="F103" s="3307"/>
      <c r="G103" s="330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14127.84</v>
      </c>
      <c r="D104" s="409"/>
      <c r="E104" s="3306"/>
      <c r="F104" s="3307"/>
      <c r="G104" s="330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12751.84</v>
      </c>
      <c r="D105" s="400"/>
      <c r="E105" s="3305"/>
      <c r="F105" s="3299"/>
      <c r="G105" s="3299"/>
      <c r="H105" s="3300"/>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12255.84</v>
      </c>
      <c r="D106" s="400"/>
      <c r="E106" s="411" t="s">
        <v>451</v>
      </c>
      <c r="F106" s="3299"/>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496</v>
      </c>
      <c r="D107" s="400">
        <f>'数据-取费表'!B48+'数据-取费表'!B49</f>
        <v>4.0500000000000001E-2</v>
      </c>
      <c r="E107" s="411" t="s">
        <v>453</v>
      </c>
      <c r="F107" s="3299"/>
      <c r="G107" s="3299"/>
      <c r="H107" s="3300"/>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99"/>
      <c r="G108" s="3505" t="s">
        <v>2956</v>
      </c>
      <c r="H108" s="3506"/>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50"/>
      <c r="G109" s="3450"/>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1275</v>
      </c>
      <c r="D110" s="3275">
        <v>0.1</v>
      </c>
      <c r="E110" s="3483" t="s">
        <v>458</v>
      </c>
      <c r="F110" s="3450"/>
      <c r="G110" s="3450"/>
      <c r="H110" s="3451"/>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101</v>
      </c>
      <c r="D111" s="400">
        <f>'数据-取费表'!B43</f>
        <v>5.000000000000001E-3</v>
      </c>
      <c r="E111" s="3449" t="s">
        <v>2412</v>
      </c>
      <c r="F111" s="3450"/>
      <c r="G111" s="3450"/>
      <c r="H111" s="3451"/>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50"/>
      <c r="G112" s="3450"/>
      <c r="H112" s="3451"/>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6099</v>
      </c>
      <c r="D113" s="372" t="s">
        <v>19</v>
      </c>
      <c r="E113" s="3306"/>
      <c r="F113" s="3307"/>
      <c r="G113" s="330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0.43170081201372607</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3307"/>
      <c r="G114" s="330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1830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0" zoomScaleNormal="95" zoomScaleSheetLayoutView="80" workbookViewId="0">
      <selection activeCell="I50" sqref="I50"/>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8"/>
    </row>
    <row r="2" spans="1:30" s="1289" customFormat="1" ht="28.5" customHeight="1">
      <c r="A2" s="417" t="s">
        <v>461</v>
      </c>
      <c r="B2" s="502">
        <f>F68</f>
        <v>25812</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8"/>
    </row>
    <row r="3" spans="1:30" s="1289" customFormat="1" ht="28.5" customHeight="1">
      <c r="A3" s="1330" t="s">
        <v>1674</v>
      </c>
      <c r="B3" s="504">
        <f>ROUND(B2*10000/'数据-汇总表'!E3,0)</f>
        <v>1897</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89" customFormat="1" ht="28.5" customHeight="1">
      <c r="A4" s="505" t="s">
        <v>514</v>
      </c>
      <c r="B4" s="421">
        <f>IF(B48="单位面积地价",C50,ROUND(B2*10000/'数据-汇总表'!D3,0))</f>
        <v>4743</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316</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44" t="s">
        <v>516</v>
      </c>
      <c r="D6" s="3545"/>
      <c r="E6" s="3544" t="s">
        <v>517</v>
      </c>
      <c r="F6" s="3545"/>
      <c r="G6" s="3544" t="s">
        <v>518</v>
      </c>
      <c r="H6" s="3545"/>
      <c r="I6" s="3544" t="s">
        <v>519</v>
      </c>
      <c r="J6" s="3545"/>
      <c r="K6" s="508" t="s">
        <v>520</v>
      </c>
      <c r="L6" s="2015"/>
      <c r="M6" s="2014"/>
      <c r="N6" s="2014"/>
      <c r="O6" s="2016"/>
      <c r="P6" s="3546" t="s">
        <v>521</v>
      </c>
      <c r="Q6" s="3547"/>
      <c r="R6" s="3532" t="s">
        <v>517</v>
      </c>
      <c r="S6" s="3533"/>
      <c r="T6" s="3532" t="s">
        <v>518</v>
      </c>
      <c r="U6" s="3533"/>
      <c r="V6" s="3552" t="s">
        <v>519</v>
      </c>
      <c r="W6" s="3552"/>
      <c r="X6" s="1501"/>
      <c r="Y6" s="3532" t="s">
        <v>521</v>
      </c>
      <c r="Z6" s="3533"/>
      <c r="AA6" s="3527" t="s">
        <v>517</v>
      </c>
      <c r="AB6" s="3528" t="s">
        <v>518</v>
      </c>
      <c r="AC6" s="3527" t="s">
        <v>519</v>
      </c>
    </row>
    <row r="7" spans="1:30" ht="20.25">
      <c r="A7" s="509"/>
      <c r="B7" s="510"/>
      <c r="C7" s="3555" t="s">
        <v>2891</v>
      </c>
      <c r="D7" s="3556"/>
      <c r="E7" s="3555" t="str">
        <f>土地案例!A36</f>
        <v>锦江镇官厅村</v>
      </c>
      <c r="F7" s="3556"/>
      <c r="G7" s="3555" t="str">
        <f>土地案例!A45</f>
        <v>彭山区锦江乡</v>
      </c>
      <c r="H7" s="3556"/>
      <c r="I7" s="3555" t="str">
        <f>土地案例!A63</f>
        <v>彭山区锦江乡</v>
      </c>
      <c r="J7" s="3556"/>
      <c r="K7" s="508"/>
      <c r="L7" s="2015"/>
      <c r="M7" s="2014"/>
      <c r="N7" s="2014"/>
      <c r="O7" s="2016"/>
      <c r="P7" s="3548"/>
      <c r="Q7" s="3549"/>
      <c r="R7" s="3534"/>
      <c r="S7" s="3535"/>
      <c r="T7" s="3534"/>
      <c r="U7" s="3535"/>
      <c r="V7" s="3552"/>
      <c r="W7" s="3552"/>
      <c r="X7" s="1501"/>
      <c r="Y7" s="3534"/>
      <c r="Z7" s="3535"/>
      <c r="AA7" s="3528"/>
      <c r="AB7" s="3528"/>
      <c r="AC7" s="3528"/>
    </row>
    <row r="8" spans="1:30" ht="21" thickBot="1">
      <c r="A8" s="509"/>
      <c r="B8" s="510"/>
      <c r="C8" s="3557" t="s">
        <v>2895</v>
      </c>
      <c r="D8" s="3558"/>
      <c r="E8" s="3557" t="s">
        <v>2895</v>
      </c>
      <c r="F8" s="3558"/>
      <c r="G8" s="3553" t="s">
        <v>2895</v>
      </c>
      <c r="H8" s="3554"/>
      <c r="I8" s="3553" t="s">
        <v>2895</v>
      </c>
      <c r="J8" s="3554"/>
      <c r="K8" s="508" t="s">
        <v>522</v>
      </c>
      <c r="L8" s="2015"/>
      <c r="M8" s="2014"/>
      <c r="N8" s="2014"/>
      <c r="O8" s="2016"/>
      <c r="P8" s="3550"/>
      <c r="Q8" s="3551"/>
      <c r="R8" s="3534"/>
      <c r="S8" s="3535"/>
      <c r="T8" s="3536"/>
      <c r="U8" s="3537"/>
      <c r="V8" s="3552"/>
      <c r="W8" s="3552"/>
      <c r="X8" s="1501"/>
      <c r="Y8" s="3536"/>
      <c r="Z8" s="3537"/>
      <c r="AA8" s="3529"/>
      <c r="AB8" s="3529"/>
      <c r="AC8" s="3529"/>
    </row>
    <row r="9" spans="1:30" s="1202" customFormat="1" ht="21" thickBot="1">
      <c r="A9" s="2629"/>
      <c r="B9" s="2636" t="s">
        <v>523</v>
      </c>
      <c r="C9" s="2628">
        <f>'数据-取费表'!B2</f>
        <v>44258</v>
      </c>
      <c r="D9" s="514">
        <v>100</v>
      </c>
      <c r="E9" s="515" t="str">
        <f>土地案例!J36</f>
        <v>2020-04-30</v>
      </c>
      <c r="F9" s="516">
        <f>SUMIF(72:72,YEAR(E9)&amp;"-"&amp;INT((MONTH(E9)+2)/3),73:73)</f>
        <v>98.5</v>
      </c>
      <c r="G9" s="517" t="str">
        <f>土地案例!J45</f>
        <v>2019-11-07</v>
      </c>
      <c r="H9" s="514">
        <f>SUMIF(72:72,YEAR(G9)&amp;"-"&amp;INT((MONTH(G9)+2)/3),73:73)</f>
        <v>97.5</v>
      </c>
      <c r="I9" s="517" t="str">
        <f>土地案例!J63</f>
        <v>2019-01-14</v>
      </c>
      <c r="J9" s="514">
        <f>SUMIF(72:72,YEAR(I9)&amp;"-"&amp;INT((MONTH(I9)+2)/3),73:73)</f>
        <v>96</v>
      </c>
      <c r="K9" s="518"/>
      <c r="L9" s="2017"/>
      <c r="M9" s="2014"/>
      <c r="N9" s="2014"/>
      <c r="O9" s="2018"/>
      <c r="P9" s="3530" t="s">
        <v>524</v>
      </c>
      <c r="Q9" s="3539"/>
      <c r="R9" s="1502" t="s">
        <v>8</v>
      </c>
      <c r="S9" s="1503">
        <f t="shared" ref="S9:S17" si="0">F9</f>
        <v>98.5</v>
      </c>
      <c r="T9" s="1502" t="s">
        <v>8</v>
      </c>
      <c r="U9" s="1503">
        <f t="shared" ref="U9:U17" si="1">H9</f>
        <v>97.5</v>
      </c>
      <c r="V9" s="1502" t="s">
        <v>8</v>
      </c>
      <c r="W9" s="1503">
        <f t="shared" ref="W9:W17" si="2">J9</f>
        <v>96</v>
      </c>
      <c r="X9" s="1504"/>
      <c r="Y9" s="3530" t="s">
        <v>524</v>
      </c>
      <c r="Z9" s="3531"/>
      <c r="AA9" s="1505">
        <f>D9/F9</f>
        <v>1.015228426395939</v>
      </c>
      <c r="AB9" s="1505">
        <f>D9/H9</f>
        <v>1.0256410256410255</v>
      </c>
      <c r="AC9" s="1505">
        <f>D9/J9</f>
        <v>1.0416666666666667</v>
      </c>
    </row>
    <row r="10" spans="1:30" s="1202" customFormat="1" ht="21" thickBot="1">
      <c r="A10" s="2630"/>
      <c r="B10" s="2637" t="s">
        <v>525</v>
      </c>
      <c r="C10" s="845" t="s">
        <v>526</v>
      </c>
      <c r="D10" s="514">
        <v>100</v>
      </c>
      <c r="E10" s="3317" t="s">
        <v>3128</v>
      </c>
      <c r="F10" s="516">
        <f>SUMIF(75:75,E10,76:76)-SUMIF(75:75,C10,76:76)+100</f>
        <v>100</v>
      </c>
      <c r="G10" s="3317" t="s">
        <v>3128</v>
      </c>
      <c r="H10" s="514">
        <f>SUMIF(75:75,G10,76:76)-SUMIF(75:75,C10,76:76)+100</f>
        <v>100</v>
      </c>
      <c r="I10" s="3317" t="s">
        <v>3128</v>
      </c>
      <c r="J10" s="514">
        <f>SUMIF(75:75,I10,76:76)-SUMIF(75:75,C10,76:76)+100</f>
        <v>100</v>
      </c>
      <c r="K10" s="518"/>
      <c r="L10" s="2017"/>
      <c r="M10" s="2014"/>
      <c r="N10" s="2014"/>
      <c r="O10" s="2018"/>
      <c r="P10" s="3530" t="s">
        <v>527</v>
      </c>
      <c r="Q10" s="3531"/>
      <c r="R10" s="1502" t="s">
        <v>8</v>
      </c>
      <c r="S10" s="1503">
        <f t="shared" si="0"/>
        <v>100</v>
      </c>
      <c r="T10" s="1502" t="s">
        <v>8</v>
      </c>
      <c r="U10" s="1503">
        <f t="shared" si="1"/>
        <v>100</v>
      </c>
      <c r="V10" s="1502" t="s">
        <v>8</v>
      </c>
      <c r="W10" s="1503">
        <f t="shared" si="2"/>
        <v>100</v>
      </c>
      <c r="X10" s="1504"/>
      <c r="Y10" s="3530" t="s">
        <v>527</v>
      </c>
      <c r="Z10" s="3531"/>
      <c r="AA10" s="1505">
        <f t="shared" ref="AA10:AA47" si="3">D10/F10</f>
        <v>1</v>
      </c>
      <c r="AB10" s="1505">
        <f t="shared" ref="AB10:AB47" si="4">D10/H10</f>
        <v>1</v>
      </c>
      <c r="AC10" s="1505">
        <f t="shared" ref="AC10:AC47" si="5">D10/J10</f>
        <v>1</v>
      </c>
    </row>
    <row r="11" spans="1:30" s="1202" customFormat="1" ht="20.25">
      <c r="A11" s="2631"/>
      <c r="B11" s="2638" t="s">
        <v>2735</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38" t="s">
        <v>529</v>
      </c>
      <c r="Q11" s="1133" t="str">
        <f t="shared" ref="Q11:Q17" si="6">B11</f>
        <v>用途</v>
      </c>
      <c r="R11" s="1502" t="s">
        <v>8</v>
      </c>
      <c r="S11" s="1503">
        <f t="shared" si="0"/>
        <v>100</v>
      </c>
      <c r="T11" s="1502" t="s">
        <v>8</v>
      </c>
      <c r="U11" s="1503">
        <f t="shared" si="1"/>
        <v>100</v>
      </c>
      <c r="V11" s="1502" t="s">
        <v>8</v>
      </c>
      <c r="W11" s="1503">
        <f t="shared" si="2"/>
        <v>100</v>
      </c>
      <c r="X11" s="1504"/>
      <c r="Y11" s="3489" t="s">
        <v>530</v>
      </c>
      <c r="Z11" s="1132" t="str">
        <f t="shared" ref="Z11:Z17" si="7">Q11</f>
        <v>用途</v>
      </c>
      <c r="AA11" s="1505">
        <f t="shared" si="3"/>
        <v>1</v>
      </c>
      <c r="AB11" s="1505">
        <f t="shared" si="4"/>
        <v>1</v>
      </c>
      <c r="AC11" s="1505">
        <f t="shared" si="5"/>
        <v>1</v>
      </c>
    </row>
    <row r="12" spans="1:30" s="1291" customFormat="1" ht="27">
      <c r="A12" s="2632"/>
      <c r="B12" s="2637" t="s">
        <v>2736</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38"/>
      <c r="Q12" s="1133" t="str">
        <f t="shared" si="6"/>
        <v>土地使用年限（年）</v>
      </c>
      <c r="R12" s="1502" t="s">
        <v>8</v>
      </c>
      <c r="S12" s="1503">
        <f t="shared" si="0"/>
        <v>100</v>
      </c>
      <c r="T12" s="1502" t="s">
        <v>8</v>
      </c>
      <c r="U12" s="1503">
        <f t="shared" si="1"/>
        <v>100</v>
      </c>
      <c r="V12" s="1502" t="s">
        <v>8</v>
      </c>
      <c r="W12" s="1503">
        <f t="shared" si="2"/>
        <v>100</v>
      </c>
      <c r="X12" s="1504"/>
      <c r="Y12" s="3489"/>
      <c r="Z12" s="1132" t="str">
        <f t="shared" si="7"/>
        <v>土地使用年限（年）</v>
      </c>
      <c r="AA12" s="1505">
        <f t="shared" si="3"/>
        <v>1</v>
      </c>
      <c r="AB12" s="1505">
        <f t="shared" si="4"/>
        <v>1</v>
      </c>
      <c r="AC12" s="1505">
        <f t="shared" si="5"/>
        <v>1</v>
      </c>
    </row>
    <row r="13" spans="1:30" ht="20.25">
      <c r="A13" s="2633"/>
      <c r="B13" s="2637" t="s">
        <v>2737</v>
      </c>
      <c r="C13" s="528">
        <v>2.5</v>
      </c>
      <c r="D13" s="253">
        <v>100</v>
      </c>
      <c r="E13" s="527">
        <v>2</v>
      </c>
      <c r="F13" s="253">
        <f>LOOKUP(E13,82:82,83:83)-LOOKUP(C13,82:82,83:83)+100</f>
        <v>100</v>
      </c>
      <c r="G13" s="528">
        <v>2</v>
      </c>
      <c r="H13" s="253">
        <f>LOOKUP(G13,82:82,83:83)-LOOKUP(C13,82:82,83:83)+100</f>
        <v>100</v>
      </c>
      <c r="I13" s="527">
        <v>1.8</v>
      </c>
      <c r="J13" s="253">
        <f>LOOKUP(I13,82:82,83:83)-LOOKUP(C13,82:82,83:83)+100</f>
        <v>101</v>
      </c>
      <c r="K13" s="3348">
        <v>1</v>
      </c>
      <c r="L13" s="2022"/>
      <c r="M13" s="2014"/>
      <c r="N13" s="2014"/>
      <c r="O13" s="2023"/>
      <c r="P13" s="3538"/>
      <c r="Q13" s="1133" t="str">
        <f t="shared" si="6"/>
        <v>容积率</v>
      </c>
      <c r="R13" s="1502" t="s">
        <v>8</v>
      </c>
      <c r="S13" s="1503">
        <f t="shared" si="0"/>
        <v>100</v>
      </c>
      <c r="T13" s="1502" t="s">
        <v>8</v>
      </c>
      <c r="U13" s="1503">
        <f t="shared" si="1"/>
        <v>100</v>
      </c>
      <c r="V13" s="1502" t="s">
        <v>8</v>
      </c>
      <c r="W13" s="1503">
        <f t="shared" si="2"/>
        <v>101</v>
      </c>
      <c r="X13" s="1504"/>
      <c r="Y13" s="3489"/>
      <c r="Z13" s="1132" t="str">
        <f t="shared" si="7"/>
        <v>容积率</v>
      </c>
      <c r="AA13" s="1505">
        <f t="shared" si="3"/>
        <v>1</v>
      </c>
      <c r="AB13" s="1505">
        <f t="shared" si="4"/>
        <v>1</v>
      </c>
      <c r="AC13" s="1505">
        <f t="shared" si="5"/>
        <v>0.99009900990099009</v>
      </c>
    </row>
    <row r="14" spans="1:30" s="1202" customFormat="1" ht="20.25">
      <c r="A14" s="2630"/>
      <c r="B14" s="2639" t="s">
        <v>2738</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38"/>
      <c r="Q14" s="1133" t="str">
        <f t="shared" si="6"/>
        <v>配建</v>
      </c>
      <c r="R14" s="1502" t="s">
        <v>8</v>
      </c>
      <c r="S14" s="1503">
        <f t="shared" si="0"/>
        <v>100</v>
      </c>
      <c r="T14" s="1502" t="s">
        <v>8</v>
      </c>
      <c r="U14" s="1503">
        <f t="shared" si="1"/>
        <v>100</v>
      </c>
      <c r="V14" s="1502" t="s">
        <v>8</v>
      </c>
      <c r="W14" s="1503">
        <f t="shared" si="2"/>
        <v>100</v>
      </c>
      <c r="X14" s="1504"/>
      <c r="Y14" s="3489"/>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38"/>
      <c r="Q15" s="1133">
        <f t="shared" si="6"/>
        <v>111</v>
      </c>
      <c r="R15" s="1502" t="s">
        <v>8</v>
      </c>
      <c r="S15" s="1503">
        <f t="shared" si="0"/>
        <v>100</v>
      </c>
      <c r="T15" s="1502" t="s">
        <v>8</v>
      </c>
      <c r="U15" s="1503">
        <f t="shared" si="1"/>
        <v>100</v>
      </c>
      <c r="V15" s="1502" t="s">
        <v>8</v>
      </c>
      <c r="W15" s="1503">
        <f t="shared" si="2"/>
        <v>100</v>
      </c>
      <c r="X15" s="1504"/>
      <c r="Y15" s="3489"/>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38"/>
      <c r="Q16" s="1133">
        <f t="shared" si="6"/>
        <v>111</v>
      </c>
      <c r="R16" s="1502" t="s">
        <v>8</v>
      </c>
      <c r="S16" s="1503">
        <f t="shared" si="0"/>
        <v>100</v>
      </c>
      <c r="T16" s="1502" t="s">
        <v>8</v>
      </c>
      <c r="U16" s="1503">
        <f t="shared" si="1"/>
        <v>100</v>
      </c>
      <c r="V16" s="1502" t="s">
        <v>8</v>
      </c>
      <c r="W16" s="1503">
        <f t="shared" si="2"/>
        <v>100</v>
      </c>
      <c r="X16" s="1504"/>
      <c r="Y16" s="3489"/>
      <c r="Z16" s="1132">
        <f t="shared" si="7"/>
        <v>111</v>
      </c>
      <c r="AA16" s="1505">
        <f>D16/F16</f>
        <v>1</v>
      </c>
      <c r="AB16" s="1505">
        <f>D16/H16</f>
        <v>1</v>
      </c>
      <c r="AC16" s="1505">
        <f>D16/J16</f>
        <v>1</v>
      </c>
    </row>
    <row r="17" spans="1:29" ht="99.75">
      <c r="A17" s="2627"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0" t="s">
        <v>534</v>
      </c>
      <c r="Q17" s="1506" t="str">
        <f t="shared" si="6"/>
        <v>居住社区成熟度</v>
      </c>
      <c r="R17" s="1507" t="s">
        <v>8</v>
      </c>
      <c r="S17" s="1508">
        <f t="shared" si="0"/>
        <v>100</v>
      </c>
      <c r="T17" s="1507" t="s">
        <v>8</v>
      </c>
      <c r="U17" s="1508">
        <f t="shared" si="1"/>
        <v>100</v>
      </c>
      <c r="V17" s="1507" t="s">
        <v>8</v>
      </c>
      <c r="W17" s="1508">
        <f t="shared" si="2"/>
        <v>100</v>
      </c>
      <c r="X17" s="1501"/>
      <c r="Y17" s="3540" t="s">
        <v>534</v>
      </c>
      <c r="Z17" s="1509" t="str">
        <f t="shared" si="7"/>
        <v>居住社区成熟度</v>
      </c>
      <c r="AA17" s="1510">
        <f t="shared" si="3"/>
        <v>1</v>
      </c>
      <c r="AB17" s="1510">
        <f t="shared" si="4"/>
        <v>1</v>
      </c>
      <c r="AC17" s="1510">
        <f t="shared" si="5"/>
        <v>1</v>
      </c>
    </row>
    <row r="18" spans="1:29" ht="20.25">
      <c r="A18" s="526"/>
      <c r="B18" s="547"/>
      <c r="C18" s="3318" t="s">
        <v>3129</v>
      </c>
      <c r="D18" s="551"/>
      <c r="E18" s="3319" t="s">
        <v>3129</v>
      </c>
      <c r="F18" s="549"/>
      <c r="G18" s="3320" t="s">
        <v>3130</v>
      </c>
      <c r="H18" s="553"/>
      <c r="I18" s="3319" t="s">
        <v>3130</v>
      </c>
      <c r="J18" s="549"/>
      <c r="K18" s="525"/>
      <c r="L18" s="2024"/>
      <c r="M18" s="2014"/>
      <c r="N18" s="2014"/>
      <c r="O18" s="2023"/>
      <c r="P18" s="3541"/>
      <c r="Q18" s="1506"/>
      <c r="R18" s="1507"/>
      <c r="S18" s="1508"/>
      <c r="T18" s="1507"/>
      <c r="U18" s="1508"/>
      <c r="V18" s="1507"/>
      <c r="W18" s="1508"/>
      <c r="X18" s="1501"/>
      <c r="Y18" s="3541"/>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1"/>
      <c r="Q19" s="1506" t="str">
        <f>B19</f>
        <v>商业繁华度</v>
      </c>
      <c r="R19" s="1507" t="s">
        <v>8</v>
      </c>
      <c r="S19" s="1508">
        <f>F19</f>
        <v>100</v>
      </c>
      <c r="T19" s="1507" t="s">
        <v>8</v>
      </c>
      <c r="U19" s="1508">
        <f>H19</f>
        <v>100</v>
      </c>
      <c r="V19" s="1507" t="s">
        <v>8</v>
      </c>
      <c r="W19" s="1508">
        <f>J19</f>
        <v>100</v>
      </c>
      <c r="X19" s="1501"/>
      <c r="Y19" s="3541"/>
      <c r="Z19" s="1509" t="str">
        <f>Q19</f>
        <v>商业繁华度</v>
      </c>
      <c r="AA19" s="1510">
        <f t="shared" si="3"/>
        <v>1</v>
      </c>
      <c r="AB19" s="1510">
        <f t="shared" si="4"/>
        <v>1</v>
      </c>
      <c r="AC19" s="1510">
        <f t="shared" si="5"/>
        <v>1</v>
      </c>
    </row>
    <row r="20" spans="1:29" ht="20.25">
      <c r="A20" s="526"/>
      <c r="B20" s="560"/>
      <c r="C20" s="3321"/>
      <c r="D20" s="557"/>
      <c r="E20" s="3322"/>
      <c r="F20" s="553"/>
      <c r="G20" s="3323"/>
      <c r="H20" s="549"/>
      <c r="I20" s="3322"/>
      <c r="J20" s="549"/>
      <c r="K20" s="525"/>
      <c r="L20" s="2024"/>
      <c r="M20" s="2014"/>
      <c r="N20" s="2014"/>
      <c r="O20" s="2023"/>
      <c r="P20" s="3541"/>
      <c r="Q20" s="1506"/>
      <c r="R20" s="1507"/>
      <c r="S20" s="1508"/>
      <c r="T20" s="1507"/>
      <c r="U20" s="1508"/>
      <c r="V20" s="1507"/>
      <c r="W20" s="1508"/>
      <c r="X20" s="1501"/>
      <c r="Y20" s="3541"/>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1"/>
      <c r="Q21" s="1506" t="str">
        <f>B21</f>
        <v>办公集聚程度</v>
      </c>
      <c r="R21" s="1507" t="s">
        <v>8</v>
      </c>
      <c r="S21" s="1508">
        <f>F21</f>
        <v>100</v>
      </c>
      <c r="T21" s="1507" t="s">
        <v>8</v>
      </c>
      <c r="U21" s="1508">
        <f>H21</f>
        <v>100</v>
      </c>
      <c r="V21" s="1507" t="s">
        <v>8</v>
      </c>
      <c r="W21" s="1508">
        <f>J21</f>
        <v>100</v>
      </c>
      <c r="X21" s="1501"/>
      <c r="Y21" s="3541"/>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41"/>
      <c r="Q22" s="1506"/>
      <c r="R22" s="1507"/>
      <c r="S22" s="1508"/>
      <c r="T22" s="1507"/>
      <c r="U22" s="1508"/>
      <c r="V22" s="1507"/>
      <c r="W22" s="1508"/>
      <c r="X22" s="1501"/>
      <c r="Y22" s="3541"/>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1"/>
      <c r="Q23" s="1506" t="str">
        <f>B23</f>
        <v>交通便捷度</v>
      </c>
      <c r="R23" s="1507" t="s">
        <v>8</v>
      </c>
      <c r="S23" s="1508">
        <f>F23</f>
        <v>100</v>
      </c>
      <c r="T23" s="1507" t="s">
        <v>8</v>
      </c>
      <c r="U23" s="1508">
        <f>H23</f>
        <v>100</v>
      </c>
      <c r="V23" s="1507" t="s">
        <v>8</v>
      </c>
      <c r="W23" s="1508">
        <f>J23</f>
        <v>100</v>
      </c>
      <c r="X23" s="1501"/>
      <c r="Y23" s="3541"/>
      <c r="Z23" s="1509" t="str">
        <f>Q23</f>
        <v>交通便捷度</v>
      </c>
      <c r="AA23" s="1510">
        <f t="shared" si="3"/>
        <v>1</v>
      </c>
      <c r="AB23" s="1510">
        <f t="shared" si="4"/>
        <v>1</v>
      </c>
      <c r="AC23" s="1510">
        <f t="shared" si="5"/>
        <v>1</v>
      </c>
    </row>
    <row r="24" spans="1:29" ht="20.25">
      <c r="A24" s="526"/>
      <c r="B24" s="572"/>
      <c r="C24" s="3318" t="s">
        <v>3130</v>
      </c>
      <c r="D24" s="551"/>
      <c r="E24" s="3319" t="s">
        <v>3130</v>
      </c>
      <c r="F24" s="549"/>
      <c r="G24" s="3320" t="s">
        <v>3130</v>
      </c>
      <c r="H24" s="549"/>
      <c r="I24" s="3319" t="s">
        <v>3130</v>
      </c>
      <c r="J24" s="549"/>
      <c r="K24" s="525"/>
      <c r="L24" s="2024"/>
      <c r="M24" s="2014"/>
      <c r="N24" s="2014"/>
      <c r="O24" s="2023"/>
      <c r="P24" s="3541"/>
      <c r="Q24" s="1506"/>
      <c r="R24" s="1507"/>
      <c r="S24" s="1508"/>
      <c r="T24" s="1507"/>
      <c r="U24" s="1508"/>
      <c r="V24" s="1507"/>
      <c r="W24" s="1508"/>
      <c r="X24" s="1501"/>
      <c r="Y24" s="3541"/>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1"/>
      <c r="Q25" s="1506" t="str">
        <f t="shared" ref="Q25:Q39" si="8">B25</f>
        <v>区域土地利用方向</v>
      </c>
      <c r="R25" s="1507" t="s">
        <v>8</v>
      </c>
      <c r="S25" s="1508">
        <f>F25</f>
        <v>100</v>
      </c>
      <c r="T25" s="1507" t="s">
        <v>8</v>
      </c>
      <c r="U25" s="1508">
        <f>H25</f>
        <v>100</v>
      </c>
      <c r="V25" s="1507" t="s">
        <v>8</v>
      </c>
      <c r="W25" s="1508">
        <f>J25</f>
        <v>100</v>
      </c>
      <c r="X25" s="1501"/>
      <c r="Y25" s="3541"/>
      <c r="Z25" s="1509" t="str">
        <f>Q25</f>
        <v>区域土地利用方向</v>
      </c>
      <c r="AA25" s="1510">
        <f t="shared" si="3"/>
        <v>1</v>
      </c>
      <c r="AB25" s="1510">
        <f t="shared" si="4"/>
        <v>1</v>
      </c>
      <c r="AC25" s="1510">
        <f t="shared" si="5"/>
        <v>1</v>
      </c>
    </row>
    <row r="26" spans="1:29" ht="20.25">
      <c r="A26" s="509"/>
      <c r="B26" s="993"/>
      <c r="C26" s="3318" t="s">
        <v>3131</v>
      </c>
      <c r="D26" s="551"/>
      <c r="E26" s="3319" t="s">
        <v>3131</v>
      </c>
      <c r="F26" s="549"/>
      <c r="G26" s="3320" t="s">
        <v>3131</v>
      </c>
      <c r="H26" s="549"/>
      <c r="I26" s="3319" t="s">
        <v>3131</v>
      </c>
      <c r="J26" s="549"/>
      <c r="K26" s="525"/>
      <c r="L26" s="2024"/>
      <c r="M26" s="2014"/>
      <c r="N26" s="2014"/>
      <c r="O26" s="2023"/>
      <c r="P26" s="3541"/>
      <c r="Q26" s="1506"/>
      <c r="R26" s="1507"/>
      <c r="S26" s="1508"/>
      <c r="T26" s="1507"/>
      <c r="U26" s="1508"/>
      <c r="V26" s="1507"/>
      <c r="W26" s="1508"/>
      <c r="X26" s="1501"/>
      <c r="Y26" s="3541"/>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1"/>
      <c r="Q27" s="1506" t="str">
        <f t="shared" si="8"/>
        <v>自然及人文环境状况</v>
      </c>
      <c r="R27" s="1507" t="s">
        <v>8</v>
      </c>
      <c r="S27" s="1508">
        <f>F27</f>
        <v>100</v>
      </c>
      <c r="T27" s="1507" t="s">
        <v>8</v>
      </c>
      <c r="U27" s="1508">
        <f>H27</f>
        <v>100</v>
      </c>
      <c r="V27" s="1507" t="s">
        <v>8</v>
      </c>
      <c r="W27" s="1508">
        <f>J27</f>
        <v>100</v>
      </c>
      <c r="X27" s="1501"/>
      <c r="Y27" s="3541"/>
      <c r="Z27" s="1509" t="str">
        <f>Q27</f>
        <v>自然及人文环境状况</v>
      </c>
      <c r="AA27" s="1510">
        <f t="shared" si="3"/>
        <v>1</v>
      </c>
      <c r="AB27" s="1510">
        <f t="shared" si="4"/>
        <v>1</v>
      </c>
      <c r="AC27" s="1510">
        <f t="shared" si="5"/>
        <v>1</v>
      </c>
    </row>
    <row r="28" spans="1:29" ht="20.25">
      <c r="A28" s="509"/>
      <c r="B28" s="560"/>
      <c r="C28" s="3318" t="s">
        <v>3131</v>
      </c>
      <c r="D28" s="551"/>
      <c r="E28" s="3324" t="s">
        <v>3131</v>
      </c>
      <c r="F28" s="549"/>
      <c r="G28" s="3318" t="s">
        <v>3131</v>
      </c>
      <c r="H28" s="549"/>
      <c r="I28" s="3324" t="s">
        <v>3131</v>
      </c>
      <c r="J28" s="549"/>
      <c r="K28" s="525"/>
      <c r="L28" s="2024"/>
      <c r="M28" s="2014"/>
      <c r="N28" s="2014"/>
      <c r="O28" s="2023"/>
      <c r="P28" s="3541"/>
      <c r="Q28" s="1506"/>
      <c r="R28" s="1507"/>
      <c r="S28" s="1508"/>
      <c r="T28" s="1507"/>
      <c r="U28" s="1508"/>
      <c r="V28" s="1507"/>
      <c r="W28" s="1508"/>
      <c r="X28" s="1501"/>
      <c r="Y28" s="3541"/>
      <c r="Z28" s="1509"/>
      <c r="AA28" s="1510">
        <v>1</v>
      </c>
      <c r="AB28" s="1510">
        <v>1</v>
      </c>
      <c r="AC28" s="1510">
        <v>1</v>
      </c>
    </row>
    <row r="29" spans="1:29" s="1202" customFormat="1" ht="42.75">
      <c r="A29" s="571"/>
      <c r="B29" s="2435" t="s">
        <v>2528</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1"/>
      <c r="Q29" s="1133" t="str">
        <f t="shared" si="8"/>
        <v>公共配套设施</v>
      </c>
      <c r="R29" s="1502" t="s">
        <v>8</v>
      </c>
      <c r="S29" s="1503">
        <f>F29</f>
        <v>100</v>
      </c>
      <c r="T29" s="1502" t="s">
        <v>8</v>
      </c>
      <c r="U29" s="1503">
        <f>H29</f>
        <v>100</v>
      </c>
      <c r="V29" s="1502" t="s">
        <v>8</v>
      </c>
      <c r="W29" s="1503">
        <f>J29</f>
        <v>100</v>
      </c>
      <c r="X29" s="1504"/>
      <c r="Y29" s="3541"/>
      <c r="Z29" s="1132" t="str">
        <f>Q29</f>
        <v>公共配套设施</v>
      </c>
      <c r="AA29" s="1510">
        <f>D29/F29</f>
        <v>1</v>
      </c>
      <c r="AB29" s="1510">
        <f>D29/H29</f>
        <v>1</v>
      </c>
      <c r="AC29" s="1510">
        <f>D29/J29</f>
        <v>1</v>
      </c>
    </row>
    <row r="30" spans="1:29" s="1202" customFormat="1" ht="20.25">
      <c r="A30" s="571"/>
      <c r="B30" s="560"/>
      <c r="C30" s="3325" t="s">
        <v>3132</v>
      </c>
      <c r="D30" s="551"/>
      <c r="E30" s="3324" t="s">
        <v>3130</v>
      </c>
      <c r="F30" s="549"/>
      <c r="G30" s="3318" t="s">
        <v>3130</v>
      </c>
      <c r="H30" s="549"/>
      <c r="I30" s="3324" t="s">
        <v>3130</v>
      </c>
      <c r="J30" s="549"/>
      <c r="K30" s="525"/>
      <c r="L30" s="2017"/>
      <c r="M30" s="2014"/>
      <c r="N30" s="2014"/>
      <c r="O30" s="2019"/>
      <c r="P30" s="3541"/>
      <c r="Q30" s="1133"/>
      <c r="R30" s="1502"/>
      <c r="S30" s="1503"/>
      <c r="T30" s="1502"/>
      <c r="U30" s="1503"/>
      <c r="V30" s="1502"/>
      <c r="W30" s="1503"/>
      <c r="X30" s="1504"/>
      <c r="Y30" s="3541"/>
      <c r="Z30" s="1132"/>
      <c r="AA30" s="1510">
        <v>1</v>
      </c>
      <c r="AB30" s="1510">
        <v>1</v>
      </c>
      <c r="AC30" s="1510">
        <v>1</v>
      </c>
    </row>
    <row r="31" spans="1:29" s="1202" customFormat="1" ht="28.5">
      <c r="A31" s="571"/>
      <c r="B31" s="2435"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1"/>
      <c r="Q31" s="2428" t="str">
        <f t="shared" ref="Q31" si="9">B31</f>
        <v>基础设施水平</v>
      </c>
      <c r="R31" s="1502" t="s">
        <v>8</v>
      </c>
      <c r="S31" s="1503">
        <f>F31</f>
        <v>100</v>
      </c>
      <c r="T31" s="1502" t="s">
        <v>8</v>
      </c>
      <c r="U31" s="1503">
        <f>H31</f>
        <v>100</v>
      </c>
      <c r="V31" s="1502" t="s">
        <v>8</v>
      </c>
      <c r="W31" s="1503">
        <f>J31</f>
        <v>100</v>
      </c>
      <c r="X31" s="1504"/>
      <c r="Y31" s="3541"/>
      <c r="Z31" s="2427" t="str">
        <f>Q31</f>
        <v>基础设施水平</v>
      </c>
      <c r="AA31" s="1510">
        <f>D31/F31</f>
        <v>1</v>
      </c>
      <c r="AB31" s="1510">
        <f>D31/H31</f>
        <v>1</v>
      </c>
      <c r="AC31" s="1510">
        <f>D31/J31</f>
        <v>1</v>
      </c>
    </row>
    <row r="32" spans="1:29" s="1202" customFormat="1" ht="20.25">
      <c r="A32" s="571"/>
      <c r="B32" s="560"/>
      <c r="C32" s="3325" t="s">
        <v>3133</v>
      </c>
      <c r="D32" s="551"/>
      <c r="E32" s="3326" t="s">
        <v>3133</v>
      </c>
      <c r="F32" s="549"/>
      <c r="G32" s="3325" t="s">
        <v>3133</v>
      </c>
      <c r="H32" s="549"/>
      <c r="I32" s="3325" t="s">
        <v>3133</v>
      </c>
      <c r="J32" s="549"/>
      <c r="K32" s="525"/>
      <c r="L32" s="2017"/>
      <c r="M32" s="2014"/>
      <c r="N32" s="2014"/>
      <c r="O32" s="2019"/>
      <c r="P32" s="3541"/>
      <c r="Q32" s="2428"/>
      <c r="R32" s="1502"/>
      <c r="S32" s="1503"/>
      <c r="T32" s="1502"/>
      <c r="U32" s="1503"/>
      <c r="V32" s="1502"/>
      <c r="W32" s="1503"/>
      <c r="X32" s="1504"/>
      <c r="Y32" s="3541"/>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1"/>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41"/>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1"/>
      <c r="Q34" s="1506" t="str">
        <f t="shared" si="8"/>
        <v>毗邻道路的类型与等级</v>
      </c>
      <c r="R34" s="1507" t="s">
        <v>8</v>
      </c>
      <c r="S34" s="1508">
        <f t="shared" si="10"/>
        <v>100</v>
      </c>
      <c r="T34" s="1507" t="s">
        <v>8</v>
      </c>
      <c r="U34" s="1508">
        <f t="shared" si="11"/>
        <v>100</v>
      </c>
      <c r="V34" s="1507" t="s">
        <v>8</v>
      </c>
      <c r="W34" s="1508">
        <f t="shared" si="12"/>
        <v>100</v>
      </c>
      <c r="X34" s="1501"/>
      <c r="Y34" s="3541"/>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41"/>
      <c r="Q35" s="1506"/>
      <c r="R35" s="1507"/>
      <c r="S35" s="1508"/>
      <c r="T35" s="1507"/>
      <c r="U35" s="1508"/>
      <c r="V35" s="1507"/>
      <c r="W35" s="1508"/>
      <c r="X35" s="1501"/>
      <c r="Y35" s="3541"/>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1"/>
      <c r="Q36" s="1506" t="str">
        <f t="shared" si="8"/>
        <v>土地级别</v>
      </c>
      <c r="R36" s="1507" t="s">
        <v>8</v>
      </c>
      <c r="S36" s="1508">
        <f t="shared" si="10"/>
        <v>100</v>
      </c>
      <c r="T36" s="1507" t="s">
        <v>8</v>
      </c>
      <c r="U36" s="1508">
        <f t="shared" si="11"/>
        <v>100</v>
      </c>
      <c r="V36" s="1507" t="s">
        <v>8</v>
      </c>
      <c r="W36" s="1508">
        <f t="shared" si="12"/>
        <v>100</v>
      </c>
      <c r="X36" s="1501"/>
      <c r="Y36" s="3541"/>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1"/>
      <c r="Q37" s="1506">
        <f t="shared" si="8"/>
        <v>111</v>
      </c>
      <c r="R37" s="1507" t="s">
        <v>8</v>
      </c>
      <c r="S37" s="1508">
        <f t="shared" si="10"/>
        <v>100</v>
      </c>
      <c r="T37" s="1507" t="s">
        <v>8</v>
      </c>
      <c r="U37" s="1508">
        <f t="shared" si="11"/>
        <v>100</v>
      </c>
      <c r="V37" s="1507" t="s">
        <v>8</v>
      </c>
      <c r="W37" s="1508">
        <f t="shared" si="12"/>
        <v>100</v>
      </c>
      <c r="X37" s="1501"/>
      <c r="Y37" s="3541"/>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2" t="s">
        <v>544</v>
      </c>
      <c r="Q38" s="1506">
        <f t="shared" si="8"/>
        <v>111</v>
      </c>
      <c r="R38" s="1507" t="s">
        <v>8</v>
      </c>
      <c r="S38" s="1508">
        <f t="shared" si="10"/>
        <v>100</v>
      </c>
      <c r="T38" s="1507" t="s">
        <v>8</v>
      </c>
      <c r="U38" s="1508">
        <f t="shared" si="11"/>
        <v>100</v>
      </c>
      <c r="V38" s="1507" t="s">
        <v>8</v>
      </c>
      <c r="W38" s="1508">
        <f t="shared" si="12"/>
        <v>100</v>
      </c>
      <c r="X38" s="1501"/>
      <c r="Y38" s="3543"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3"/>
      <c r="Q39" s="1506">
        <f t="shared" si="8"/>
        <v>111</v>
      </c>
      <c r="R39" s="1511" t="s">
        <v>8</v>
      </c>
      <c r="S39" s="1512">
        <f t="shared" si="10"/>
        <v>100</v>
      </c>
      <c r="T39" s="1511" t="s">
        <v>8</v>
      </c>
      <c r="U39" s="1512">
        <f t="shared" si="11"/>
        <v>100</v>
      </c>
      <c r="V39" s="1511" t="s">
        <v>8</v>
      </c>
      <c r="W39" s="1512">
        <f t="shared" si="12"/>
        <v>100</v>
      </c>
      <c r="X39" s="1513"/>
      <c r="Y39" s="3543"/>
      <c r="Z39" s="1514">
        <f t="shared" si="13"/>
        <v>111</v>
      </c>
      <c r="AA39" s="1510">
        <f t="shared" si="3"/>
        <v>1</v>
      </c>
      <c r="AB39" s="1510">
        <f t="shared" si="4"/>
        <v>1</v>
      </c>
      <c r="AC39" s="1510">
        <f t="shared" si="5"/>
        <v>1</v>
      </c>
    </row>
    <row r="40" spans="1:29" ht="20.25">
      <c r="A40" s="2624" t="s">
        <v>2734</v>
      </c>
      <c r="B40" s="589" t="s">
        <v>546</v>
      </c>
      <c r="C40" s="590">
        <f>'数据-基础表'!A3</f>
        <v>54426.77</v>
      </c>
      <c r="D40" s="591">
        <v>100</v>
      </c>
      <c r="E40" s="590">
        <f>土地案例!D36</f>
        <v>34518.15</v>
      </c>
      <c r="F40" s="591">
        <f>LOOKUP(E40,119:119,120:120)-LOOKUP(C40,119:119,120:120)+100</f>
        <v>98</v>
      </c>
      <c r="G40" s="590">
        <f>土地案例!D45</f>
        <v>9959.77</v>
      </c>
      <c r="H40" s="591">
        <f>LOOKUP(G40,119:119,120:120)-LOOKUP(C40,119:119,120:120)+100</f>
        <v>95</v>
      </c>
      <c r="I40" s="592">
        <f>土地案例!D63</f>
        <v>64219.97</v>
      </c>
      <c r="J40" s="591">
        <f>LOOKUP(I40,119:119,120:120)-LOOKUP(C40,119:119,120:120)+100</f>
        <v>101</v>
      </c>
      <c r="K40" s="575"/>
      <c r="L40" s="2024"/>
      <c r="M40" s="2014"/>
      <c r="N40" s="2014"/>
      <c r="O40" s="2023"/>
      <c r="P40" s="3543"/>
      <c r="Q40" s="1506" t="str">
        <f>B40</f>
        <v>宗地面积</v>
      </c>
      <c r="R40" s="1507" t="s">
        <v>8</v>
      </c>
      <c r="S40" s="1508">
        <f t="shared" si="10"/>
        <v>98</v>
      </c>
      <c r="T40" s="1507" t="s">
        <v>8</v>
      </c>
      <c r="U40" s="1508">
        <f t="shared" si="11"/>
        <v>95</v>
      </c>
      <c r="V40" s="1507" t="s">
        <v>8</v>
      </c>
      <c r="W40" s="1508">
        <f t="shared" si="12"/>
        <v>101</v>
      </c>
      <c r="X40" s="1501"/>
      <c r="Y40" s="3543"/>
      <c r="Z40" s="1509" t="str">
        <f t="shared" si="13"/>
        <v>宗地面积</v>
      </c>
      <c r="AA40" s="1510">
        <f t="shared" si="3"/>
        <v>1.0204081632653061</v>
      </c>
      <c r="AB40" s="1510">
        <f t="shared" si="4"/>
        <v>1.0526315789473684</v>
      </c>
      <c r="AC40" s="1510">
        <f t="shared" si="5"/>
        <v>0.99009900990099009</v>
      </c>
    </row>
    <row r="41" spans="1:29" ht="20.25">
      <c r="A41" s="588"/>
      <c r="B41" s="521" t="s">
        <v>547</v>
      </c>
      <c r="C41" s="3327" t="s">
        <v>3134</v>
      </c>
      <c r="D41" s="534">
        <v>100</v>
      </c>
      <c r="E41" s="3327" t="s">
        <v>3134</v>
      </c>
      <c r="F41" s="534">
        <f>SUMIF(121:121,E41,122:122)-SUMIF(121:121,C41,122:122)+100</f>
        <v>100</v>
      </c>
      <c r="G41" s="3327" t="s">
        <v>3134</v>
      </c>
      <c r="H41" s="534">
        <f>SUMIF(121:121,G41,122:122)-SUMIF(121:121,C41,122:122)+100</f>
        <v>100</v>
      </c>
      <c r="I41" s="3327" t="s">
        <v>3134</v>
      </c>
      <c r="J41" s="534">
        <f>SUMIF(121:121,I41,122:122)-SUMIF(121:121,C41,122:122)+100</f>
        <v>100</v>
      </c>
      <c r="K41" s="578"/>
      <c r="L41" s="2024"/>
      <c r="M41" s="2014"/>
      <c r="N41" s="2014"/>
      <c r="O41" s="2023"/>
      <c r="P41" s="3543"/>
      <c r="Q41" s="1506" t="str">
        <f t="shared" ref="Q41:Q47" si="14">B41</f>
        <v>宗地形状</v>
      </c>
      <c r="R41" s="1507" t="s">
        <v>8</v>
      </c>
      <c r="S41" s="1508">
        <f t="shared" si="10"/>
        <v>100</v>
      </c>
      <c r="T41" s="1507" t="s">
        <v>8</v>
      </c>
      <c r="U41" s="1508">
        <f t="shared" si="11"/>
        <v>100</v>
      </c>
      <c r="V41" s="1507" t="s">
        <v>8</v>
      </c>
      <c r="W41" s="1508">
        <f t="shared" si="12"/>
        <v>100</v>
      </c>
      <c r="X41" s="1501"/>
      <c r="Y41" s="3543"/>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3"/>
      <c r="Q42" s="1506" t="str">
        <f t="shared" si="14"/>
        <v>临街宽度及深度</v>
      </c>
      <c r="R42" s="1507" t="s">
        <v>8</v>
      </c>
      <c r="S42" s="1508">
        <f t="shared" si="10"/>
        <v>100</v>
      </c>
      <c r="T42" s="1507" t="s">
        <v>8</v>
      </c>
      <c r="U42" s="1508">
        <f t="shared" si="11"/>
        <v>100</v>
      </c>
      <c r="V42" s="1507" t="s">
        <v>8</v>
      </c>
      <c r="W42" s="1508">
        <f t="shared" si="12"/>
        <v>100</v>
      </c>
      <c r="X42" s="1501"/>
      <c r="Y42" s="3543"/>
      <c r="Z42" s="1509" t="str">
        <f t="shared" si="13"/>
        <v>临街宽度及深度</v>
      </c>
      <c r="AA42" s="1510">
        <f t="shared" si="3"/>
        <v>1</v>
      </c>
      <c r="AB42" s="1510">
        <f t="shared" si="4"/>
        <v>1</v>
      </c>
      <c r="AC42" s="1510">
        <f t="shared" si="5"/>
        <v>1</v>
      </c>
    </row>
    <row r="43" spans="1:29" s="1202" customFormat="1" ht="20.25">
      <c r="A43" s="594"/>
      <c r="B43" s="1809" t="s">
        <v>2408</v>
      </c>
      <c r="C43" s="3328" t="s">
        <v>3135</v>
      </c>
      <c r="D43" s="253">
        <v>100</v>
      </c>
      <c r="E43" s="3328" t="s">
        <v>3135</v>
      </c>
      <c r="F43" s="534">
        <f>SUMIF(125:125,E43,126:126)-SUMIF(125:125,C43,126:126)+100</f>
        <v>100</v>
      </c>
      <c r="G43" s="3328" t="s">
        <v>3136</v>
      </c>
      <c r="H43" s="534">
        <f>SUMIF(125:125,G43,126:126)-SUMIF(125:125,C43,126:126)+100</f>
        <v>100</v>
      </c>
      <c r="I43" s="3328" t="s">
        <v>3135</v>
      </c>
      <c r="J43" s="534">
        <f>SUMIF(125:125,I43,126:126)-SUMIF(125:125,C43,126:126)+100</f>
        <v>100</v>
      </c>
      <c r="K43" s="578"/>
      <c r="L43" s="2017"/>
      <c r="M43" s="2014"/>
      <c r="N43" s="2014"/>
      <c r="O43" s="2019"/>
      <c r="P43" s="3543"/>
      <c r="Q43" s="1506" t="str">
        <f t="shared" si="14"/>
        <v>宗地开发程度</v>
      </c>
      <c r="R43" s="1502" t="s">
        <v>8</v>
      </c>
      <c r="S43" s="1503">
        <f t="shared" si="10"/>
        <v>100</v>
      </c>
      <c r="T43" s="1502" t="s">
        <v>8</v>
      </c>
      <c r="U43" s="1503">
        <f t="shared" si="11"/>
        <v>100</v>
      </c>
      <c r="V43" s="1502" t="s">
        <v>8</v>
      </c>
      <c r="W43" s="1503">
        <f t="shared" si="12"/>
        <v>100</v>
      </c>
      <c r="X43" s="1504"/>
      <c r="Y43" s="3543"/>
      <c r="Z43" s="1132" t="str">
        <f t="shared" si="13"/>
        <v>宗地开发程度</v>
      </c>
      <c r="AA43" s="1505">
        <f t="shared" si="3"/>
        <v>1</v>
      </c>
      <c r="AB43" s="1505">
        <f t="shared" si="4"/>
        <v>1</v>
      </c>
      <c r="AC43" s="1505">
        <f t="shared" si="5"/>
        <v>1</v>
      </c>
    </row>
    <row r="44" spans="1:29" ht="20.25">
      <c r="A44" s="588"/>
      <c r="B44" s="521" t="s">
        <v>549</v>
      </c>
      <c r="C44" s="3327" t="s">
        <v>3131</v>
      </c>
      <c r="D44" s="534">
        <v>100</v>
      </c>
      <c r="E44" s="3327" t="s">
        <v>3131</v>
      </c>
      <c r="F44" s="534">
        <f>SUMIF(127:127,E44,128:128)-SUMIF(127:127,C44,128:128)+100</f>
        <v>100</v>
      </c>
      <c r="G44" s="3327" t="s">
        <v>3131</v>
      </c>
      <c r="H44" s="534">
        <f>SUMIF(127:127,G44,128:128)-SUMIF(127:127,C44,128:128)+100</f>
        <v>100</v>
      </c>
      <c r="I44" s="3327" t="s">
        <v>3131</v>
      </c>
      <c r="J44" s="534">
        <f>SUMIF(127:127,I44,128:128)-SUMIF(127:127,C44,128:128)+100</f>
        <v>100</v>
      </c>
      <c r="K44" s="578"/>
      <c r="L44" s="2024"/>
      <c r="M44" s="2014"/>
      <c r="N44" s="2014"/>
      <c r="O44" s="2023"/>
      <c r="P44" s="3543" t="s">
        <v>544</v>
      </c>
      <c r="Q44" s="1506" t="str">
        <f t="shared" si="14"/>
        <v>工程地质条件</v>
      </c>
      <c r="R44" s="1507" t="s">
        <v>8</v>
      </c>
      <c r="S44" s="1508">
        <f t="shared" si="10"/>
        <v>100</v>
      </c>
      <c r="T44" s="1507" t="s">
        <v>8</v>
      </c>
      <c r="U44" s="1508">
        <f t="shared" si="11"/>
        <v>100</v>
      </c>
      <c r="V44" s="1507" t="s">
        <v>8</v>
      </c>
      <c r="W44" s="1508">
        <f t="shared" si="12"/>
        <v>100</v>
      </c>
      <c r="X44" s="1501"/>
      <c r="Y44" s="3543"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3"/>
      <c r="Q45" s="1506">
        <f t="shared" si="14"/>
        <v>111</v>
      </c>
      <c r="R45" s="1507" t="s">
        <v>8</v>
      </c>
      <c r="S45" s="1508">
        <f t="shared" si="10"/>
        <v>100</v>
      </c>
      <c r="T45" s="1507" t="s">
        <v>8</v>
      </c>
      <c r="U45" s="1508">
        <f t="shared" si="11"/>
        <v>100</v>
      </c>
      <c r="V45" s="1507" t="s">
        <v>8</v>
      </c>
      <c r="W45" s="1508">
        <f t="shared" si="12"/>
        <v>100</v>
      </c>
      <c r="X45" s="1501"/>
      <c r="Y45" s="3543"/>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3"/>
      <c r="Q46" s="1506">
        <f t="shared" si="14"/>
        <v>111</v>
      </c>
      <c r="R46" s="1507" t="s">
        <v>8</v>
      </c>
      <c r="S46" s="1508">
        <f t="shared" si="10"/>
        <v>100</v>
      </c>
      <c r="T46" s="1507" t="s">
        <v>8</v>
      </c>
      <c r="U46" s="1508">
        <f t="shared" si="11"/>
        <v>100</v>
      </c>
      <c r="V46" s="1507" t="s">
        <v>8</v>
      </c>
      <c r="W46" s="1508">
        <f t="shared" si="12"/>
        <v>100</v>
      </c>
      <c r="X46" s="1501"/>
      <c r="Y46" s="3543"/>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3"/>
      <c r="Q47" s="1506">
        <f t="shared" si="14"/>
        <v>111</v>
      </c>
      <c r="R47" s="1511" t="s">
        <v>8</v>
      </c>
      <c r="S47" s="1512">
        <f t="shared" si="10"/>
        <v>100</v>
      </c>
      <c r="T47" s="1511" t="s">
        <v>8</v>
      </c>
      <c r="U47" s="1512">
        <f t="shared" si="11"/>
        <v>100</v>
      </c>
      <c r="V47" s="1511" t="s">
        <v>8</v>
      </c>
      <c r="W47" s="1512">
        <f t="shared" si="12"/>
        <v>100</v>
      </c>
      <c r="X47" s="1513"/>
      <c r="Y47" s="3543"/>
      <c r="Z47" s="1514">
        <f t="shared" si="13"/>
        <v>111</v>
      </c>
      <c r="AA47" s="1510">
        <f t="shared" si="3"/>
        <v>1</v>
      </c>
      <c r="AB47" s="1510">
        <f t="shared" si="4"/>
        <v>1</v>
      </c>
      <c r="AC47" s="1510">
        <f t="shared" si="5"/>
        <v>1</v>
      </c>
    </row>
    <row r="48" spans="1:29" ht="20.25">
      <c r="A48" s="601" t="s">
        <v>550</v>
      </c>
      <c r="B48" s="602" t="s">
        <v>3139</v>
      </c>
      <c r="C48" s="603" t="s">
        <v>1</v>
      </c>
      <c r="D48" s="604"/>
      <c r="E48" s="605">
        <v>1870</v>
      </c>
      <c r="F48" s="606"/>
      <c r="G48" s="607">
        <v>1702</v>
      </c>
      <c r="H48" s="608"/>
      <c r="I48" s="605">
        <v>1877</v>
      </c>
      <c r="J48" s="608"/>
      <c r="K48" s="1293"/>
      <c r="L48" s="2026"/>
      <c r="M48" s="2014"/>
      <c r="N48" s="2014"/>
      <c r="O48" s="2027"/>
      <c r="P48" s="3538" t="str">
        <f>A48</f>
        <v>成交单价</v>
      </c>
      <c r="Q48" s="3538"/>
      <c r="R48" s="3552">
        <f>E48</f>
        <v>1870</v>
      </c>
      <c r="S48" s="3552"/>
      <c r="T48" s="3552">
        <f>G48</f>
        <v>1702</v>
      </c>
      <c r="U48" s="3552"/>
      <c r="V48" s="3552">
        <f>I48</f>
        <v>1877</v>
      </c>
      <c r="W48" s="3552"/>
      <c r="X48" s="1496"/>
      <c r="Y48" s="1515"/>
      <c r="Z48" s="1496"/>
      <c r="AA48" s="1496"/>
      <c r="AB48" s="1496"/>
      <c r="AC48" s="1496"/>
    </row>
    <row r="49" spans="1:29" ht="21" thickBot="1">
      <c r="A49" s="609" t="s">
        <v>2672</v>
      </c>
      <c r="B49" s="610"/>
      <c r="C49" s="611">
        <f>R50</f>
        <v>1897</v>
      </c>
      <c r="D49" s="3014" t="s">
        <v>2965</v>
      </c>
      <c r="E49" s="611">
        <f>R49</f>
        <v>1937</v>
      </c>
      <c r="F49" s="3015"/>
      <c r="G49" s="612">
        <f>T49</f>
        <v>1838</v>
      </c>
      <c r="H49" s="3015"/>
      <c r="I49" s="611">
        <f>V49</f>
        <v>1917</v>
      </c>
      <c r="J49" s="3015"/>
      <c r="K49" s="3016">
        <f>F49+H49+J49</f>
        <v>0</v>
      </c>
      <c r="L49" s="2026"/>
      <c r="M49" s="2014"/>
      <c r="N49" s="2014"/>
      <c r="O49" s="2027"/>
      <c r="P49" s="3538" t="str">
        <f>A49</f>
        <v>比较价格（元/平方米）</v>
      </c>
      <c r="Q49" s="3538"/>
      <c r="R49" s="3562">
        <f>ROUND(PRODUCT(R48,AA9:AA47),0)</f>
        <v>1937</v>
      </c>
      <c r="S49" s="3562"/>
      <c r="T49" s="3562">
        <f>ROUND(PRODUCT(T48,AB9:AB47),0)</f>
        <v>1838</v>
      </c>
      <c r="U49" s="3562"/>
      <c r="V49" s="3562">
        <f>ROUND(PRODUCT(V48,AC9:AC47),0)</f>
        <v>1917</v>
      </c>
      <c r="W49" s="3562"/>
      <c r="X49" s="1496"/>
      <c r="Y49" s="1496"/>
      <c r="Z49" s="1496"/>
      <c r="AA49" s="1496"/>
      <c r="AB49" s="1496"/>
      <c r="AC49" s="1496"/>
    </row>
    <row r="50" spans="1:29" ht="21" thickBot="1">
      <c r="A50" s="613" t="s">
        <v>2897</v>
      </c>
      <c r="B50" s="614"/>
      <c r="C50" s="615">
        <f>R50</f>
        <v>1897</v>
      </c>
      <c r="D50" s="615"/>
      <c r="E50" s="615"/>
      <c r="F50" s="615"/>
      <c r="G50" s="615"/>
      <c r="H50" s="615"/>
      <c r="I50" s="615"/>
      <c r="J50" s="615"/>
      <c r="K50" s="1294"/>
      <c r="L50" s="2026"/>
      <c r="M50" s="2014"/>
      <c r="N50" s="2014"/>
      <c r="O50" s="2027"/>
      <c r="P50" s="3559" t="str">
        <f>A50</f>
        <v>估价对象XX用房的比较价格（楼面单价，元/平方米）</v>
      </c>
      <c r="Q50" s="3560"/>
      <c r="R50" s="3561">
        <f>ROUND(IF(D49="简单平均",AVERAGE(R49:W49),R49*F49+T49*H49+V49*J49),0)</f>
        <v>1897</v>
      </c>
      <c r="S50" s="3561"/>
      <c r="T50" s="3561"/>
      <c r="U50" s="3561"/>
      <c r="V50" s="3561"/>
      <c r="W50" s="3561"/>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3.5828877005347648E-2</v>
      </c>
      <c r="F53" s="619" t="str">
        <f>IF(OR(E53&gt;=0.3,E53&lt;=-0.3),"超过30%","")</f>
        <v/>
      </c>
      <c r="G53" s="618">
        <f>IF(G48&lt;G49,G49/G48-1,G48/G49-1)</f>
        <v>7.9905992949471205E-2</v>
      </c>
      <c r="H53" s="619" t="str">
        <f>IF(OR(G53&gt;=0.3,G53&lt;=-0.3),"超过30%","")</f>
        <v/>
      </c>
      <c r="I53" s="618">
        <f>IF(I48&lt;I49,I49/I48-1,I48/I49-1)</f>
        <v>2.1310602024507297E-2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5.3862894450489751E-2</v>
      </c>
      <c r="F54" s="619" t="str">
        <f>IF(OR(E54&gt;=0.2,E54&lt;=-0.2),"超过20%","")</f>
        <v/>
      </c>
      <c r="G54" s="618">
        <f>IF(G49&lt;I49,I49/G49-1,G49/I49-1)</f>
        <v>4.2981501632208818E-2</v>
      </c>
      <c r="H54" s="619" t="str">
        <f>IF(OR(G54&gt;=0.2,G54&lt;=-0.2),"超过20%","")</f>
        <v/>
      </c>
      <c r="I54" s="618">
        <f>IF(I49&lt;E49,E49/I49-1,I49/E49-1)</f>
        <v>1.0432968179447055E-2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f>IF(E48&lt;G48,G48/E48-1,E48/G48-1)</f>
        <v>9.870740305522907E-2</v>
      </c>
      <c r="F55" s="619" t="str">
        <f>IF(OR(E55&gt;=0.3,E55&lt;=-0.3),"超过30%","")</f>
        <v/>
      </c>
      <c r="G55" s="618">
        <f>IF(G48&lt;I48,I48/G48-1,G48/I48-1)</f>
        <v>0.10282021151586362</v>
      </c>
      <c r="H55" s="619" t="str">
        <f>IF(OR(G55&gt;=0.3,G55&lt;=-0.3),"超过30%","")</f>
        <v/>
      </c>
      <c r="I55" s="618">
        <f>IF(I48&lt;E48,E48/I48-1,I48/E48-1)</f>
        <v>3.7433155080213165E-3</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22" t="s">
        <v>2268</v>
      </c>
      <c r="H57" s="3523"/>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1897</v>
      </c>
      <c r="C58" s="627">
        <v>1</v>
      </c>
      <c r="D58" s="2108">
        <v>1</v>
      </c>
      <c r="E58" s="627">
        <f>'数据-汇总表'!E8+'数据-汇总表'!E9</f>
        <v>136066.92000000001</v>
      </c>
      <c r="F58" s="628">
        <f t="shared" ref="F58:F67" si="15">ROUND(B58*E58/10000,0)</f>
        <v>25812</v>
      </c>
      <c r="G58" s="3524"/>
      <c r="H58" s="3525"/>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26" t="s">
        <v>2269</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26"/>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26"/>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26"/>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136066.92000000001</v>
      </c>
      <c r="F68" s="636">
        <f>IF(B48="楼面地价",SUM(F58:F67),ROUND(C50*E68/10000,0))</f>
        <v>25812</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2512</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2626</v>
      </c>
      <c r="B73" s="473" t="str">
        <f>"北京市平均增长率"&amp;TEXT(SUMIF(基准地价!N21:N25,A73,基准地价!P21:P25),"0.00%")</f>
        <v>北京市平均增长率1.68%</v>
      </c>
      <c r="C73" s="882">
        <v>100</v>
      </c>
      <c r="D73" s="722">
        <v>99.5</v>
      </c>
      <c r="E73" s="722">
        <v>99</v>
      </c>
      <c r="F73" s="722">
        <v>98.5</v>
      </c>
      <c r="G73" s="722">
        <v>98</v>
      </c>
      <c r="H73" s="722">
        <v>97.5</v>
      </c>
      <c r="I73" s="722">
        <v>97</v>
      </c>
      <c r="J73" s="722">
        <v>96.5</v>
      </c>
      <c r="K73" s="722">
        <v>96</v>
      </c>
      <c r="L73" s="722">
        <v>95.5</v>
      </c>
      <c r="M73" s="722">
        <v>95</v>
      </c>
      <c r="N73" s="722">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2625</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2528</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0(含)-10000</v>
      </c>
      <c r="D118" s="696" t="str">
        <f t="shared" si="25"/>
        <v>10000(含)-20000</v>
      </c>
      <c r="E118" s="696" t="str">
        <f t="shared" si="25"/>
        <v>20000(含)-30000</v>
      </c>
      <c r="F118" s="696" t="str">
        <f t="shared" si="25"/>
        <v>30000(含)-40000</v>
      </c>
      <c r="G118" s="696" t="str">
        <f t="shared" si="25"/>
        <v>40000(含)-50000</v>
      </c>
      <c r="H118" s="696" t="str">
        <f t="shared" si="25"/>
        <v>50000(含)-60000</v>
      </c>
      <c r="I118" s="696" t="str">
        <f t="shared" si="25"/>
        <v>60000(含)-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10000</v>
      </c>
      <c r="E119" s="722">
        <v>20000</v>
      </c>
      <c r="F119" s="722">
        <v>30000</v>
      </c>
      <c r="G119" s="722">
        <v>40000</v>
      </c>
      <c r="H119" s="722">
        <v>50000</v>
      </c>
      <c r="I119" s="722">
        <v>60000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topLeftCell="A25" zoomScale="80" zoomScaleNormal="80" workbookViewId="0">
      <selection activeCell="A42" sqref="A42"/>
    </sheetView>
  </sheetViews>
  <sheetFormatPr defaultRowHeight="13.5"/>
  <cols>
    <col min="1" max="1" width="16.25" customWidth="1"/>
    <col min="6" max="6" width="17.625" customWidth="1"/>
    <col min="15" max="15" width="21.25" customWidth="1"/>
  </cols>
  <sheetData>
    <row r="1" spans="1:16">
      <c r="A1" s="3310" t="s">
        <v>3007</v>
      </c>
      <c r="B1" s="3310" t="s">
        <v>3008</v>
      </c>
      <c r="C1" s="3310" t="s">
        <v>3009</v>
      </c>
      <c r="D1" s="3310" t="s">
        <v>3010</v>
      </c>
      <c r="E1" s="3310" t="s">
        <v>3011</v>
      </c>
      <c r="F1" s="3310" t="s">
        <v>2020</v>
      </c>
      <c r="G1" s="3310" t="s">
        <v>3012</v>
      </c>
      <c r="H1" s="3310" t="s">
        <v>3013</v>
      </c>
      <c r="I1" s="3310" t="s">
        <v>3014</v>
      </c>
      <c r="J1" s="3310" t="s">
        <v>3015</v>
      </c>
      <c r="K1" s="3310" t="s">
        <v>3016</v>
      </c>
      <c r="L1" s="3310" t="s">
        <v>3017</v>
      </c>
      <c r="M1" s="3310" t="s">
        <v>3018</v>
      </c>
      <c r="N1" s="3310" t="s">
        <v>3019</v>
      </c>
      <c r="O1" s="3310" t="s">
        <v>3020</v>
      </c>
      <c r="P1" s="3310" t="s">
        <v>3021</v>
      </c>
    </row>
    <row r="2" spans="1:16">
      <c r="A2" s="3310" t="s">
        <v>3022</v>
      </c>
      <c r="B2" s="3310" t="s">
        <v>3023</v>
      </c>
      <c r="C2" s="3310" t="s">
        <v>3024</v>
      </c>
      <c r="D2" s="3310">
        <v>18075.689999999999</v>
      </c>
      <c r="E2" s="3310">
        <v>36151.379999999997</v>
      </c>
      <c r="F2" s="3310" t="s">
        <v>3025</v>
      </c>
      <c r="G2" s="3310" t="s">
        <v>3026</v>
      </c>
      <c r="H2" s="3310" t="s">
        <v>3027</v>
      </c>
      <c r="I2" s="3310" t="s">
        <v>3028</v>
      </c>
      <c r="J2" s="3310" t="s">
        <v>3028</v>
      </c>
      <c r="K2" s="3310">
        <v>7591</v>
      </c>
      <c r="L2" s="3310">
        <v>7630</v>
      </c>
      <c r="M2" s="3310">
        <v>2110.5700000000002</v>
      </c>
      <c r="N2" s="3310">
        <v>0.51</v>
      </c>
      <c r="O2" s="3310" t="s">
        <v>3029</v>
      </c>
      <c r="P2" s="3310" t="s">
        <v>3030</v>
      </c>
    </row>
    <row r="3" spans="1:16">
      <c r="A3" s="3310" t="s">
        <v>3031</v>
      </c>
      <c r="B3" s="3310" t="s">
        <v>3023</v>
      </c>
      <c r="C3" s="3310" t="s">
        <v>3024</v>
      </c>
      <c r="D3" s="3310">
        <v>51830.5</v>
      </c>
      <c r="E3" s="3310">
        <v>103661</v>
      </c>
      <c r="F3" s="3310" t="s">
        <v>3025</v>
      </c>
      <c r="G3" s="3310" t="s">
        <v>3026</v>
      </c>
      <c r="H3" s="3310" t="s">
        <v>3027</v>
      </c>
      <c r="I3" s="3310" t="s">
        <v>3028</v>
      </c>
      <c r="J3" s="3310" t="s">
        <v>3028</v>
      </c>
      <c r="K3" s="3310">
        <v>21770</v>
      </c>
      <c r="L3" s="3310">
        <v>21800</v>
      </c>
      <c r="M3" s="3310">
        <v>2103.0100000000002</v>
      </c>
      <c r="N3" s="3310">
        <v>0.14000000000000001</v>
      </c>
      <c r="O3" s="3310" t="s">
        <v>3029</v>
      </c>
      <c r="P3" s="3310" t="s">
        <v>3030</v>
      </c>
    </row>
    <row r="4" spans="1:16">
      <c r="A4" s="3310" t="s">
        <v>3032</v>
      </c>
      <c r="B4" s="3310" t="s">
        <v>3023</v>
      </c>
      <c r="C4" s="3310" t="s">
        <v>3024</v>
      </c>
      <c r="D4" s="3310">
        <v>24763.42</v>
      </c>
      <c r="E4" s="3310">
        <v>49526.84</v>
      </c>
      <c r="F4" s="3310" t="s">
        <v>3025</v>
      </c>
      <c r="G4" s="3310" t="s">
        <v>3026</v>
      </c>
      <c r="H4" s="3310" t="s">
        <v>3027</v>
      </c>
      <c r="I4" s="3310" t="s">
        <v>3028</v>
      </c>
      <c r="J4" s="3310" t="s">
        <v>3028</v>
      </c>
      <c r="K4" s="3310">
        <v>10402</v>
      </c>
      <c r="L4" s="3310">
        <v>10402</v>
      </c>
      <c r="M4" s="3310">
        <v>2100.2800000000002</v>
      </c>
      <c r="N4" s="3310">
        <v>0</v>
      </c>
      <c r="O4" s="3310" t="s">
        <v>3029</v>
      </c>
      <c r="P4" s="3310" t="s">
        <v>3030</v>
      </c>
    </row>
    <row r="5" spans="1:16">
      <c r="A5" s="3310" t="s">
        <v>3033</v>
      </c>
      <c r="B5" s="3310" t="s">
        <v>3023</v>
      </c>
      <c r="C5" s="3310" t="s">
        <v>3024</v>
      </c>
      <c r="D5" s="3310">
        <v>57806.26</v>
      </c>
      <c r="E5" s="3310">
        <v>115612.52</v>
      </c>
      <c r="F5" s="3310" t="s">
        <v>3025</v>
      </c>
      <c r="G5" s="3310" t="s">
        <v>3026</v>
      </c>
      <c r="H5" s="3310" t="s">
        <v>3027</v>
      </c>
      <c r="I5" s="3310" t="s">
        <v>3028</v>
      </c>
      <c r="J5" s="3310" t="s">
        <v>3028</v>
      </c>
      <c r="K5" s="3310">
        <v>24279</v>
      </c>
      <c r="L5" s="3310">
        <v>24320</v>
      </c>
      <c r="M5" s="3310">
        <v>2103.5700000000002</v>
      </c>
      <c r="N5" s="3310">
        <v>0.17</v>
      </c>
      <c r="O5" s="3310" t="s">
        <v>3029</v>
      </c>
      <c r="P5" s="3310" t="s">
        <v>3034</v>
      </c>
    </row>
    <row r="6" spans="1:16">
      <c r="A6" s="3310" t="s">
        <v>3035</v>
      </c>
      <c r="B6" s="3310" t="s">
        <v>3023</v>
      </c>
      <c r="C6" s="3310" t="s">
        <v>3024</v>
      </c>
      <c r="D6" s="3310">
        <v>35962.620000000003</v>
      </c>
      <c r="E6" s="3310">
        <v>107168.61</v>
      </c>
      <c r="F6" s="3310" t="s">
        <v>3036</v>
      </c>
      <c r="G6" s="3310" t="s">
        <v>3026</v>
      </c>
      <c r="H6" s="3310" t="s">
        <v>3027</v>
      </c>
      <c r="I6" s="3310" t="s">
        <v>3037</v>
      </c>
      <c r="J6" s="3310" t="s">
        <v>3037</v>
      </c>
      <c r="K6" s="3310">
        <v>12353</v>
      </c>
      <c r="L6" s="3310">
        <v>13760</v>
      </c>
      <c r="M6" s="3310">
        <v>1283.96</v>
      </c>
      <c r="N6" s="3310">
        <v>11.39</v>
      </c>
      <c r="O6" s="3310" t="s">
        <v>3038</v>
      </c>
      <c r="P6" s="3310" t="s">
        <v>3039</v>
      </c>
    </row>
    <row r="7" spans="1:16">
      <c r="A7" s="3310" t="s">
        <v>3035</v>
      </c>
      <c r="B7" s="3310" t="s">
        <v>3023</v>
      </c>
      <c r="C7" s="3310" t="s">
        <v>3024</v>
      </c>
      <c r="D7" s="3310">
        <v>51602.07</v>
      </c>
      <c r="E7" s="3310">
        <v>153774.17000000001</v>
      </c>
      <c r="F7" s="3310" t="s">
        <v>3036</v>
      </c>
      <c r="G7" s="3310" t="s">
        <v>3026</v>
      </c>
      <c r="H7" s="3310" t="s">
        <v>3027</v>
      </c>
      <c r="I7" s="3310" t="s">
        <v>3037</v>
      </c>
      <c r="J7" s="3310" t="s">
        <v>3037</v>
      </c>
      <c r="K7" s="3310">
        <v>17725</v>
      </c>
      <c r="L7" s="3310">
        <v>19740</v>
      </c>
      <c r="M7" s="3310">
        <v>1283.7</v>
      </c>
      <c r="N7" s="3310">
        <v>11.37</v>
      </c>
      <c r="O7" s="3310" t="s">
        <v>3038</v>
      </c>
      <c r="P7" s="3310" t="s">
        <v>3039</v>
      </c>
    </row>
    <row r="8" spans="1:16">
      <c r="A8" s="3310" t="s">
        <v>3035</v>
      </c>
      <c r="B8" s="3310" t="s">
        <v>3023</v>
      </c>
      <c r="C8" s="3310" t="s">
        <v>3024</v>
      </c>
      <c r="D8" s="3310">
        <v>69876.36</v>
      </c>
      <c r="E8" s="3310">
        <v>208231.55</v>
      </c>
      <c r="F8" s="3310" t="s">
        <v>3036</v>
      </c>
      <c r="G8" s="3310" t="s">
        <v>3026</v>
      </c>
      <c r="H8" s="3310" t="s">
        <v>3027</v>
      </c>
      <c r="I8" s="3310" t="s">
        <v>3037</v>
      </c>
      <c r="J8" s="3310" t="s">
        <v>3037</v>
      </c>
      <c r="K8" s="3310">
        <v>24002</v>
      </c>
      <c r="L8" s="3310">
        <v>26730</v>
      </c>
      <c r="M8" s="3310">
        <v>1283.67</v>
      </c>
      <c r="N8" s="3310">
        <v>11.37</v>
      </c>
      <c r="O8" s="3310" t="s">
        <v>3038</v>
      </c>
      <c r="P8" s="3310" t="s">
        <v>3039</v>
      </c>
    </row>
    <row r="9" spans="1:16">
      <c r="A9" s="3310" t="s">
        <v>3040</v>
      </c>
      <c r="B9" s="3310" t="s">
        <v>3023</v>
      </c>
      <c r="C9" s="3310" t="s">
        <v>3024</v>
      </c>
      <c r="D9" s="3310">
        <v>50045.48</v>
      </c>
      <c r="E9" s="3310">
        <v>125113.7</v>
      </c>
      <c r="F9" s="3310" t="s">
        <v>3041</v>
      </c>
      <c r="G9" s="3310" t="s">
        <v>3026</v>
      </c>
      <c r="H9" s="3310" t="s">
        <v>3027</v>
      </c>
      <c r="I9" s="3310" t="s">
        <v>3042</v>
      </c>
      <c r="J9" s="3310" t="s">
        <v>3042</v>
      </c>
      <c r="K9" s="3310" t="s">
        <v>2796</v>
      </c>
      <c r="L9" s="3310">
        <v>16215.12</v>
      </c>
      <c r="M9" s="3310">
        <v>1296.02</v>
      </c>
      <c r="N9" s="3310" t="s">
        <v>2796</v>
      </c>
      <c r="O9" s="3310" t="s">
        <v>3043</v>
      </c>
      <c r="P9" s="3310" t="s">
        <v>3039</v>
      </c>
    </row>
    <row r="10" spans="1:16" s="3312" customFormat="1">
      <c r="A10" s="3311" t="s">
        <v>3044</v>
      </c>
      <c r="B10" s="3311" t="s">
        <v>3023</v>
      </c>
      <c r="C10" s="3311" t="s">
        <v>3024</v>
      </c>
      <c r="D10" s="3311">
        <v>21807.34</v>
      </c>
      <c r="E10" s="3311">
        <v>54518.35</v>
      </c>
      <c r="F10" s="3311" t="s">
        <v>3041</v>
      </c>
      <c r="G10" s="3311" t="s">
        <v>3026</v>
      </c>
      <c r="H10" s="3311" t="s">
        <v>3027</v>
      </c>
      <c r="I10" s="3311" t="s">
        <v>3042</v>
      </c>
      <c r="J10" s="3311" t="s">
        <v>3042</v>
      </c>
      <c r="K10" s="3311" t="s">
        <v>2796</v>
      </c>
      <c r="L10" s="3311">
        <v>7065.35</v>
      </c>
      <c r="M10" s="3311">
        <v>1295.96</v>
      </c>
      <c r="N10" s="3311" t="s">
        <v>2796</v>
      </c>
      <c r="O10" s="3311" t="s">
        <v>3045</v>
      </c>
      <c r="P10" s="3311" t="s">
        <v>3039</v>
      </c>
    </row>
    <row r="11" spans="1:16" s="3312" customFormat="1">
      <c r="A11" s="3311" t="s">
        <v>3040</v>
      </c>
      <c r="B11" s="3311" t="s">
        <v>3023</v>
      </c>
      <c r="C11" s="3311" t="s">
        <v>3024</v>
      </c>
      <c r="D11" s="3311">
        <v>56190.86</v>
      </c>
      <c r="E11" s="3311">
        <v>140477.15</v>
      </c>
      <c r="F11" s="3311" t="s">
        <v>3041</v>
      </c>
      <c r="G11" s="3311" t="s">
        <v>3026</v>
      </c>
      <c r="H11" s="3311" t="s">
        <v>3027</v>
      </c>
      <c r="I11" s="3311" t="s">
        <v>3042</v>
      </c>
      <c r="J11" s="3311" t="s">
        <v>3042</v>
      </c>
      <c r="K11" s="3311" t="s">
        <v>2796</v>
      </c>
      <c r="L11" s="3311">
        <v>18206.63</v>
      </c>
      <c r="M11" s="3311">
        <v>1296.05</v>
      </c>
      <c r="N11" s="3311" t="s">
        <v>2796</v>
      </c>
      <c r="O11" s="3311" t="s">
        <v>3046</v>
      </c>
      <c r="P11" s="3311" t="s">
        <v>3039</v>
      </c>
    </row>
    <row r="12" spans="1:16" s="3312" customFormat="1">
      <c r="A12" s="3311" t="s">
        <v>3040</v>
      </c>
      <c r="B12" s="3311" t="s">
        <v>3023</v>
      </c>
      <c r="C12" s="3311" t="s">
        <v>3024</v>
      </c>
      <c r="D12" s="3311">
        <v>54426.77</v>
      </c>
      <c r="E12" s="3311">
        <v>136066.93</v>
      </c>
      <c r="F12" s="3311" t="s">
        <v>3041</v>
      </c>
      <c r="G12" s="3311" t="s">
        <v>3026</v>
      </c>
      <c r="H12" s="3311" t="s">
        <v>3027</v>
      </c>
      <c r="I12" s="3311" t="s">
        <v>3042</v>
      </c>
      <c r="J12" s="3311" t="s">
        <v>3042</v>
      </c>
      <c r="K12" s="3311" t="s">
        <v>2796</v>
      </c>
      <c r="L12" s="3311">
        <v>17634.240000000002</v>
      </c>
      <c r="M12" s="3311">
        <v>1296</v>
      </c>
      <c r="N12" s="3311" t="s">
        <v>2796</v>
      </c>
      <c r="O12" s="3311" t="s">
        <v>3047</v>
      </c>
      <c r="P12" s="3311" t="s">
        <v>3039</v>
      </c>
    </row>
    <row r="13" spans="1:16" s="3347" customFormat="1">
      <c r="A13" s="3346" t="s">
        <v>3040</v>
      </c>
      <c r="B13" s="3346" t="s">
        <v>3023</v>
      </c>
      <c r="C13" s="3346" t="s">
        <v>3024</v>
      </c>
      <c r="D13" s="3346">
        <v>37823.839999999997</v>
      </c>
      <c r="E13" s="3346">
        <v>94559.6</v>
      </c>
      <c r="F13" s="3346" t="s">
        <v>3041</v>
      </c>
      <c r="G13" s="3346" t="s">
        <v>3026</v>
      </c>
      <c r="H13" s="3346" t="s">
        <v>3027</v>
      </c>
      <c r="I13" s="3346" t="s">
        <v>3042</v>
      </c>
      <c r="J13" s="3346" t="s">
        <v>3042</v>
      </c>
      <c r="K13" s="3346" t="s">
        <v>2796</v>
      </c>
      <c r="L13" s="3346">
        <v>12255.84</v>
      </c>
      <c r="M13" s="3346">
        <v>1296.0899999999999</v>
      </c>
      <c r="N13" s="3346" t="s">
        <v>2796</v>
      </c>
      <c r="O13" s="3346" t="s">
        <v>3047</v>
      </c>
      <c r="P13" s="3346" t="s">
        <v>3039</v>
      </c>
    </row>
    <row r="14" spans="1:16">
      <c r="A14" s="3310" t="s">
        <v>3040</v>
      </c>
      <c r="B14" s="3310" t="s">
        <v>3023</v>
      </c>
      <c r="C14" s="3310" t="s">
        <v>3024</v>
      </c>
      <c r="D14" s="3310">
        <v>51201.55</v>
      </c>
      <c r="E14" s="3310">
        <v>128003.88</v>
      </c>
      <c r="F14" s="3310" t="s">
        <v>3041</v>
      </c>
      <c r="G14" s="3310" t="s">
        <v>3026</v>
      </c>
      <c r="H14" s="3310" t="s">
        <v>3027</v>
      </c>
      <c r="I14" s="3310" t="s">
        <v>3042</v>
      </c>
      <c r="J14" s="3310" t="s">
        <v>3042</v>
      </c>
      <c r="K14" s="3310" t="s">
        <v>2796</v>
      </c>
      <c r="L14" s="3310">
        <v>16588.79</v>
      </c>
      <c r="M14" s="3310">
        <v>1295.96</v>
      </c>
      <c r="N14" s="3310" t="s">
        <v>2796</v>
      </c>
      <c r="O14" s="3310" t="s">
        <v>3043</v>
      </c>
      <c r="P14" s="3310" t="s">
        <v>3039</v>
      </c>
    </row>
    <row r="15" spans="1:16">
      <c r="A15" s="3310" t="s">
        <v>3035</v>
      </c>
      <c r="B15" s="3310" t="s">
        <v>3023</v>
      </c>
      <c r="C15" s="3310" t="s">
        <v>3024</v>
      </c>
      <c r="D15" s="3310">
        <v>45462.29</v>
      </c>
      <c r="E15" s="3310">
        <v>113655.73</v>
      </c>
      <c r="F15" s="3310" t="s">
        <v>3048</v>
      </c>
      <c r="G15" s="3310" t="s">
        <v>3026</v>
      </c>
      <c r="H15" s="3310" t="s">
        <v>3049</v>
      </c>
      <c r="I15" s="3310" t="s">
        <v>3050</v>
      </c>
      <c r="J15" s="3310" t="s">
        <v>3050</v>
      </c>
      <c r="K15" s="3310">
        <v>14389</v>
      </c>
      <c r="L15" s="3310">
        <v>14389</v>
      </c>
      <c r="M15" s="3310">
        <v>1266.01</v>
      </c>
      <c r="N15" s="3310">
        <v>0</v>
      </c>
      <c r="O15" s="3310" t="s">
        <v>3051</v>
      </c>
      <c r="P15" s="3310" t="s">
        <v>3052</v>
      </c>
    </row>
    <row r="16" spans="1:16">
      <c r="A16" s="3310" t="s">
        <v>3035</v>
      </c>
      <c r="B16" s="3310" t="s">
        <v>3023</v>
      </c>
      <c r="C16" s="3310" t="s">
        <v>3024</v>
      </c>
      <c r="D16" s="3310">
        <v>39212.269999999997</v>
      </c>
      <c r="E16" s="3310">
        <v>98030.68</v>
      </c>
      <c r="F16" s="3310" t="s">
        <v>3048</v>
      </c>
      <c r="G16" s="3310" t="s">
        <v>3026</v>
      </c>
      <c r="H16" s="3310" t="s">
        <v>3049</v>
      </c>
      <c r="I16" s="3310" t="s">
        <v>3050</v>
      </c>
      <c r="J16" s="3310" t="s">
        <v>3050</v>
      </c>
      <c r="K16" s="3310">
        <v>12412</v>
      </c>
      <c r="L16" s="3310">
        <v>12412</v>
      </c>
      <c r="M16" s="3310">
        <v>1266.1300000000001</v>
      </c>
      <c r="N16" s="3310">
        <v>0</v>
      </c>
      <c r="O16" s="3310" t="s">
        <v>3051</v>
      </c>
      <c r="P16" s="3310" t="s">
        <v>3039</v>
      </c>
    </row>
    <row r="17" spans="1:16">
      <c r="A17" s="3310" t="s">
        <v>3035</v>
      </c>
      <c r="B17" s="3310" t="s">
        <v>3023</v>
      </c>
      <c r="C17" s="3310" t="s">
        <v>3024</v>
      </c>
      <c r="D17" s="3310">
        <v>27679.02</v>
      </c>
      <c r="E17" s="3310">
        <v>69197.55</v>
      </c>
      <c r="F17" s="3310" t="s">
        <v>3048</v>
      </c>
      <c r="G17" s="3310" t="s">
        <v>3026</v>
      </c>
      <c r="H17" s="3310" t="s">
        <v>3049</v>
      </c>
      <c r="I17" s="3310" t="s">
        <v>3050</v>
      </c>
      <c r="J17" s="3310" t="s">
        <v>3050</v>
      </c>
      <c r="K17" s="3310">
        <v>8761</v>
      </c>
      <c r="L17" s="3310">
        <v>8761</v>
      </c>
      <c r="M17" s="3310">
        <v>1266.08</v>
      </c>
      <c r="N17" s="3310">
        <v>0</v>
      </c>
      <c r="O17" s="3310" t="s">
        <v>3051</v>
      </c>
      <c r="P17" s="3310" t="s">
        <v>3052</v>
      </c>
    </row>
    <row r="18" spans="1:16">
      <c r="A18" s="3310" t="s">
        <v>3035</v>
      </c>
      <c r="B18" s="3310" t="s">
        <v>3023</v>
      </c>
      <c r="C18" s="3310" t="s">
        <v>3024</v>
      </c>
      <c r="D18" s="3310">
        <v>58818.68</v>
      </c>
      <c r="E18" s="3310">
        <v>147046.70000000001</v>
      </c>
      <c r="F18" s="3310" t="s">
        <v>3048</v>
      </c>
      <c r="G18" s="3310" t="s">
        <v>3026</v>
      </c>
      <c r="H18" s="3310" t="s">
        <v>3049</v>
      </c>
      <c r="I18" s="3310" t="s">
        <v>3050</v>
      </c>
      <c r="J18" s="3310" t="s">
        <v>3050</v>
      </c>
      <c r="K18" s="3310">
        <v>18617</v>
      </c>
      <c r="L18" s="3310">
        <v>18617</v>
      </c>
      <c r="M18" s="3310">
        <v>1266.05</v>
      </c>
      <c r="N18" s="3310">
        <v>0</v>
      </c>
      <c r="O18" s="3310" t="s">
        <v>3051</v>
      </c>
      <c r="P18" s="3310" t="s">
        <v>3052</v>
      </c>
    </row>
    <row r="19" spans="1:16">
      <c r="A19" s="3310" t="s">
        <v>3035</v>
      </c>
      <c r="B19" s="3310" t="s">
        <v>3023</v>
      </c>
      <c r="C19" s="3310" t="s">
        <v>3024</v>
      </c>
      <c r="D19" s="3310">
        <v>44718.05</v>
      </c>
      <c r="E19" s="3310">
        <v>111795.13</v>
      </c>
      <c r="F19" s="3310" t="s">
        <v>3048</v>
      </c>
      <c r="G19" s="3310" t="s">
        <v>3026</v>
      </c>
      <c r="H19" s="3310" t="s">
        <v>3049</v>
      </c>
      <c r="I19" s="3310" t="s">
        <v>3050</v>
      </c>
      <c r="J19" s="3310" t="s">
        <v>3050</v>
      </c>
      <c r="K19" s="3310">
        <v>14154</v>
      </c>
      <c r="L19" s="3310">
        <v>14154</v>
      </c>
      <c r="M19" s="3310">
        <v>1266.06</v>
      </c>
      <c r="N19" s="3310">
        <v>0</v>
      </c>
      <c r="O19" s="3310" t="s">
        <v>3051</v>
      </c>
      <c r="P19" s="3310" t="s">
        <v>3052</v>
      </c>
    </row>
    <row r="20" spans="1:16">
      <c r="A20" s="3310" t="s">
        <v>3035</v>
      </c>
      <c r="B20" s="3310" t="s">
        <v>3023</v>
      </c>
      <c r="C20" s="3310" t="s">
        <v>3024</v>
      </c>
      <c r="D20" s="3310">
        <v>14720.75</v>
      </c>
      <c r="E20" s="3310">
        <v>29441.5</v>
      </c>
      <c r="F20" s="3310" t="s">
        <v>3053</v>
      </c>
      <c r="G20" s="3310" t="s">
        <v>3026</v>
      </c>
      <c r="H20" s="3310" t="s">
        <v>3049</v>
      </c>
      <c r="I20" s="3310" t="s">
        <v>3050</v>
      </c>
      <c r="J20" s="3310" t="s">
        <v>3050</v>
      </c>
      <c r="K20" s="3310">
        <v>4659</v>
      </c>
      <c r="L20" s="3310">
        <v>4659</v>
      </c>
      <c r="M20" s="3310">
        <v>1582.46</v>
      </c>
      <c r="N20" s="3310">
        <v>0</v>
      </c>
      <c r="O20" s="3310" t="s">
        <v>3051</v>
      </c>
      <c r="P20" s="3310" t="s">
        <v>3052</v>
      </c>
    </row>
    <row r="21" spans="1:16">
      <c r="A21" s="3310" t="s">
        <v>3035</v>
      </c>
      <c r="B21" s="3310" t="s">
        <v>3023</v>
      </c>
      <c r="C21" s="3310" t="s">
        <v>3024</v>
      </c>
      <c r="D21" s="3310">
        <v>53419.22</v>
      </c>
      <c r="E21" s="3310">
        <v>133548.04999999999</v>
      </c>
      <c r="F21" s="3310" t="s">
        <v>3048</v>
      </c>
      <c r="G21" s="3310" t="s">
        <v>3026</v>
      </c>
      <c r="H21" s="3310" t="s">
        <v>3049</v>
      </c>
      <c r="I21" s="3310" t="s">
        <v>3050</v>
      </c>
      <c r="J21" s="3310" t="s">
        <v>3050</v>
      </c>
      <c r="K21" s="3310">
        <v>16908</v>
      </c>
      <c r="L21" s="3310">
        <v>16908</v>
      </c>
      <c r="M21" s="3310">
        <v>1266.05</v>
      </c>
      <c r="N21" s="3310">
        <v>0</v>
      </c>
      <c r="O21" s="3310" t="s">
        <v>3051</v>
      </c>
      <c r="P21" s="3310" t="s">
        <v>3052</v>
      </c>
    </row>
    <row r="22" spans="1:16">
      <c r="A22" s="3310" t="s">
        <v>3054</v>
      </c>
      <c r="B22" s="3310" t="s">
        <v>3023</v>
      </c>
      <c r="C22" s="3310" t="s">
        <v>3024</v>
      </c>
      <c r="D22" s="3310">
        <v>31619.58</v>
      </c>
      <c r="E22" s="3310">
        <v>94858.74</v>
      </c>
      <c r="F22" s="3310" t="s">
        <v>3055</v>
      </c>
      <c r="G22" s="3310" t="s">
        <v>3026</v>
      </c>
      <c r="H22" s="3310" t="s">
        <v>3049</v>
      </c>
      <c r="I22" s="3310" t="s">
        <v>3056</v>
      </c>
      <c r="J22" s="3310" t="s">
        <v>3056</v>
      </c>
      <c r="K22" s="3310">
        <v>5930</v>
      </c>
      <c r="L22" s="3310">
        <v>5930</v>
      </c>
      <c r="M22" s="3310">
        <v>625.13</v>
      </c>
      <c r="N22" s="3310">
        <v>0</v>
      </c>
      <c r="O22" s="3310" t="s">
        <v>3057</v>
      </c>
      <c r="P22" s="3310" t="s">
        <v>3039</v>
      </c>
    </row>
    <row r="23" spans="1:16">
      <c r="A23" s="3310" t="s">
        <v>3054</v>
      </c>
      <c r="B23" s="3310" t="s">
        <v>3023</v>
      </c>
      <c r="C23" s="3310" t="s">
        <v>3024</v>
      </c>
      <c r="D23" s="3310">
        <v>44141.71</v>
      </c>
      <c r="E23" s="3310">
        <v>97111.76</v>
      </c>
      <c r="F23" s="3310" t="s">
        <v>3058</v>
      </c>
      <c r="G23" s="3310" t="s">
        <v>3026</v>
      </c>
      <c r="H23" s="3310" t="s">
        <v>3049</v>
      </c>
      <c r="I23" s="3310" t="s">
        <v>3056</v>
      </c>
      <c r="J23" s="3310" t="s">
        <v>3056</v>
      </c>
      <c r="K23" s="3310">
        <v>6070</v>
      </c>
      <c r="L23" s="3310">
        <v>6070</v>
      </c>
      <c r="M23" s="3310">
        <v>625.04</v>
      </c>
      <c r="N23" s="3310">
        <v>0</v>
      </c>
      <c r="O23" s="3310" t="s">
        <v>3057</v>
      </c>
      <c r="P23" s="3310" t="s">
        <v>3039</v>
      </c>
    </row>
    <row r="24" spans="1:16">
      <c r="A24" s="3310" t="s">
        <v>3059</v>
      </c>
      <c r="B24" s="3310" t="s">
        <v>3023</v>
      </c>
      <c r="C24" s="3310" t="s">
        <v>3024</v>
      </c>
      <c r="D24" s="3310">
        <v>31603</v>
      </c>
      <c r="E24" s="3310">
        <v>63206</v>
      </c>
      <c r="F24" s="3310" t="s">
        <v>3025</v>
      </c>
      <c r="G24" s="3310" t="s">
        <v>3026</v>
      </c>
      <c r="H24" s="3310" t="s">
        <v>3049</v>
      </c>
      <c r="I24" s="3310" t="s">
        <v>3060</v>
      </c>
      <c r="J24" s="3310" t="s">
        <v>3060</v>
      </c>
      <c r="K24" s="3310">
        <v>13272</v>
      </c>
      <c r="L24" s="3310">
        <v>13290</v>
      </c>
      <c r="M24" s="3310">
        <v>2102.65</v>
      </c>
      <c r="N24" s="3310">
        <v>0.14000000000000001</v>
      </c>
      <c r="O24" s="3310" t="s">
        <v>3061</v>
      </c>
      <c r="P24" s="3310" t="s">
        <v>3039</v>
      </c>
    </row>
    <row r="25" spans="1:16">
      <c r="A25" s="3310" t="s">
        <v>3059</v>
      </c>
      <c r="B25" s="3310" t="s">
        <v>3023</v>
      </c>
      <c r="C25" s="3310" t="s">
        <v>3024</v>
      </c>
      <c r="D25" s="3310">
        <v>45893</v>
      </c>
      <c r="E25" s="3310">
        <v>91786</v>
      </c>
      <c r="F25" s="3310" t="s">
        <v>3025</v>
      </c>
      <c r="G25" s="3310" t="s">
        <v>3026</v>
      </c>
      <c r="H25" s="3310" t="s">
        <v>3049</v>
      </c>
      <c r="I25" s="3310" t="s">
        <v>3060</v>
      </c>
      <c r="J25" s="3310" t="s">
        <v>3060</v>
      </c>
      <c r="K25" s="3310">
        <v>19276</v>
      </c>
      <c r="L25" s="3310">
        <v>19276</v>
      </c>
      <c r="M25" s="3310">
        <v>2100.09</v>
      </c>
      <c r="N25" s="3310">
        <v>0</v>
      </c>
      <c r="O25" s="3310" t="s">
        <v>3061</v>
      </c>
      <c r="P25" s="3310" t="s">
        <v>3039</v>
      </c>
    </row>
    <row r="26" spans="1:16">
      <c r="A26" s="3310" t="s">
        <v>3062</v>
      </c>
      <c r="B26" s="3310" t="s">
        <v>3023</v>
      </c>
      <c r="C26" s="3310" t="s">
        <v>3063</v>
      </c>
      <c r="D26" s="3310">
        <v>45139.98</v>
      </c>
      <c r="E26" s="3310">
        <v>67709.97</v>
      </c>
      <c r="F26" s="3310" t="s">
        <v>3064</v>
      </c>
      <c r="G26" s="3310" t="s">
        <v>3026</v>
      </c>
      <c r="H26" s="3310" t="s">
        <v>3065</v>
      </c>
      <c r="I26" s="3310" t="s">
        <v>3066</v>
      </c>
      <c r="J26" s="3310" t="s">
        <v>3066</v>
      </c>
      <c r="K26" s="3310">
        <v>18959</v>
      </c>
      <c r="L26" s="3310">
        <v>19670</v>
      </c>
      <c r="M26" s="3310">
        <v>2905.03</v>
      </c>
      <c r="N26" s="3310">
        <v>3.75</v>
      </c>
      <c r="O26" s="3310" t="s">
        <v>3067</v>
      </c>
      <c r="P26" s="3310" t="s">
        <v>3030</v>
      </c>
    </row>
    <row r="27" spans="1:16">
      <c r="A27" s="3310" t="s">
        <v>3068</v>
      </c>
      <c r="B27" s="3310" t="s">
        <v>3023</v>
      </c>
      <c r="C27" s="3310" t="s">
        <v>3024</v>
      </c>
      <c r="D27" s="3310">
        <v>34345.24</v>
      </c>
      <c r="E27" s="3310">
        <v>68690.48</v>
      </c>
      <c r="F27" s="3310" t="s">
        <v>3025</v>
      </c>
      <c r="G27" s="3310" t="s">
        <v>3026</v>
      </c>
      <c r="H27" s="3310" t="s">
        <v>3049</v>
      </c>
      <c r="I27" s="3310" t="s">
        <v>3069</v>
      </c>
      <c r="J27" s="3310" t="s">
        <v>3069</v>
      </c>
      <c r="K27" s="3310">
        <v>12262</v>
      </c>
      <c r="L27" s="3310">
        <v>13450</v>
      </c>
      <c r="M27" s="3310">
        <v>1958.05</v>
      </c>
      <c r="N27" s="3310">
        <v>9.69</v>
      </c>
      <c r="O27" s="3310" t="s">
        <v>3070</v>
      </c>
      <c r="P27" s="3310" t="s">
        <v>3030</v>
      </c>
    </row>
    <row r="28" spans="1:16">
      <c r="A28" s="3310" t="s">
        <v>3062</v>
      </c>
      <c r="B28" s="3310" t="s">
        <v>3023</v>
      </c>
      <c r="C28" s="3310" t="s">
        <v>3024</v>
      </c>
      <c r="D28" s="3310">
        <v>65859.02</v>
      </c>
      <c r="E28" s="3310">
        <v>98788.53</v>
      </c>
      <c r="F28" s="3310" t="s">
        <v>3064</v>
      </c>
      <c r="G28" s="3310" t="s">
        <v>3026</v>
      </c>
      <c r="H28" s="3310" t="s">
        <v>3049</v>
      </c>
      <c r="I28" s="3310" t="s">
        <v>3069</v>
      </c>
      <c r="J28" s="3310" t="s">
        <v>3069</v>
      </c>
      <c r="K28" s="3310">
        <v>27662</v>
      </c>
      <c r="L28" s="3310">
        <v>29050</v>
      </c>
      <c r="M28" s="3310">
        <v>2940.61</v>
      </c>
      <c r="N28" s="3310">
        <v>5.0199999999999996</v>
      </c>
      <c r="O28" s="3310" t="s">
        <v>3071</v>
      </c>
      <c r="P28" s="3310" t="s">
        <v>3039</v>
      </c>
    </row>
    <row r="29" spans="1:16">
      <c r="A29" s="3310" t="s">
        <v>3068</v>
      </c>
      <c r="B29" s="3310" t="s">
        <v>3023</v>
      </c>
      <c r="C29" s="3310" t="s">
        <v>3024</v>
      </c>
      <c r="D29" s="3310">
        <v>45312.160000000003</v>
      </c>
      <c r="E29" s="3310">
        <v>90624.320000000007</v>
      </c>
      <c r="F29" s="3310" t="s">
        <v>3025</v>
      </c>
      <c r="G29" s="3310" t="s">
        <v>3026</v>
      </c>
      <c r="H29" s="3310" t="s">
        <v>3049</v>
      </c>
      <c r="I29" s="3310" t="s">
        <v>3069</v>
      </c>
      <c r="J29" s="3310" t="s">
        <v>3069</v>
      </c>
      <c r="K29" s="3310">
        <v>16177</v>
      </c>
      <c r="L29" s="3310">
        <v>17700</v>
      </c>
      <c r="M29" s="3310">
        <v>1953.11</v>
      </c>
      <c r="N29" s="3310">
        <v>9.41</v>
      </c>
      <c r="O29" s="3310" t="s">
        <v>3072</v>
      </c>
      <c r="P29" s="3310" t="s">
        <v>3030</v>
      </c>
    </row>
    <row r="30" spans="1:16">
      <c r="A30" s="3310" t="s">
        <v>3073</v>
      </c>
      <c r="B30" s="3310" t="s">
        <v>3023</v>
      </c>
      <c r="C30" s="3310" t="s">
        <v>3024</v>
      </c>
      <c r="D30" s="3310">
        <v>33514.51</v>
      </c>
      <c r="E30" s="3310">
        <v>67029.02</v>
      </c>
      <c r="F30" s="3310" t="s">
        <v>3025</v>
      </c>
      <c r="G30" s="3310" t="s">
        <v>3026</v>
      </c>
      <c r="H30" s="3310" t="s">
        <v>3049</v>
      </c>
      <c r="I30" s="3310" t="s">
        <v>3069</v>
      </c>
      <c r="J30" s="3310" t="s">
        <v>3069</v>
      </c>
      <c r="K30" s="3310">
        <v>13071</v>
      </c>
      <c r="L30" s="3310">
        <v>14150</v>
      </c>
      <c r="M30" s="3310">
        <v>2111.0300000000002</v>
      </c>
      <c r="N30" s="3310">
        <v>8.25</v>
      </c>
      <c r="O30" s="3310" t="s">
        <v>3072</v>
      </c>
      <c r="P30" s="3310" t="s">
        <v>3030</v>
      </c>
    </row>
    <row r="31" spans="1:16">
      <c r="A31" s="3310" t="s">
        <v>3074</v>
      </c>
      <c r="B31" s="3310" t="s">
        <v>3023</v>
      </c>
      <c r="C31" s="3310" t="s">
        <v>3024</v>
      </c>
      <c r="D31" s="3310">
        <v>12131.39</v>
      </c>
      <c r="E31" s="3310">
        <v>37000.74</v>
      </c>
      <c r="F31" s="3310" t="s">
        <v>3075</v>
      </c>
      <c r="G31" s="3310" t="s">
        <v>3026</v>
      </c>
      <c r="H31" s="3310" t="s">
        <v>3049</v>
      </c>
      <c r="I31" s="3310" t="s">
        <v>3076</v>
      </c>
      <c r="J31" s="3310" t="s">
        <v>3076</v>
      </c>
      <c r="K31" s="3310">
        <v>5096</v>
      </c>
      <c r="L31" s="3310">
        <v>5106</v>
      </c>
      <c r="M31" s="3310">
        <v>1379.97</v>
      </c>
      <c r="N31" s="3310">
        <v>0.2</v>
      </c>
      <c r="O31" s="3310" t="s">
        <v>3072</v>
      </c>
      <c r="P31" s="3310" t="s">
        <v>3030</v>
      </c>
    </row>
    <row r="32" spans="1:16">
      <c r="A32" s="3310" t="s">
        <v>3077</v>
      </c>
      <c r="B32" s="3310" t="s">
        <v>3023</v>
      </c>
      <c r="C32" s="3310" t="s">
        <v>3024</v>
      </c>
      <c r="D32" s="3310">
        <v>28877.77</v>
      </c>
      <c r="E32" s="3310">
        <v>72194.429999999993</v>
      </c>
      <c r="F32" s="3310" t="s">
        <v>3048</v>
      </c>
      <c r="G32" s="3310" t="s">
        <v>3026</v>
      </c>
      <c r="H32" s="3310" t="s">
        <v>3049</v>
      </c>
      <c r="I32" s="3310" t="s">
        <v>3078</v>
      </c>
      <c r="J32" s="3310" t="s">
        <v>3078</v>
      </c>
      <c r="K32" s="3310">
        <v>13200</v>
      </c>
      <c r="L32" s="3310">
        <v>13200</v>
      </c>
      <c r="M32" s="3310">
        <v>1828.4</v>
      </c>
      <c r="N32" s="3310">
        <v>0</v>
      </c>
      <c r="O32" s="3310" t="s">
        <v>3079</v>
      </c>
      <c r="P32" s="3310" t="s">
        <v>3034</v>
      </c>
    </row>
    <row r="33" spans="1:17">
      <c r="A33" s="3313" t="s">
        <v>3080</v>
      </c>
      <c r="B33" s="3313" t="s">
        <v>3023</v>
      </c>
      <c r="C33" s="3313" t="s">
        <v>3024</v>
      </c>
      <c r="D33" s="3313">
        <v>38976.44</v>
      </c>
      <c r="E33" s="3313">
        <v>93543.46</v>
      </c>
      <c r="F33" s="3313" t="s">
        <v>3081</v>
      </c>
      <c r="G33" s="3313" t="s">
        <v>3026</v>
      </c>
      <c r="H33" s="3313" t="s">
        <v>3049</v>
      </c>
      <c r="I33" s="3313" t="s">
        <v>3082</v>
      </c>
      <c r="J33" s="3313" t="s">
        <v>3082</v>
      </c>
      <c r="K33" s="3313">
        <v>14580</v>
      </c>
      <c r="L33" s="3313">
        <v>14580</v>
      </c>
      <c r="M33" s="3313">
        <v>1558.63</v>
      </c>
      <c r="N33" s="3313">
        <v>0</v>
      </c>
      <c r="O33" s="3313" t="s">
        <v>3083</v>
      </c>
      <c r="P33" s="3313" t="s">
        <v>3039</v>
      </c>
    </row>
    <row r="34" spans="1:17">
      <c r="A34" s="3313" t="s">
        <v>3080</v>
      </c>
      <c r="B34" s="3313" t="s">
        <v>3023</v>
      </c>
      <c r="C34" s="3313" t="s">
        <v>3024</v>
      </c>
      <c r="D34" s="3313">
        <v>36470.199999999997</v>
      </c>
      <c r="E34" s="3313">
        <v>87528.48</v>
      </c>
      <c r="F34" s="3313" t="s">
        <v>3081</v>
      </c>
      <c r="G34" s="3313" t="s">
        <v>3026</v>
      </c>
      <c r="H34" s="3313" t="s">
        <v>3049</v>
      </c>
      <c r="I34" s="3313" t="s">
        <v>3082</v>
      </c>
      <c r="J34" s="3313" t="s">
        <v>3082</v>
      </c>
      <c r="K34" s="3313">
        <v>13640</v>
      </c>
      <c r="L34" s="3313">
        <v>13640</v>
      </c>
      <c r="M34" s="3313">
        <v>1558.34</v>
      </c>
      <c r="N34" s="3313">
        <v>0</v>
      </c>
      <c r="O34" s="3313" t="s">
        <v>3083</v>
      </c>
      <c r="P34" s="3313" t="s">
        <v>3039</v>
      </c>
      <c r="Q34">
        <f>SUM(L33:L40)</f>
        <v>117940</v>
      </c>
    </row>
    <row r="35" spans="1:17">
      <c r="A35" s="3313" t="s">
        <v>3080</v>
      </c>
      <c r="B35" s="3313" t="s">
        <v>3023</v>
      </c>
      <c r="C35" s="3313" t="s">
        <v>3024</v>
      </c>
      <c r="D35" s="3313">
        <v>34172.800000000003</v>
      </c>
      <c r="E35" s="3313">
        <v>58093.760000000002</v>
      </c>
      <c r="F35" s="3313" t="s">
        <v>3084</v>
      </c>
      <c r="G35" s="3313" t="s">
        <v>3026</v>
      </c>
      <c r="H35" s="3313" t="s">
        <v>3049</v>
      </c>
      <c r="I35" s="3313" t="s">
        <v>3082</v>
      </c>
      <c r="J35" s="3313" t="s">
        <v>3082</v>
      </c>
      <c r="K35" s="3313">
        <v>12780</v>
      </c>
      <c r="L35" s="3313">
        <v>12780</v>
      </c>
      <c r="M35" s="3313">
        <v>2199.88</v>
      </c>
      <c r="N35" s="3313">
        <v>0</v>
      </c>
      <c r="O35" s="3313" t="s">
        <v>3083</v>
      </c>
      <c r="P35" s="3313" t="s">
        <v>3039</v>
      </c>
      <c r="Q35">
        <f>SUM(E33:E40)</f>
        <v>693364.46</v>
      </c>
    </row>
    <row r="36" spans="1:17" s="3315" customFormat="1">
      <c r="A36" s="3314" t="s">
        <v>3080</v>
      </c>
      <c r="B36" s="3314" t="s">
        <v>3023</v>
      </c>
      <c r="C36" s="3314" t="s">
        <v>3024</v>
      </c>
      <c r="D36" s="3314">
        <v>34518.15</v>
      </c>
      <c r="E36" s="3314">
        <v>69036.3</v>
      </c>
      <c r="F36" s="3314" t="s">
        <v>3025</v>
      </c>
      <c r="G36" s="3314" t="s">
        <v>3026</v>
      </c>
      <c r="H36" s="3314" t="s">
        <v>3049</v>
      </c>
      <c r="I36" s="3314" t="s">
        <v>3082</v>
      </c>
      <c r="J36" s="3314" t="s">
        <v>3082</v>
      </c>
      <c r="K36" s="3314">
        <v>12910</v>
      </c>
      <c r="L36" s="3314">
        <v>12910</v>
      </c>
      <c r="M36" s="3314">
        <v>1870.02</v>
      </c>
      <c r="N36" s="3314">
        <v>0</v>
      </c>
      <c r="O36" s="3314" t="s">
        <v>3085</v>
      </c>
      <c r="P36" s="3314" t="s">
        <v>3039</v>
      </c>
      <c r="Q36" s="3315">
        <f>Q34/Q35*10000</f>
        <v>1700.9813280594162</v>
      </c>
    </row>
    <row r="37" spans="1:17">
      <c r="A37" s="3313" t="s">
        <v>3080</v>
      </c>
      <c r="B37" s="3313" t="s">
        <v>3023</v>
      </c>
      <c r="C37" s="3313" t="s">
        <v>3024</v>
      </c>
      <c r="D37" s="3313">
        <v>42586.62</v>
      </c>
      <c r="E37" s="3313">
        <v>85173.24</v>
      </c>
      <c r="F37" s="3313" t="s">
        <v>3025</v>
      </c>
      <c r="G37" s="3313" t="s">
        <v>3026</v>
      </c>
      <c r="H37" s="3313" t="s">
        <v>3049</v>
      </c>
      <c r="I37" s="3313" t="s">
        <v>3082</v>
      </c>
      <c r="J37" s="3313" t="s">
        <v>3082</v>
      </c>
      <c r="K37" s="3313">
        <v>15920</v>
      </c>
      <c r="L37" s="3313">
        <v>15920</v>
      </c>
      <c r="M37" s="3313">
        <v>1869.13</v>
      </c>
      <c r="N37" s="3313">
        <v>0</v>
      </c>
      <c r="O37" s="3313" t="s">
        <v>3085</v>
      </c>
      <c r="P37" s="3313" t="s">
        <v>3039</v>
      </c>
    </row>
    <row r="38" spans="1:17">
      <c r="A38" s="3313" t="s">
        <v>3080</v>
      </c>
      <c r="B38" s="3313" t="s">
        <v>3023</v>
      </c>
      <c r="C38" s="3313" t="s">
        <v>3024</v>
      </c>
      <c r="D38" s="3313">
        <v>43177.36</v>
      </c>
      <c r="E38" s="3313">
        <v>86354.72</v>
      </c>
      <c r="F38" s="3313" t="s">
        <v>3025</v>
      </c>
      <c r="G38" s="3313" t="s">
        <v>3026</v>
      </c>
      <c r="H38" s="3313" t="s">
        <v>3049</v>
      </c>
      <c r="I38" s="3313" t="s">
        <v>3082</v>
      </c>
      <c r="J38" s="3313" t="s">
        <v>3082</v>
      </c>
      <c r="K38" s="3313">
        <v>16150</v>
      </c>
      <c r="L38" s="3313">
        <v>16150</v>
      </c>
      <c r="M38" s="3313">
        <v>1870.19</v>
      </c>
      <c r="N38" s="3313">
        <v>0</v>
      </c>
      <c r="O38" s="3313" t="s">
        <v>3085</v>
      </c>
      <c r="P38" s="3313" t="s">
        <v>3039</v>
      </c>
    </row>
    <row r="39" spans="1:17">
      <c r="A39" s="3313" t="s">
        <v>3086</v>
      </c>
      <c r="B39" s="3313" t="s">
        <v>3023</v>
      </c>
      <c r="C39" s="3313" t="s">
        <v>3024</v>
      </c>
      <c r="D39" s="3313">
        <v>40879.94</v>
      </c>
      <c r="E39" s="3313">
        <v>102199.85</v>
      </c>
      <c r="F39" s="3313" t="s">
        <v>3041</v>
      </c>
      <c r="G39" s="3313" t="s">
        <v>3026</v>
      </c>
      <c r="H39" s="3313" t="s">
        <v>3049</v>
      </c>
      <c r="I39" s="3313" t="s">
        <v>3082</v>
      </c>
      <c r="J39" s="3313" t="s">
        <v>3082</v>
      </c>
      <c r="K39" s="3313">
        <v>15290</v>
      </c>
      <c r="L39" s="3313">
        <v>15290</v>
      </c>
      <c r="M39" s="3313">
        <v>1496.08</v>
      </c>
      <c r="N39" s="3313">
        <v>0</v>
      </c>
      <c r="O39" s="3313" t="s">
        <v>3083</v>
      </c>
      <c r="P39" s="3313" t="s">
        <v>3039</v>
      </c>
    </row>
    <row r="40" spans="1:17">
      <c r="A40" s="3313" t="s">
        <v>3086</v>
      </c>
      <c r="B40" s="3313" t="s">
        <v>3023</v>
      </c>
      <c r="C40" s="3313" t="s">
        <v>3024</v>
      </c>
      <c r="D40" s="3313">
        <v>44573.86</v>
      </c>
      <c r="E40" s="3313">
        <v>111434.65</v>
      </c>
      <c r="F40" s="3313" t="s">
        <v>3041</v>
      </c>
      <c r="G40" s="3313" t="s">
        <v>3026</v>
      </c>
      <c r="H40" s="3313" t="s">
        <v>3049</v>
      </c>
      <c r="I40" s="3313" t="s">
        <v>3082</v>
      </c>
      <c r="J40" s="3313" t="s">
        <v>3082</v>
      </c>
      <c r="K40" s="3313">
        <v>16670</v>
      </c>
      <c r="L40" s="3313">
        <v>16670</v>
      </c>
      <c r="M40" s="3313">
        <v>1495.94</v>
      </c>
      <c r="N40" s="3313">
        <v>0</v>
      </c>
      <c r="O40" s="3313" t="s">
        <v>3083</v>
      </c>
      <c r="P40" s="3313" t="s">
        <v>3039</v>
      </c>
    </row>
    <row r="41" spans="1:17">
      <c r="A41" s="3310" t="s">
        <v>3087</v>
      </c>
      <c r="B41" s="3310" t="s">
        <v>3023</v>
      </c>
      <c r="C41" s="3310" t="s">
        <v>3024</v>
      </c>
      <c r="D41" s="3310">
        <v>52601.01</v>
      </c>
      <c r="E41" s="3310">
        <v>156751.01</v>
      </c>
      <c r="F41" s="3310" t="s">
        <v>3036</v>
      </c>
      <c r="G41" s="3310" t="s">
        <v>3026</v>
      </c>
      <c r="H41" s="3310" t="s">
        <v>3049</v>
      </c>
      <c r="I41" s="3310" t="s">
        <v>3088</v>
      </c>
      <c r="J41" s="3310" t="s">
        <v>3088</v>
      </c>
      <c r="K41" s="3310">
        <v>18069</v>
      </c>
      <c r="L41" s="3310">
        <v>20139</v>
      </c>
      <c r="M41" s="3310">
        <v>1284.77</v>
      </c>
      <c r="N41" s="3310">
        <v>11.46</v>
      </c>
      <c r="O41" s="3310" t="s">
        <v>3089</v>
      </c>
      <c r="P41" s="3310" t="s">
        <v>3039</v>
      </c>
    </row>
    <row r="42" spans="1:17">
      <c r="A42" s="3310" t="s">
        <v>3087</v>
      </c>
      <c r="B42" s="3310" t="s">
        <v>3023</v>
      </c>
      <c r="C42" s="3310" t="s">
        <v>3024</v>
      </c>
      <c r="D42" s="3310">
        <v>26352.44</v>
      </c>
      <c r="E42" s="3310">
        <v>26879.49</v>
      </c>
      <c r="F42" s="3310" t="s">
        <v>3090</v>
      </c>
      <c r="G42" s="3310" t="s">
        <v>3026</v>
      </c>
      <c r="H42" s="3310" t="s">
        <v>3049</v>
      </c>
      <c r="I42" s="3310" t="s">
        <v>3088</v>
      </c>
      <c r="J42" s="3310" t="s">
        <v>3088</v>
      </c>
      <c r="K42" s="3310">
        <v>9053</v>
      </c>
      <c r="L42" s="3310">
        <v>10088</v>
      </c>
      <c r="M42" s="3310">
        <v>3753.05</v>
      </c>
      <c r="N42" s="3310">
        <v>11.43</v>
      </c>
      <c r="O42" s="3310" t="s">
        <v>3089</v>
      </c>
      <c r="P42" s="3310" t="s">
        <v>3039</v>
      </c>
    </row>
    <row r="43" spans="1:17">
      <c r="A43" s="3313" t="s">
        <v>3091</v>
      </c>
      <c r="B43" s="3313" t="s">
        <v>3023</v>
      </c>
      <c r="C43" s="3313" t="s">
        <v>3024</v>
      </c>
      <c r="D43" s="3313">
        <v>29209.22</v>
      </c>
      <c r="E43" s="3313">
        <v>52576.6</v>
      </c>
      <c r="F43" s="3313" t="s">
        <v>3092</v>
      </c>
      <c r="G43" s="3313" t="s">
        <v>3026</v>
      </c>
      <c r="H43" s="3313" t="s">
        <v>3049</v>
      </c>
      <c r="I43" s="3313" t="s">
        <v>3093</v>
      </c>
      <c r="J43" s="3313" t="s">
        <v>3093</v>
      </c>
      <c r="K43" s="3313">
        <v>9640</v>
      </c>
      <c r="L43" s="3313">
        <v>9840</v>
      </c>
      <c r="M43" s="3313">
        <v>1871.55</v>
      </c>
      <c r="N43" s="3313">
        <v>2.0699999999999998</v>
      </c>
      <c r="O43" s="3313" t="s">
        <v>3094</v>
      </c>
      <c r="P43" s="3313" t="s">
        <v>3039</v>
      </c>
    </row>
    <row r="44" spans="1:17">
      <c r="A44" s="3313" t="s">
        <v>3091</v>
      </c>
      <c r="B44" s="3313" t="s">
        <v>3023</v>
      </c>
      <c r="C44" s="3313" t="s">
        <v>3024</v>
      </c>
      <c r="D44" s="3313">
        <v>1985.28</v>
      </c>
      <c r="E44" s="3313">
        <v>3970.56</v>
      </c>
      <c r="F44" s="3313" t="s">
        <v>3025</v>
      </c>
      <c r="G44" s="3313" t="s">
        <v>3026</v>
      </c>
      <c r="H44" s="3313" t="s">
        <v>3049</v>
      </c>
      <c r="I44" s="3313" t="s">
        <v>3093</v>
      </c>
      <c r="J44" s="3313" t="s">
        <v>3093</v>
      </c>
      <c r="K44" s="3313">
        <v>660</v>
      </c>
      <c r="L44" s="3313">
        <v>760</v>
      </c>
      <c r="M44" s="3313">
        <v>1914.08</v>
      </c>
      <c r="N44" s="3313">
        <v>15.15</v>
      </c>
      <c r="O44" s="3313" t="s">
        <v>3094</v>
      </c>
      <c r="P44" s="3313" t="s">
        <v>3039</v>
      </c>
    </row>
    <row r="45" spans="1:17" s="3315" customFormat="1">
      <c r="A45" s="3314" t="s">
        <v>3091</v>
      </c>
      <c r="B45" s="3314" t="s">
        <v>3023</v>
      </c>
      <c r="C45" s="3314" t="s">
        <v>3024</v>
      </c>
      <c r="D45" s="3314">
        <v>9959.77</v>
      </c>
      <c r="E45" s="3314">
        <v>19919.54</v>
      </c>
      <c r="F45" s="3314" t="s">
        <v>3025</v>
      </c>
      <c r="G45" s="3314" t="s">
        <v>3026</v>
      </c>
      <c r="H45" s="3314" t="s">
        <v>3049</v>
      </c>
      <c r="I45" s="3314" t="s">
        <v>3093</v>
      </c>
      <c r="J45" s="3314" t="s">
        <v>3093</v>
      </c>
      <c r="K45" s="3314">
        <v>3290</v>
      </c>
      <c r="L45" s="3314">
        <v>3390</v>
      </c>
      <c r="M45" s="3314">
        <v>1701.84</v>
      </c>
      <c r="N45" s="3314">
        <v>3.04</v>
      </c>
      <c r="O45" s="3314" t="s">
        <v>3094</v>
      </c>
      <c r="P45" s="3314" t="s">
        <v>3039</v>
      </c>
      <c r="Q45" s="3315">
        <f>SUM(L43:L53)</f>
        <v>74200</v>
      </c>
    </row>
    <row r="46" spans="1:17">
      <c r="A46" s="3313" t="s">
        <v>3091</v>
      </c>
      <c r="B46" s="3313" t="s">
        <v>3023</v>
      </c>
      <c r="C46" s="3313" t="s">
        <v>3024</v>
      </c>
      <c r="D46" s="3313">
        <v>11413.42</v>
      </c>
      <c r="E46" s="3313">
        <v>20544.16</v>
      </c>
      <c r="F46" s="3313" t="s">
        <v>3092</v>
      </c>
      <c r="G46" s="3313" t="s">
        <v>3026</v>
      </c>
      <c r="H46" s="3313" t="s">
        <v>3049</v>
      </c>
      <c r="I46" s="3313" t="s">
        <v>3093</v>
      </c>
      <c r="J46" s="3313" t="s">
        <v>3093</v>
      </c>
      <c r="K46" s="3313">
        <v>3770</v>
      </c>
      <c r="L46" s="3313">
        <v>3870</v>
      </c>
      <c r="M46" s="3313">
        <v>1883.75</v>
      </c>
      <c r="N46" s="3313">
        <v>2.65</v>
      </c>
      <c r="O46" s="3313" t="s">
        <v>3094</v>
      </c>
      <c r="P46" s="3313" t="s">
        <v>3039</v>
      </c>
      <c r="Q46">
        <f>SUM(E43:E53)</f>
        <v>424778.56</v>
      </c>
    </row>
    <row r="47" spans="1:17">
      <c r="A47" s="3313" t="s">
        <v>3091</v>
      </c>
      <c r="B47" s="3313" t="s">
        <v>3023</v>
      </c>
      <c r="C47" s="3313" t="s">
        <v>3024</v>
      </c>
      <c r="D47" s="3313">
        <v>7495.98</v>
      </c>
      <c r="E47" s="3313">
        <v>22487.94</v>
      </c>
      <c r="F47" s="3313" t="s">
        <v>3095</v>
      </c>
      <c r="G47" s="3313" t="s">
        <v>3026</v>
      </c>
      <c r="H47" s="3313" t="s">
        <v>3049</v>
      </c>
      <c r="I47" s="3313" t="s">
        <v>3093</v>
      </c>
      <c r="J47" s="3313" t="s">
        <v>3093</v>
      </c>
      <c r="K47" s="3313">
        <v>2480</v>
      </c>
      <c r="L47" s="3313">
        <v>2580</v>
      </c>
      <c r="M47" s="3313">
        <v>1147.27</v>
      </c>
      <c r="N47" s="3313">
        <v>4.03</v>
      </c>
      <c r="O47" s="3313" t="s">
        <v>3094</v>
      </c>
      <c r="P47" s="3313" t="s">
        <v>3039</v>
      </c>
      <c r="Q47">
        <f>Q45/Q46*10000</f>
        <v>1746.7924934817802</v>
      </c>
    </row>
    <row r="48" spans="1:17">
      <c r="A48" s="3313" t="s">
        <v>3091</v>
      </c>
      <c r="B48" s="3313" t="s">
        <v>3023</v>
      </c>
      <c r="C48" s="3313" t="s">
        <v>3024</v>
      </c>
      <c r="D48" s="3313">
        <v>11127.4</v>
      </c>
      <c r="E48" s="3313">
        <v>22254.799999999999</v>
      </c>
      <c r="F48" s="3313" t="s">
        <v>3025</v>
      </c>
      <c r="G48" s="3313" t="s">
        <v>3026</v>
      </c>
      <c r="H48" s="3313" t="s">
        <v>3049</v>
      </c>
      <c r="I48" s="3313" t="s">
        <v>3093</v>
      </c>
      <c r="J48" s="3313" t="s">
        <v>3093</v>
      </c>
      <c r="K48" s="3313">
        <v>3680</v>
      </c>
      <c r="L48" s="3313">
        <v>3780</v>
      </c>
      <c r="M48" s="3313">
        <v>1698.5</v>
      </c>
      <c r="N48" s="3313">
        <v>2.72</v>
      </c>
      <c r="O48" s="3313" t="s">
        <v>3094</v>
      </c>
      <c r="P48" s="3313" t="s">
        <v>3039</v>
      </c>
    </row>
    <row r="49" spans="1:17">
      <c r="A49" s="3313" t="s">
        <v>3091</v>
      </c>
      <c r="B49" s="3313" t="s">
        <v>3023</v>
      </c>
      <c r="C49" s="3313" t="s">
        <v>3024</v>
      </c>
      <c r="D49" s="3313">
        <v>18192.740000000002</v>
      </c>
      <c r="E49" s="3313">
        <v>36385.480000000003</v>
      </c>
      <c r="F49" s="3313" t="s">
        <v>3025</v>
      </c>
      <c r="G49" s="3313" t="s">
        <v>3026</v>
      </c>
      <c r="H49" s="3313" t="s">
        <v>3049</v>
      </c>
      <c r="I49" s="3313" t="s">
        <v>3093</v>
      </c>
      <c r="J49" s="3313" t="s">
        <v>3093</v>
      </c>
      <c r="K49" s="3313">
        <v>6010</v>
      </c>
      <c r="L49" s="3313">
        <v>6110</v>
      </c>
      <c r="M49" s="3313">
        <v>1679.24</v>
      </c>
      <c r="N49" s="3313">
        <v>1.66</v>
      </c>
      <c r="O49" s="3313" t="s">
        <v>3094</v>
      </c>
      <c r="P49" s="3313" t="s">
        <v>3039</v>
      </c>
    </row>
    <row r="50" spans="1:17">
      <c r="A50" s="3313" t="s">
        <v>3091</v>
      </c>
      <c r="B50" s="3313" t="s">
        <v>3023</v>
      </c>
      <c r="C50" s="3313" t="s">
        <v>3024</v>
      </c>
      <c r="D50" s="3313">
        <v>5657.59</v>
      </c>
      <c r="E50" s="3313">
        <v>10183.66</v>
      </c>
      <c r="F50" s="3313" t="s">
        <v>3092</v>
      </c>
      <c r="G50" s="3313" t="s">
        <v>3026</v>
      </c>
      <c r="H50" s="3313" t="s">
        <v>3049</v>
      </c>
      <c r="I50" s="3313" t="s">
        <v>3093</v>
      </c>
      <c r="J50" s="3313" t="s">
        <v>3093</v>
      </c>
      <c r="K50" s="3313">
        <v>1870</v>
      </c>
      <c r="L50" s="3313">
        <v>1970</v>
      </c>
      <c r="M50" s="3313">
        <v>1934.47</v>
      </c>
      <c r="N50" s="3313">
        <v>5.35</v>
      </c>
      <c r="O50" s="3313" t="s">
        <v>3094</v>
      </c>
      <c r="P50" s="3313" t="s">
        <v>3039</v>
      </c>
    </row>
    <row r="51" spans="1:17">
      <c r="A51" s="3313" t="s">
        <v>3091</v>
      </c>
      <c r="B51" s="3313" t="s">
        <v>3023</v>
      </c>
      <c r="C51" s="3313" t="s">
        <v>3024</v>
      </c>
      <c r="D51" s="3313">
        <v>62578.68</v>
      </c>
      <c r="E51" s="3313">
        <v>112641.62</v>
      </c>
      <c r="F51" s="3313" t="s">
        <v>3092</v>
      </c>
      <c r="G51" s="3313" t="s">
        <v>3026</v>
      </c>
      <c r="H51" s="3313" t="s">
        <v>3049</v>
      </c>
      <c r="I51" s="3313" t="s">
        <v>3093</v>
      </c>
      <c r="J51" s="3313" t="s">
        <v>3093</v>
      </c>
      <c r="K51" s="3313">
        <v>20660</v>
      </c>
      <c r="L51" s="3313">
        <v>21060</v>
      </c>
      <c r="M51" s="3313">
        <v>1869.65</v>
      </c>
      <c r="N51" s="3313">
        <v>1.94</v>
      </c>
      <c r="O51" s="3313" t="s">
        <v>3094</v>
      </c>
      <c r="P51" s="3313" t="s">
        <v>3039</v>
      </c>
    </row>
    <row r="52" spans="1:17">
      <c r="A52" s="3313" t="s">
        <v>3091</v>
      </c>
      <c r="B52" s="3313" t="s">
        <v>3023</v>
      </c>
      <c r="C52" s="3313" t="s">
        <v>3024</v>
      </c>
      <c r="D52" s="3313">
        <v>36581.4</v>
      </c>
      <c r="E52" s="3313">
        <v>73162.8</v>
      </c>
      <c r="F52" s="3313" t="s">
        <v>3025</v>
      </c>
      <c r="G52" s="3313" t="s">
        <v>3026</v>
      </c>
      <c r="H52" s="3313" t="s">
        <v>3049</v>
      </c>
      <c r="I52" s="3313" t="s">
        <v>3093</v>
      </c>
      <c r="J52" s="3313" t="s">
        <v>3093</v>
      </c>
      <c r="K52" s="3313">
        <v>12080</v>
      </c>
      <c r="L52" s="3313">
        <v>12280</v>
      </c>
      <c r="M52" s="3313">
        <v>1678.45</v>
      </c>
      <c r="N52" s="3313">
        <v>1.66</v>
      </c>
      <c r="O52" s="3313" t="s">
        <v>3094</v>
      </c>
      <c r="P52" s="3313" t="s">
        <v>3039</v>
      </c>
    </row>
    <row r="53" spans="1:17">
      <c r="A53" s="3313" t="s">
        <v>3091</v>
      </c>
      <c r="B53" s="3313" t="s">
        <v>3023</v>
      </c>
      <c r="C53" s="3313" t="s">
        <v>3024</v>
      </c>
      <c r="D53" s="3313">
        <v>25325.7</v>
      </c>
      <c r="E53" s="3313">
        <v>50651.4</v>
      </c>
      <c r="F53" s="3313" t="s">
        <v>3025</v>
      </c>
      <c r="G53" s="3313" t="s">
        <v>3026</v>
      </c>
      <c r="H53" s="3313" t="s">
        <v>3049</v>
      </c>
      <c r="I53" s="3313" t="s">
        <v>3093</v>
      </c>
      <c r="J53" s="3313" t="s">
        <v>3093</v>
      </c>
      <c r="K53" s="3313">
        <v>8360</v>
      </c>
      <c r="L53" s="3313">
        <v>8560</v>
      </c>
      <c r="M53" s="3313">
        <v>1689.98</v>
      </c>
      <c r="N53" s="3313">
        <v>2.39</v>
      </c>
      <c r="O53" s="3313" t="s">
        <v>3094</v>
      </c>
      <c r="P53" s="3313" t="s">
        <v>3039</v>
      </c>
    </row>
    <row r="54" spans="1:17">
      <c r="A54" s="3316" t="s">
        <v>3096</v>
      </c>
      <c r="B54" s="3316" t="s">
        <v>3023</v>
      </c>
      <c r="C54" s="3316" t="s">
        <v>3024</v>
      </c>
      <c r="D54" s="3316">
        <v>35117</v>
      </c>
      <c r="E54" s="3316">
        <v>70234</v>
      </c>
      <c r="F54" s="3316" t="s">
        <v>3025</v>
      </c>
      <c r="G54" s="3316" t="s">
        <v>3026</v>
      </c>
      <c r="H54" s="3316" t="s">
        <v>3049</v>
      </c>
      <c r="I54" s="3316" t="s">
        <v>3097</v>
      </c>
      <c r="J54" s="3316" t="s">
        <v>3097</v>
      </c>
      <c r="K54" s="3316">
        <v>14751</v>
      </c>
      <c r="L54" s="3316">
        <v>14811</v>
      </c>
      <c r="M54" s="3316">
        <v>2108.8000000000002</v>
      </c>
      <c r="N54" s="3316">
        <v>0.41</v>
      </c>
      <c r="O54" s="3316" t="s">
        <v>3098</v>
      </c>
      <c r="P54" s="3316" t="s">
        <v>3039</v>
      </c>
    </row>
    <row r="55" spans="1:17">
      <c r="A55" s="3316" t="s">
        <v>3096</v>
      </c>
      <c r="B55" s="3316" t="s">
        <v>3023</v>
      </c>
      <c r="C55" s="3316" t="s">
        <v>3024</v>
      </c>
      <c r="D55" s="3316">
        <v>64543</v>
      </c>
      <c r="E55" s="3316">
        <v>129086</v>
      </c>
      <c r="F55" s="3316" t="s">
        <v>3025</v>
      </c>
      <c r="G55" s="3316" t="s">
        <v>3026</v>
      </c>
      <c r="H55" s="3316" t="s">
        <v>3049</v>
      </c>
      <c r="I55" s="3316" t="s">
        <v>3097</v>
      </c>
      <c r="J55" s="3316" t="s">
        <v>3097</v>
      </c>
      <c r="K55" s="3316">
        <v>27107</v>
      </c>
      <c r="L55" s="3316">
        <v>27167</v>
      </c>
      <c r="M55" s="3316">
        <v>2104.5700000000002</v>
      </c>
      <c r="N55" s="3316">
        <v>0.22</v>
      </c>
      <c r="O55" s="3316" t="s">
        <v>3098</v>
      </c>
      <c r="P55" s="3316" t="s">
        <v>3039</v>
      </c>
    </row>
    <row r="56" spans="1:17">
      <c r="A56" s="3316" t="s">
        <v>3096</v>
      </c>
      <c r="B56" s="3316" t="s">
        <v>3023</v>
      </c>
      <c r="C56" s="3316" t="s">
        <v>3024</v>
      </c>
      <c r="D56" s="3316">
        <v>51752</v>
      </c>
      <c r="E56" s="3316">
        <v>103504</v>
      </c>
      <c r="F56" s="3316" t="s">
        <v>3025</v>
      </c>
      <c r="G56" s="3316" t="s">
        <v>3026</v>
      </c>
      <c r="H56" s="3316" t="s">
        <v>3049</v>
      </c>
      <c r="I56" s="3316" t="s">
        <v>3097</v>
      </c>
      <c r="J56" s="3316" t="s">
        <v>3097</v>
      </c>
      <c r="K56" s="3316">
        <v>21737</v>
      </c>
      <c r="L56" s="3316">
        <v>21797</v>
      </c>
      <c r="M56" s="3316">
        <v>2105.9</v>
      </c>
      <c r="N56" s="3316">
        <v>0.28000000000000003</v>
      </c>
      <c r="O56" s="3316" t="s">
        <v>3098</v>
      </c>
      <c r="P56" s="3316" t="s">
        <v>3039</v>
      </c>
    </row>
    <row r="57" spans="1:17">
      <c r="A57" s="3316" t="s">
        <v>3099</v>
      </c>
      <c r="B57" s="3316" t="s">
        <v>3023</v>
      </c>
      <c r="C57" s="3316" t="s">
        <v>3024</v>
      </c>
      <c r="D57" s="3316">
        <v>35152.720000000001</v>
      </c>
      <c r="E57" s="3316">
        <v>87881.8</v>
      </c>
      <c r="F57" s="3316" t="s">
        <v>3041</v>
      </c>
      <c r="G57" s="3316" t="s">
        <v>3026</v>
      </c>
      <c r="H57" s="3316" t="s">
        <v>3049</v>
      </c>
      <c r="I57" s="3316" t="s">
        <v>3100</v>
      </c>
      <c r="J57" s="3316" t="s">
        <v>3100</v>
      </c>
      <c r="K57" s="3316">
        <v>5280</v>
      </c>
      <c r="L57" s="3316">
        <v>5500</v>
      </c>
      <c r="M57" s="3316">
        <v>625.84</v>
      </c>
      <c r="N57" s="3316">
        <v>4.17</v>
      </c>
      <c r="O57" s="3316" t="s">
        <v>3101</v>
      </c>
      <c r="P57" s="3316" t="s">
        <v>3039</v>
      </c>
    </row>
    <row r="58" spans="1:17">
      <c r="A58" s="3316" t="s">
        <v>3102</v>
      </c>
      <c r="B58" s="3316" t="s">
        <v>3023</v>
      </c>
      <c r="C58" s="3316" t="s">
        <v>3024</v>
      </c>
      <c r="D58" s="3316">
        <v>61812.78</v>
      </c>
      <c r="E58" s="3316">
        <v>123625.56</v>
      </c>
      <c r="F58" s="3316" t="s">
        <v>3025</v>
      </c>
      <c r="G58" s="3316" t="s">
        <v>3026</v>
      </c>
      <c r="H58" s="3316" t="s">
        <v>3049</v>
      </c>
      <c r="I58" s="3316" t="s">
        <v>3103</v>
      </c>
      <c r="J58" s="3316" t="s">
        <v>3103</v>
      </c>
      <c r="K58" s="3316">
        <v>27820</v>
      </c>
      <c r="L58" s="3316">
        <v>33800</v>
      </c>
      <c r="M58" s="3316">
        <v>2734.05</v>
      </c>
      <c r="N58" s="3316">
        <v>21.5</v>
      </c>
      <c r="O58" s="3316" t="s">
        <v>3101</v>
      </c>
      <c r="P58" s="3316" t="s">
        <v>3039</v>
      </c>
    </row>
    <row r="59" spans="1:17">
      <c r="A59" s="3316" t="s">
        <v>3102</v>
      </c>
      <c r="B59" s="3316" t="s">
        <v>3023</v>
      </c>
      <c r="C59" s="3316" t="s">
        <v>3024</v>
      </c>
      <c r="D59" s="3316">
        <v>47295.03</v>
      </c>
      <c r="E59" s="3316">
        <v>85131.05</v>
      </c>
      <c r="F59" s="3316" t="s">
        <v>3092</v>
      </c>
      <c r="G59" s="3316" t="s">
        <v>3026</v>
      </c>
      <c r="H59" s="3316" t="s">
        <v>3049</v>
      </c>
      <c r="I59" s="3316" t="s">
        <v>3103</v>
      </c>
      <c r="J59" s="3316" t="s">
        <v>3103</v>
      </c>
      <c r="K59" s="3316">
        <v>21290</v>
      </c>
      <c r="L59" s="3316">
        <v>25600</v>
      </c>
      <c r="M59" s="3316">
        <v>3007.13</v>
      </c>
      <c r="N59" s="3316">
        <v>20.239999999999998</v>
      </c>
      <c r="O59" s="3316" t="s">
        <v>3101</v>
      </c>
      <c r="P59" s="3316" t="s">
        <v>3039</v>
      </c>
    </row>
    <row r="60" spans="1:17">
      <c r="A60" s="3316" t="s">
        <v>3099</v>
      </c>
      <c r="B60" s="3316" t="s">
        <v>3023</v>
      </c>
      <c r="C60" s="3316" t="s">
        <v>3024</v>
      </c>
      <c r="D60" s="3316">
        <v>11265.3</v>
      </c>
      <c r="E60" s="3316">
        <v>16897.95</v>
      </c>
      <c r="F60" s="3316" t="s">
        <v>3064</v>
      </c>
      <c r="G60" s="3316" t="s">
        <v>3026</v>
      </c>
      <c r="H60" s="3316" t="s">
        <v>3049</v>
      </c>
      <c r="I60" s="3316" t="s">
        <v>3103</v>
      </c>
      <c r="J60" s="3316" t="s">
        <v>3103</v>
      </c>
      <c r="K60" s="3316">
        <v>3800</v>
      </c>
      <c r="L60" s="3316">
        <v>6000</v>
      </c>
      <c r="M60" s="3316">
        <v>3550.73</v>
      </c>
      <c r="N60" s="3316">
        <v>57.89</v>
      </c>
      <c r="O60" s="3316" t="s">
        <v>3101</v>
      </c>
      <c r="P60" s="3316" t="s">
        <v>3039</v>
      </c>
    </row>
    <row r="61" spans="1:17">
      <c r="A61" s="3313" t="s">
        <v>3091</v>
      </c>
      <c r="B61" s="3313" t="s">
        <v>3023</v>
      </c>
      <c r="C61" s="3313" t="s">
        <v>3063</v>
      </c>
      <c r="D61" s="3313">
        <v>21595.59</v>
      </c>
      <c r="E61" s="3313">
        <v>43191.18</v>
      </c>
      <c r="F61" s="3313" t="s">
        <v>3104</v>
      </c>
      <c r="G61" s="3313" t="s">
        <v>3026</v>
      </c>
      <c r="H61" s="3313" t="s">
        <v>3105</v>
      </c>
      <c r="I61" s="3313" t="s">
        <v>3106</v>
      </c>
      <c r="J61" s="3313" t="s">
        <v>3106</v>
      </c>
      <c r="K61" s="3313">
        <v>7130</v>
      </c>
      <c r="L61" s="3313">
        <v>7330</v>
      </c>
      <c r="M61" s="3313">
        <v>1697.1</v>
      </c>
      <c r="N61" s="3313">
        <v>2.81</v>
      </c>
      <c r="O61" s="3313" t="s">
        <v>3107</v>
      </c>
      <c r="P61" s="3313" t="s">
        <v>3039</v>
      </c>
    </row>
    <row r="62" spans="1:17">
      <c r="A62" s="3313" t="s">
        <v>3091</v>
      </c>
      <c r="B62" s="3313" t="s">
        <v>3023</v>
      </c>
      <c r="C62" s="3313" t="s">
        <v>3063</v>
      </c>
      <c r="D62" s="3313">
        <v>39598.58</v>
      </c>
      <c r="E62" s="3313">
        <v>79197.16</v>
      </c>
      <c r="F62" s="3313" t="s">
        <v>3104</v>
      </c>
      <c r="G62" s="3313" t="s">
        <v>3026</v>
      </c>
      <c r="H62" s="3313" t="s">
        <v>3105</v>
      </c>
      <c r="I62" s="3313" t="s">
        <v>3106</v>
      </c>
      <c r="J62" s="3313" t="s">
        <v>3106</v>
      </c>
      <c r="K62" s="3313">
        <v>13070</v>
      </c>
      <c r="L62" s="3313">
        <v>13370</v>
      </c>
      <c r="M62" s="3313">
        <v>1688.19</v>
      </c>
      <c r="N62" s="3313">
        <v>2.2999999999999998</v>
      </c>
      <c r="O62" s="3313" t="s">
        <v>3107</v>
      </c>
      <c r="P62" s="3313" t="s">
        <v>3039</v>
      </c>
      <c r="Q62">
        <f>SUM(L61:L66)</f>
        <v>84400</v>
      </c>
    </row>
    <row r="63" spans="1:17" s="3315" customFormat="1">
      <c r="A63" s="3314" t="s">
        <v>3091</v>
      </c>
      <c r="B63" s="3314" t="s">
        <v>3023</v>
      </c>
      <c r="C63" s="3314" t="s">
        <v>3063</v>
      </c>
      <c r="D63" s="3314">
        <v>64219.97</v>
      </c>
      <c r="E63" s="3314">
        <v>115596</v>
      </c>
      <c r="F63" s="3314" t="s">
        <v>3108</v>
      </c>
      <c r="G63" s="3314" t="s">
        <v>3026</v>
      </c>
      <c r="H63" s="3314" t="s">
        <v>3105</v>
      </c>
      <c r="I63" s="3314" t="s">
        <v>3106</v>
      </c>
      <c r="J63" s="3314" t="s">
        <v>3106</v>
      </c>
      <c r="K63" s="3314">
        <v>21200</v>
      </c>
      <c r="L63" s="3314">
        <v>21700</v>
      </c>
      <c r="M63" s="3314">
        <v>1877.23</v>
      </c>
      <c r="N63" s="3314">
        <v>2.36</v>
      </c>
      <c r="O63" s="3314" t="s">
        <v>3107</v>
      </c>
      <c r="P63" s="3314" t="s">
        <v>3039</v>
      </c>
      <c r="Q63" s="3315">
        <f>SUM(E61:E66)</f>
        <v>453617.17999999993</v>
      </c>
    </row>
    <row r="64" spans="1:17">
      <c r="A64" s="3313" t="s">
        <v>3091</v>
      </c>
      <c r="B64" s="3313" t="s">
        <v>3023</v>
      </c>
      <c r="C64" s="3313" t="s">
        <v>3063</v>
      </c>
      <c r="D64" s="3313">
        <v>55674.97</v>
      </c>
      <c r="E64" s="3313">
        <v>100215</v>
      </c>
      <c r="F64" s="3313" t="s">
        <v>3108</v>
      </c>
      <c r="G64" s="3313" t="s">
        <v>3026</v>
      </c>
      <c r="H64" s="3313" t="s">
        <v>3105</v>
      </c>
      <c r="I64" s="3313" t="s">
        <v>3106</v>
      </c>
      <c r="J64" s="3313" t="s">
        <v>3106</v>
      </c>
      <c r="K64" s="3313">
        <v>18380</v>
      </c>
      <c r="L64" s="3313">
        <v>18780</v>
      </c>
      <c r="M64" s="3313">
        <v>1873.97</v>
      </c>
      <c r="N64" s="3313">
        <v>2.1800000000000002</v>
      </c>
      <c r="O64" s="3313" t="s">
        <v>3107</v>
      </c>
      <c r="P64" s="3313" t="s">
        <v>3039</v>
      </c>
      <c r="Q64">
        <f>Q62/Q63*10000</f>
        <v>1860.5997241991588</v>
      </c>
    </row>
    <row r="65" spans="1:16">
      <c r="A65" s="3313" t="s">
        <v>3091</v>
      </c>
      <c r="B65" s="3313" t="s">
        <v>3023</v>
      </c>
      <c r="C65" s="3313" t="s">
        <v>3063</v>
      </c>
      <c r="D65" s="3313">
        <v>40602.769999999997</v>
      </c>
      <c r="E65" s="3313">
        <v>73084.990000000005</v>
      </c>
      <c r="F65" s="3313" t="s">
        <v>3108</v>
      </c>
      <c r="G65" s="3313" t="s">
        <v>3026</v>
      </c>
      <c r="H65" s="3313" t="s">
        <v>3105</v>
      </c>
      <c r="I65" s="3313" t="s">
        <v>3106</v>
      </c>
      <c r="J65" s="3313" t="s">
        <v>3106</v>
      </c>
      <c r="K65" s="3313">
        <v>13400</v>
      </c>
      <c r="L65" s="3313">
        <v>13700</v>
      </c>
      <c r="M65" s="3313">
        <v>1874.52</v>
      </c>
      <c r="N65" s="3313">
        <v>2.2400000000000002</v>
      </c>
      <c r="O65" s="3313" t="s">
        <v>3107</v>
      </c>
      <c r="P65" s="3313" t="s">
        <v>3039</v>
      </c>
    </row>
    <row r="66" spans="1:16">
      <c r="A66" s="3313" t="s">
        <v>3091</v>
      </c>
      <c r="B66" s="3313" t="s">
        <v>3023</v>
      </c>
      <c r="C66" s="3313" t="s">
        <v>3063</v>
      </c>
      <c r="D66" s="3313">
        <v>28221.9</v>
      </c>
      <c r="E66" s="3313">
        <v>42332.85</v>
      </c>
      <c r="F66" s="3313" t="s">
        <v>3109</v>
      </c>
      <c r="G66" s="3313" t="s">
        <v>3026</v>
      </c>
      <c r="H66" s="3313" t="s">
        <v>3105</v>
      </c>
      <c r="I66" s="3313" t="s">
        <v>3106</v>
      </c>
      <c r="J66" s="3313" t="s">
        <v>3106</v>
      </c>
      <c r="K66" s="3313">
        <v>9320</v>
      </c>
      <c r="L66" s="3313">
        <v>9520</v>
      </c>
      <c r="M66" s="3313">
        <v>2248.84</v>
      </c>
      <c r="N66" s="3313">
        <v>2.15</v>
      </c>
      <c r="O66" s="3313" t="s">
        <v>3107</v>
      </c>
      <c r="P66" s="3313" t="s">
        <v>3039</v>
      </c>
    </row>
    <row r="67" spans="1:16">
      <c r="A67" s="3316" t="s">
        <v>3099</v>
      </c>
      <c r="B67" s="3316" t="s">
        <v>3023</v>
      </c>
      <c r="C67" s="3316" t="s">
        <v>3024</v>
      </c>
      <c r="D67" s="3316">
        <v>52422.49</v>
      </c>
      <c r="E67" s="3316">
        <v>131056.23</v>
      </c>
      <c r="F67" s="3316" t="s">
        <v>3041</v>
      </c>
      <c r="G67" s="3316" t="s">
        <v>3026</v>
      </c>
      <c r="H67" s="3316" t="s">
        <v>3110</v>
      </c>
      <c r="I67" s="3316" t="s">
        <v>3111</v>
      </c>
      <c r="J67" s="3316" t="s">
        <v>3111</v>
      </c>
      <c r="K67" s="3316" t="s">
        <v>2796</v>
      </c>
      <c r="L67" s="3316">
        <v>19185.72</v>
      </c>
      <c r="M67" s="3316">
        <v>1463.93</v>
      </c>
      <c r="N67" s="3316" t="s">
        <v>2796</v>
      </c>
      <c r="O67" s="3316" t="s">
        <v>3112</v>
      </c>
      <c r="P67" s="3316" t="s">
        <v>3039</v>
      </c>
    </row>
    <row r="68" spans="1:16">
      <c r="A68" s="3316" t="s">
        <v>3099</v>
      </c>
      <c r="B68" s="3316" t="s">
        <v>3023</v>
      </c>
      <c r="C68" s="3316" t="s">
        <v>3024</v>
      </c>
      <c r="D68" s="3316">
        <v>59476.959999999999</v>
      </c>
      <c r="E68" s="3316">
        <v>148692.4</v>
      </c>
      <c r="F68" s="3316" t="s">
        <v>3041</v>
      </c>
      <c r="G68" s="3316" t="s">
        <v>3026</v>
      </c>
      <c r="H68" s="3316" t="s">
        <v>3110</v>
      </c>
      <c r="I68" s="3316" t="s">
        <v>3111</v>
      </c>
      <c r="J68" s="3316" t="s">
        <v>3111</v>
      </c>
      <c r="K68" s="3316" t="s">
        <v>2796</v>
      </c>
      <c r="L68" s="3316">
        <v>21769.68</v>
      </c>
      <c r="M68" s="3316">
        <v>1464.06</v>
      </c>
      <c r="N68" s="3316" t="s">
        <v>2796</v>
      </c>
      <c r="O68" s="3316" t="s">
        <v>3112</v>
      </c>
      <c r="P68" s="3316" t="s">
        <v>3039</v>
      </c>
    </row>
    <row r="69" spans="1:16">
      <c r="A69" s="3316" t="s">
        <v>3113</v>
      </c>
      <c r="B69" s="3316" t="s">
        <v>3023</v>
      </c>
      <c r="C69" s="3316" t="s">
        <v>3024</v>
      </c>
      <c r="D69" s="3316">
        <v>18336.32</v>
      </c>
      <c r="E69" s="3316">
        <v>36672.639999999999</v>
      </c>
      <c r="F69" s="3316" t="s">
        <v>3025</v>
      </c>
      <c r="G69" s="3316" t="s">
        <v>3026</v>
      </c>
      <c r="H69" s="3316" t="s">
        <v>3110</v>
      </c>
      <c r="I69" s="3316" t="s">
        <v>3114</v>
      </c>
      <c r="J69" s="3316" t="s">
        <v>3114</v>
      </c>
      <c r="K69" s="3316">
        <v>5536</v>
      </c>
      <c r="L69" s="3316">
        <v>5721</v>
      </c>
      <c r="M69" s="3316">
        <v>1560.01</v>
      </c>
      <c r="N69" s="3316">
        <v>3.34</v>
      </c>
      <c r="O69" s="3316" t="s">
        <v>3115</v>
      </c>
      <c r="P69" s="3316" t="s">
        <v>3030</v>
      </c>
    </row>
    <row r="70" spans="1:16">
      <c r="A70" s="3316" t="s">
        <v>3116</v>
      </c>
      <c r="B70" s="3316" t="s">
        <v>3023</v>
      </c>
      <c r="C70" s="3316" t="s">
        <v>3024</v>
      </c>
      <c r="D70" s="3316">
        <v>14970.86</v>
      </c>
      <c r="E70" s="3316">
        <v>26947.55</v>
      </c>
      <c r="F70" s="3316" t="s">
        <v>3092</v>
      </c>
      <c r="G70" s="3316" t="s">
        <v>3026</v>
      </c>
      <c r="H70" s="3316" t="s">
        <v>3110</v>
      </c>
      <c r="I70" s="3316" t="s">
        <v>3117</v>
      </c>
      <c r="J70" s="3316" t="s">
        <v>3117</v>
      </c>
      <c r="K70" s="3316">
        <v>5660</v>
      </c>
      <c r="L70" s="3316">
        <v>5682.46</v>
      </c>
      <c r="M70" s="3316">
        <v>2108.71</v>
      </c>
      <c r="N70" s="3316">
        <v>0.4</v>
      </c>
      <c r="O70" s="3316" t="s">
        <v>3118</v>
      </c>
      <c r="P70" s="3316" t="s">
        <v>3039</v>
      </c>
    </row>
    <row r="71" spans="1:16">
      <c r="A71" s="3316" t="s">
        <v>3119</v>
      </c>
      <c r="B71" s="3316" t="s">
        <v>3023</v>
      </c>
      <c r="C71" s="3316" t="s">
        <v>3024</v>
      </c>
      <c r="D71" s="3316">
        <v>17388.64</v>
      </c>
      <c r="E71" s="3316">
        <v>31299.55</v>
      </c>
      <c r="F71" s="3316" t="s">
        <v>3092</v>
      </c>
      <c r="G71" s="3316" t="s">
        <v>3026</v>
      </c>
      <c r="H71" s="3316" t="s">
        <v>3110</v>
      </c>
      <c r="I71" s="3316" t="s">
        <v>3117</v>
      </c>
      <c r="J71" s="3316" t="s">
        <v>3117</v>
      </c>
      <c r="K71" s="3316">
        <v>6575</v>
      </c>
      <c r="L71" s="3316">
        <v>6601.07</v>
      </c>
      <c r="M71" s="3316">
        <v>2109</v>
      </c>
      <c r="N71" s="3316">
        <v>0.4</v>
      </c>
      <c r="O71" s="3316" t="s">
        <v>3118</v>
      </c>
      <c r="P71" s="3316" t="s">
        <v>3039</v>
      </c>
    </row>
    <row r="72" spans="1:16">
      <c r="A72" s="3316" t="s">
        <v>3120</v>
      </c>
      <c r="B72" s="3316" t="s">
        <v>3023</v>
      </c>
      <c r="C72" s="3316" t="s">
        <v>3024</v>
      </c>
      <c r="D72" s="3316">
        <v>39320.660000000003</v>
      </c>
      <c r="E72" s="3316">
        <v>98301.65</v>
      </c>
      <c r="F72" s="3316" t="s">
        <v>3041</v>
      </c>
      <c r="G72" s="3316" t="s">
        <v>3026</v>
      </c>
      <c r="H72" s="3316" t="s">
        <v>3110</v>
      </c>
      <c r="I72" s="3316" t="s">
        <v>3121</v>
      </c>
      <c r="J72" s="3316" t="s">
        <v>3121</v>
      </c>
      <c r="K72" s="3316">
        <v>4720</v>
      </c>
      <c r="L72" s="3316">
        <v>8800</v>
      </c>
      <c r="M72" s="3316">
        <v>895.2</v>
      </c>
      <c r="N72" s="3316">
        <v>86.44</v>
      </c>
      <c r="O72" s="3316" t="s">
        <v>3122</v>
      </c>
      <c r="P72" s="3316" t="s">
        <v>3030</v>
      </c>
    </row>
    <row r="73" spans="1:16">
      <c r="A73" s="3316" t="s">
        <v>3123</v>
      </c>
      <c r="B73" s="3316" t="s">
        <v>3023</v>
      </c>
      <c r="C73" s="3316" t="s">
        <v>3024</v>
      </c>
      <c r="D73" s="3316">
        <v>14990.35</v>
      </c>
      <c r="E73" s="3316">
        <v>37475.879999999997</v>
      </c>
      <c r="F73" s="3316" t="s">
        <v>3048</v>
      </c>
      <c r="G73" s="3316" t="s">
        <v>3026</v>
      </c>
      <c r="H73" s="3316" t="s">
        <v>3110</v>
      </c>
      <c r="I73" s="3316" t="s">
        <v>3121</v>
      </c>
      <c r="J73" s="3316" t="s">
        <v>3121</v>
      </c>
      <c r="K73" s="3316">
        <v>2834</v>
      </c>
      <c r="L73" s="3316">
        <v>2834</v>
      </c>
      <c r="M73" s="3316">
        <v>756.22</v>
      </c>
      <c r="N73" s="3316">
        <v>0</v>
      </c>
      <c r="O73" s="3316" t="s">
        <v>3124</v>
      </c>
      <c r="P73" s="3316" t="s">
        <v>3052</v>
      </c>
    </row>
    <row r="74" spans="1:16">
      <c r="A74" s="3316" t="s">
        <v>3125</v>
      </c>
      <c r="B74" s="3316" t="s">
        <v>3023</v>
      </c>
      <c r="C74" s="3316" t="s">
        <v>3024</v>
      </c>
      <c r="D74" s="3316">
        <v>75346.25</v>
      </c>
      <c r="E74" s="3316">
        <v>188365.6</v>
      </c>
      <c r="F74" s="3316" t="s">
        <v>3041</v>
      </c>
      <c r="G74" s="3316" t="s">
        <v>3026</v>
      </c>
      <c r="H74" s="3316" t="s">
        <v>3110</v>
      </c>
      <c r="I74" s="3316" t="s">
        <v>3121</v>
      </c>
      <c r="J74" s="3316" t="s">
        <v>3121</v>
      </c>
      <c r="K74" s="3316">
        <v>9042</v>
      </c>
      <c r="L74" s="3316">
        <v>17200</v>
      </c>
      <c r="M74" s="3316">
        <v>913.12</v>
      </c>
      <c r="N74" s="3316">
        <v>90.22</v>
      </c>
      <c r="O74" s="3316" t="s">
        <v>3126</v>
      </c>
      <c r="P74" s="3316" t="s">
        <v>3030</v>
      </c>
    </row>
    <row r="75" spans="1:16">
      <c r="A75" s="3316" t="s">
        <v>3120</v>
      </c>
      <c r="B75" s="3316" t="s">
        <v>3023</v>
      </c>
      <c r="C75" s="3316" t="s">
        <v>3024</v>
      </c>
      <c r="D75" s="3316">
        <v>63926.15</v>
      </c>
      <c r="E75" s="3316">
        <v>159815.4</v>
      </c>
      <c r="F75" s="3316" t="s">
        <v>3041</v>
      </c>
      <c r="G75" s="3316" t="s">
        <v>3026</v>
      </c>
      <c r="H75" s="3316" t="s">
        <v>3110</v>
      </c>
      <c r="I75" s="3316" t="s">
        <v>3121</v>
      </c>
      <c r="J75" s="3316" t="s">
        <v>3121</v>
      </c>
      <c r="K75" s="3316">
        <v>7672</v>
      </c>
      <c r="L75" s="3316">
        <v>15200</v>
      </c>
      <c r="M75" s="3316">
        <v>951.1</v>
      </c>
      <c r="N75" s="3316">
        <v>98.12</v>
      </c>
      <c r="O75" s="3316" t="s">
        <v>3122</v>
      </c>
      <c r="P75" s="3316" t="s">
        <v>3030</v>
      </c>
    </row>
    <row r="76" spans="1:16">
      <c r="A76" s="3316" t="s">
        <v>3125</v>
      </c>
      <c r="B76" s="3316" t="s">
        <v>3023</v>
      </c>
      <c r="C76" s="3316" t="s">
        <v>3024</v>
      </c>
      <c r="D76" s="3316">
        <v>51530.81</v>
      </c>
      <c r="E76" s="3316">
        <v>128827</v>
      </c>
      <c r="F76" s="3316" t="s">
        <v>3041</v>
      </c>
      <c r="G76" s="3316" t="s">
        <v>3026</v>
      </c>
      <c r="H76" s="3316" t="s">
        <v>3110</v>
      </c>
      <c r="I76" s="3316" t="s">
        <v>3121</v>
      </c>
      <c r="J76" s="3316" t="s">
        <v>3121</v>
      </c>
      <c r="K76" s="3316">
        <v>6184</v>
      </c>
      <c r="L76" s="3316">
        <v>13200</v>
      </c>
      <c r="M76" s="3316">
        <v>1024.6300000000001</v>
      </c>
      <c r="N76" s="3316">
        <v>113.45</v>
      </c>
      <c r="O76" s="3316" t="s">
        <v>3126</v>
      </c>
      <c r="P76" s="3316" t="s">
        <v>3030</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16" zoomScale="80" zoomScaleNormal="80" zoomScaleSheetLayoutView="80" workbookViewId="0">
      <selection activeCell="C40" sqref="C4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39248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2884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7211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481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129604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913</v>
      </c>
      <c r="D7" s="430"/>
      <c r="E7" s="430"/>
      <c r="F7" s="430"/>
      <c r="G7" s="430"/>
      <c r="H7" s="430"/>
      <c r="I7" s="430"/>
      <c r="J7" s="430"/>
      <c r="K7" s="431"/>
      <c r="AA7" s="1994"/>
      <c r="AB7" s="1994"/>
      <c r="AC7" s="1994"/>
      <c r="AD7" s="1994"/>
      <c r="AE7" s="1994"/>
    </row>
    <row r="8" spans="1:31" s="1997" customFormat="1" ht="13.5" customHeight="1">
      <c r="A8" s="793" t="s">
        <v>1835</v>
      </c>
      <c r="B8" s="259" t="s">
        <v>466</v>
      </c>
      <c r="C8" s="2551">
        <f>'不动产比较法-住宅'!B3</f>
        <v>9525</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136066.92000000001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'不动产比较法-住宅'!B2</f>
        <v>129604</v>
      </c>
      <c r="D10" s="2742"/>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46263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1388</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2313</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2721</v>
      </c>
      <c r="D16" s="2561">
        <f ca="1">IF(B1="",'数据-汇总表'!E3,INDIRECT("'数据-取费表'!K"&amp;$K$1)+INDIRECT("'数据-取费表'!S"&amp;$K$1))</f>
        <v>136066.92000000001</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694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53379</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1089</v>
      </c>
      <c r="D19" s="2571">
        <f ca="1">D16</f>
        <v>136066.92000000001</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2993</v>
      </c>
      <c r="D20" s="2571"/>
      <c r="E20" s="2525"/>
      <c r="F20" s="2572"/>
      <c r="G20" s="2776"/>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2993</v>
      </c>
      <c r="D21" s="2561">
        <f ca="1">IF(B1="",'数据-汇总表'!E5,IF(INDIRECT("'数据-取费表'!c"&amp;$K$1)="住宅",INDIRECT("'数据-取费表'!k"&amp;$K$1),0))</f>
        <v>136066.92000000001</v>
      </c>
      <c r="E21" s="53">
        <f>'数据-取费表'!B27</f>
        <v>220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0</v>
      </c>
      <c r="E22" s="53">
        <f>'数据-取费表'!B28</f>
        <v>220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2812</v>
      </c>
      <c r="C23" s="2569">
        <f ca="1">ROUND((C18+C19+C20)*F23,0)</f>
        <v>1149</v>
      </c>
      <c r="D23" s="462"/>
      <c r="E23" s="462"/>
      <c r="F23" s="2573">
        <f>'数据-取费表'!B37</f>
        <v>0.02</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2815</v>
      </c>
      <c r="C24" s="2569">
        <f>ROUND(C6*F24,0)</f>
        <v>2592</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2813</v>
      </c>
      <c r="C25" s="461">
        <f>ROUND(F25/(1+'数据-取费表'!C42),4)</f>
        <v>3.8600000000000002E-2</v>
      </c>
      <c r="D25" s="456" t="s">
        <v>2807</v>
      </c>
      <c r="E25" s="463"/>
      <c r="F25" s="2573">
        <f>IF(项目基本情况!B8="出让",0,'数据-取费表'!B48+'数据-取费表'!B49)</f>
        <v>4.0500000000000001E-2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2814</v>
      </c>
      <c r="C26" s="2574">
        <f ca="1">C28</f>
        <v>2356</v>
      </c>
      <c r="D26" s="461">
        <f ca="1">C27</f>
        <v>8.1500000000000003E-2</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8.1500000000000003E-2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2816</v>
      </c>
      <c r="C28" s="2577">
        <f ca="1">ROUND(IF('数据-取费表'!B22&lt;=1,(C18+C19+C20+C23+C24)*F26*'数据-取费表'!B24/2,(C18+C19+C20+C23+C24)*(POWER((1+F26),'数据-取费表'!B24/2)-1)),0)</f>
        <v>2356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ROUND(C6*F29/(1+'数据-取费表'!C42),0)</f>
        <v>6789</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494</v>
      </c>
      <c r="C30" s="2574">
        <f ca="1">C31</f>
        <v>70347</v>
      </c>
      <c r="D30" s="471">
        <f ca="1">C32</f>
        <v>0.1201</v>
      </c>
      <c r="E30" s="463" t="s">
        <v>489</v>
      </c>
      <c r="F30" s="465"/>
      <c r="G30" s="2537" t="s">
        <v>2930</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70347</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0.1201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2811</v>
      </c>
      <c r="B33" s="2745" t="s">
        <v>2809</v>
      </c>
      <c r="C33" s="472">
        <f ca="1">C35</f>
        <v>9180</v>
      </c>
      <c r="D33" s="461">
        <f ca="1">C34</f>
        <v>0.15579999999999999</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0.15579999999999999</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2817</v>
      </c>
      <c r="C35" s="1556">
        <f ca="1">ROUND((C18+C19+C20+C23+C24)*F33,0)</f>
        <v>9180</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39248</v>
      </c>
      <c r="D36" s="2543"/>
      <c r="E36" s="2543"/>
      <c r="F36" s="2543"/>
      <c r="G36" s="2542" t="s">
        <v>2818</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473</v>
      </c>
      <c r="C13" s="444">
        <f ca="1">IF(B1="",'数据-取费表'!M16,INDIRECT("'数据-取费表'!M"&amp;$K$1)+INDIRECT("'数据-取费表'!t"&amp;$K$1))</f>
        <v>46263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1388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2313</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2721</v>
      </c>
      <c r="D16" s="445">
        <f ca="1">IF(B1="",'数据-汇总表'!E3,INDIRECT("'数据-取费表'!K"&amp;$K$1)+INDIRECT("'数据-取费表'!S"&amp;$K$1))</f>
        <v>136066.92000000001</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694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53379</v>
      </c>
      <c r="D18" s="455"/>
      <c r="E18" s="456"/>
      <c r="F18" s="456"/>
      <c r="G18" s="1280"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487</v>
      </c>
      <c r="C19" s="454">
        <f ca="1">ROUND(C18*F19,0)</f>
        <v>1068</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498</v>
      </c>
      <c r="C20" s="2743">
        <f>F20</f>
        <v>0.02</v>
      </c>
      <c r="D20" s="463" t="s">
        <v>499</v>
      </c>
      <c r="E20" s="463"/>
      <c r="F20" s="480">
        <f>'数据-取费表'!B38</f>
        <v>0.02</v>
      </c>
      <c r="G20" s="1280"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488</v>
      </c>
      <c r="C21" s="464">
        <f ca="1">C22</f>
        <v>2096</v>
      </c>
      <c r="D21" s="461">
        <f ca="1">C23</f>
        <v>8.0000000000000004E-4</v>
      </c>
      <c r="E21" s="463" t="s">
        <v>501</v>
      </c>
      <c r="F21" s="465">
        <f ca="1">'数据-取费表'!B40</f>
        <v>3.85E-2</v>
      </c>
      <c r="G21" s="1280"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1" t="s">
        <v>2418</v>
      </c>
      <c r="C22" s="481">
        <f ca="1">ROUND(IF('数据-取费表'!B22&lt;=1,(C18+C19)*F21*'数据-取费表'!B20/2,(C18+C19)*(POWER((1+F21),'数据-取费表'!B20/2)-1)),0)</f>
        <v>2096</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1" t="s">
        <v>502</v>
      </c>
      <c r="C23" s="482">
        <f ca="1">ROUND(IF('数据-取费表'!B22&lt;=1,F20*F21*'数据-取费表'!B20/2,F20*(POWER((1+F21),'数据-取费表'!B20/2)-1)),4)</f>
        <v>8.0000000000000004E-4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2810</v>
      </c>
      <c r="C24" s="472">
        <f ca="1">C25</f>
        <v>8167</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1" t="s">
        <v>2419</v>
      </c>
      <c r="C25" s="484">
        <f ca="1">ROUND((C18+C19)*F24,0)</f>
        <v>8167</v>
      </c>
      <c r="D25" s="466"/>
      <c r="E25" s="467"/>
      <c r="F25" s="474"/>
      <c r="G25" s="1279"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1" t="s">
        <v>503</v>
      </c>
      <c r="C26" s="485">
        <f ca="1">ROUND(F20*F24,4)</f>
        <v>3.0000000000000001E-3</v>
      </c>
      <c r="D26" s="466"/>
      <c r="E26" s="475"/>
      <c r="F26" s="474"/>
      <c r="G26" s="1279"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505</v>
      </c>
      <c r="C27" s="2744">
        <f>ROUND(F27/(1+'数据-取费表'!C42),4)</f>
        <v>5.2400000000000002E-2</v>
      </c>
      <c r="D27" s="456" t="s">
        <v>2808</v>
      </c>
      <c r="E27" s="456"/>
      <c r="F27" s="460">
        <f>'数据-取费表'!B41</f>
        <v>5.5000000000000007E-2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506</v>
      </c>
      <c r="C28" s="464">
        <f ca="1">ROUND((C18+C19+C21+C24)/(1-C20-D21-D24-C27),0)</f>
        <v>70048</v>
      </c>
      <c r="D28" s="471"/>
      <c r="E28" s="463"/>
      <c r="F28" s="465"/>
      <c r="G28" s="1280"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2"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44" t="s">
        <v>516</v>
      </c>
      <c r="D6" s="3545"/>
      <c r="E6" s="3569" t="s">
        <v>517</v>
      </c>
      <c r="F6" s="3570"/>
      <c r="G6" s="3544" t="s">
        <v>518</v>
      </c>
      <c r="H6" s="3545"/>
      <c r="I6" s="3544" t="s">
        <v>519</v>
      </c>
      <c r="J6" s="3545"/>
      <c r="K6" s="508" t="s">
        <v>520</v>
      </c>
      <c r="L6" s="2015"/>
      <c r="M6" s="2016"/>
      <c r="N6" s="2016"/>
      <c r="O6" s="2016"/>
      <c r="P6" s="3546" t="s">
        <v>521</v>
      </c>
      <c r="Q6" s="3547"/>
      <c r="R6" s="3532" t="s">
        <v>517</v>
      </c>
      <c r="S6" s="3533"/>
      <c r="T6" s="3532" t="s">
        <v>518</v>
      </c>
      <c r="U6" s="3533"/>
      <c r="V6" s="3552" t="s">
        <v>519</v>
      </c>
      <c r="W6" s="3552"/>
      <c r="X6" s="1501"/>
      <c r="Y6" s="3532" t="s">
        <v>521</v>
      </c>
      <c r="Z6" s="3533"/>
      <c r="AA6" s="3527" t="s">
        <v>517</v>
      </c>
      <c r="AB6" s="3528" t="s">
        <v>518</v>
      </c>
      <c r="AC6" s="3527" t="s">
        <v>519</v>
      </c>
    </row>
    <row r="7" spans="1:29" ht="15">
      <c r="A7" s="509"/>
      <c r="B7" s="510"/>
      <c r="C7" s="3555" t="s">
        <v>2891</v>
      </c>
      <c r="D7" s="3556"/>
      <c r="E7" s="3571" t="s">
        <v>2892</v>
      </c>
      <c r="F7" s="3572"/>
      <c r="G7" s="3555" t="s">
        <v>2893</v>
      </c>
      <c r="H7" s="3556"/>
      <c r="I7" s="3555" t="s">
        <v>2894</v>
      </c>
      <c r="J7" s="3556"/>
      <c r="K7" s="508"/>
      <c r="L7" s="2015"/>
      <c r="M7" s="2016"/>
      <c r="N7" s="2016"/>
      <c r="O7" s="2016"/>
      <c r="P7" s="3548"/>
      <c r="Q7" s="3549"/>
      <c r="R7" s="3534"/>
      <c r="S7" s="3535"/>
      <c r="T7" s="3534"/>
      <c r="U7" s="3535"/>
      <c r="V7" s="3552"/>
      <c r="W7" s="3552"/>
      <c r="X7" s="1501"/>
      <c r="Y7" s="3534"/>
      <c r="Z7" s="3535"/>
      <c r="AA7" s="3528"/>
      <c r="AB7" s="3528"/>
      <c r="AC7" s="3528"/>
    </row>
    <row r="8" spans="1:29" ht="15.75" thickBot="1">
      <c r="A8" s="511"/>
      <c r="B8" s="512"/>
      <c r="C8" s="3553" t="s">
        <v>2895</v>
      </c>
      <c r="D8" s="3554"/>
      <c r="E8" s="3573" t="s">
        <v>2895</v>
      </c>
      <c r="F8" s="3574"/>
      <c r="G8" s="3553" t="s">
        <v>2895</v>
      </c>
      <c r="H8" s="3554"/>
      <c r="I8" s="3553" t="s">
        <v>2895</v>
      </c>
      <c r="J8" s="3554"/>
      <c r="K8" s="508" t="s">
        <v>522</v>
      </c>
      <c r="L8" s="2015"/>
      <c r="M8" s="2016"/>
      <c r="N8" s="2016"/>
      <c r="O8" s="2016"/>
      <c r="P8" s="3550"/>
      <c r="Q8" s="3551"/>
      <c r="R8" s="3534"/>
      <c r="S8" s="3535"/>
      <c r="T8" s="3536"/>
      <c r="U8" s="3537"/>
      <c r="V8" s="3552"/>
      <c r="W8" s="3552"/>
      <c r="X8" s="1501"/>
      <c r="Y8" s="3536"/>
      <c r="Z8" s="3537"/>
      <c r="AA8" s="3529"/>
      <c r="AB8" s="3529"/>
      <c r="AC8" s="3529"/>
    </row>
    <row r="9" spans="1:29" s="1202" customFormat="1" ht="15.75" thickBot="1">
      <c r="A9" s="2629"/>
      <c r="B9" s="2636" t="s">
        <v>523</v>
      </c>
      <c r="C9" s="513">
        <f>'数据-取费表'!B2</f>
        <v>44258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30" t="s">
        <v>524</v>
      </c>
      <c r="Q9" s="3539"/>
      <c r="R9" s="1502" t="s">
        <v>8</v>
      </c>
      <c r="S9" s="1503">
        <f t="shared" ref="S9:S17" si="0">F9</f>
        <v>0</v>
      </c>
      <c r="T9" s="1502" t="s">
        <v>8</v>
      </c>
      <c r="U9" s="1503">
        <f t="shared" ref="U9:U17" si="1">H9</f>
        <v>0</v>
      </c>
      <c r="V9" s="1502" t="s">
        <v>8</v>
      </c>
      <c r="W9" s="1503">
        <f t="shared" ref="W9:W17" si="2">J9</f>
        <v>0</v>
      </c>
      <c r="X9" s="1504"/>
      <c r="Y9" s="3530" t="s">
        <v>524</v>
      </c>
      <c r="Z9" s="3531"/>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30" t="s">
        <v>527</v>
      </c>
      <c r="Q10" s="3531"/>
      <c r="R10" s="1502" t="s">
        <v>8</v>
      </c>
      <c r="S10" s="1503">
        <f t="shared" si="0"/>
        <v>0</v>
      </c>
      <c r="T10" s="1502" t="s">
        <v>8</v>
      </c>
      <c r="U10" s="1503">
        <f t="shared" si="1"/>
        <v>0</v>
      </c>
      <c r="V10" s="1502" t="s">
        <v>8</v>
      </c>
      <c r="W10" s="1503">
        <f t="shared" si="2"/>
        <v>0</v>
      </c>
      <c r="X10" s="1504"/>
      <c r="Y10" s="3530" t="s">
        <v>527</v>
      </c>
      <c r="Z10" s="3531"/>
      <c r="AA10" s="1505" t="e">
        <f t="shared" ref="AA10:AA42" si="3">D10/F10</f>
        <v>#DIV/0!</v>
      </c>
      <c r="AB10" s="1505" t="e">
        <f t="shared" ref="AB10:AB42" si="4">D10/H10</f>
        <v>#DIV/0!</v>
      </c>
      <c r="AC10" s="1505" t="e">
        <f t="shared" ref="AC10:AC42" si="5">D10/J10</f>
        <v>#DIV/0!</v>
      </c>
    </row>
    <row r="11" spans="1:29" s="1202"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38" t="s">
        <v>529</v>
      </c>
      <c r="Q11" s="1133" t="str">
        <f t="shared" ref="Q11:Q17" si="6">B11</f>
        <v>用途</v>
      </c>
      <c r="R11" s="1502" t="s">
        <v>8</v>
      </c>
      <c r="S11" s="1503">
        <f t="shared" si="0"/>
        <v>100</v>
      </c>
      <c r="T11" s="1502" t="s">
        <v>8</v>
      </c>
      <c r="U11" s="1503">
        <f t="shared" si="1"/>
        <v>100</v>
      </c>
      <c r="V11" s="1502" t="s">
        <v>8</v>
      </c>
      <c r="W11" s="1503">
        <f t="shared" si="2"/>
        <v>100</v>
      </c>
      <c r="X11" s="1504"/>
      <c r="Y11" s="3489" t="s">
        <v>530</v>
      </c>
      <c r="Z11" s="1132" t="str">
        <f t="shared" ref="Z11:Z17" si="7">Q11</f>
        <v>用途</v>
      </c>
      <c r="AA11" s="1505">
        <f t="shared" si="3"/>
        <v>1</v>
      </c>
      <c r="AB11" s="1505">
        <f t="shared" si="4"/>
        <v>1</v>
      </c>
      <c r="AC11" s="1505">
        <f t="shared" si="5"/>
        <v>1</v>
      </c>
    </row>
    <row r="12" spans="1:29" s="1291" customFormat="1" ht="27">
      <c r="A12" s="2632"/>
      <c r="B12" s="2637" t="s">
        <v>2736</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38"/>
      <c r="Q12" s="1133" t="str">
        <f t="shared" si="6"/>
        <v>土地使用年限（年）</v>
      </c>
      <c r="R12" s="1502" t="s">
        <v>8</v>
      </c>
      <c r="S12" s="1503">
        <f t="shared" si="0"/>
        <v>100</v>
      </c>
      <c r="T12" s="1502" t="s">
        <v>8</v>
      </c>
      <c r="U12" s="1503">
        <f t="shared" si="1"/>
        <v>100</v>
      </c>
      <c r="V12" s="1502" t="s">
        <v>8</v>
      </c>
      <c r="W12" s="1503">
        <f t="shared" si="2"/>
        <v>100</v>
      </c>
      <c r="X12" s="1504"/>
      <c r="Y12" s="3489"/>
      <c r="Z12" s="1132" t="str">
        <f t="shared" si="7"/>
        <v>土地使用年限（年）</v>
      </c>
      <c r="AA12" s="1505">
        <f t="shared" si="3"/>
        <v>1</v>
      </c>
      <c r="AB12" s="1505">
        <f t="shared" si="4"/>
        <v>1</v>
      </c>
      <c r="AC12" s="1505">
        <f t="shared" si="5"/>
        <v>1</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38"/>
      <c r="Q13" s="1133" t="str">
        <f t="shared" si="6"/>
        <v>容积率</v>
      </c>
      <c r="R13" s="1502" t="s">
        <v>8</v>
      </c>
      <c r="S13" s="1503" t="e">
        <f t="shared" si="0"/>
        <v>#N/A</v>
      </c>
      <c r="T13" s="1502" t="s">
        <v>8</v>
      </c>
      <c r="U13" s="1503" t="e">
        <f t="shared" si="1"/>
        <v>#N/A</v>
      </c>
      <c r="V13" s="1502" t="s">
        <v>8</v>
      </c>
      <c r="W13" s="1503" t="e">
        <f t="shared" si="2"/>
        <v>#N/A</v>
      </c>
      <c r="X13" s="1504"/>
      <c r="Y13" s="3489"/>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38"/>
      <c r="Q14" s="1133">
        <f t="shared" si="6"/>
        <v>111</v>
      </c>
      <c r="R14" s="1502" t="s">
        <v>8</v>
      </c>
      <c r="S14" s="1503">
        <f t="shared" si="0"/>
        <v>100</v>
      </c>
      <c r="T14" s="1502" t="s">
        <v>8</v>
      </c>
      <c r="U14" s="1503">
        <f t="shared" si="1"/>
        <v>100</v>
      </c>
      <c r="V14" s="1502" t="s">
        <v>8</v>
      </c>
      <c r="W14" s="1503">
        <f t="shared" si="2"/>
        <v>100</v>
      </c>
      <c r="X14" s="1504"/>
      <c r="Y14" s="3489"/>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38"/>
      <c r="Q15" s="1133">
        <f t="shared" si="6"/>
        <v>111</v>
      </c>
      <c r="R15" s="1502" t="s">
        <v>8</v>
      </c>
      <c r="S15" s="1503">
        <f t="shared" si="0"/>
        <v>100</v>
      </c>
      <c r="T15" s="1502" t="s">
        <v>8</v>
      </c>
      <c r="U15" s="1503">
        <f t="shared" si="1"/>
        <v>100</v>
      </c>
      <c r="V15" s="1502" t="s">
        <v>8</v>
      </c>
      <c r="W15" s="1503">
        <f t="shared" si="2"/>
        <v>100</v>
      </c>
      <c r="X15" s="1504"/>
      <c r="Y15" s="3489"/>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38"/>
      <c r="Q16" s="1133">
        <f t="shared" si="6"/>
        <v>111</v>
      </c>
      <c r="R16" s="1502" t="s">
        <v>8</v>
      </c>
      <c r="S16" s="1503">
        <f t="shared" si="0"/>
        <v>100</v>
      </c>
      <c r="T16" s="1502" t="s">
        <v>8</v>
      </c>
      <c r="U16" s="1503">
        <f t="shared" si="1"/>
        <v>100</v>
      </c>
      <c r="V16" s="1502" t="s">
        <v>8</v>
      </c>
      <c r="W16" s="1503">
        <f t="shared" si="2"/>
        <v>100</v>
      </c>
      <c r="X16" s="1504"/>
      <c r="Y16" s="3489"/>
      <c r="Z16" s="1132">
        <f t="shared" si="7"/>
        <v>111</v>
      </c>
      <c r="AA16" s="1505">
        <f t="shared" si="3"/>
        <v>1</v>
      </c>
      <c r="AB16" s="1505">
        <f t="shared" si="4"/>
        <v>1</v>
      </c>
      <c r="AC16" s="1505">
        <f t="shared" si="5"/>
        <v>1</v>
      </c>
    </row>
    <row r="17" spans="1:29" ht="57">
      <c r="A17" s="2627" t="s">
        <v>2733</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40" t="s">
        <v>534</v>
      </c>
      <c r="Q17" s="1506" t="str">
        <f t="shared" si="6"/>
        <v>产业集聚程度</v>
      </c>
      <c r="R17" s="1507" t="s">
        <v>8</v>
      </c>
      <c r="S17" s="1508">
        <f t="shared" si="0"/>
        <v>100</v>
      </c>
      <c r="T17" s="1507" t="s">
        <v>8</v>
      </c>
      <c r="U17" s="1508">
        <f t="shared" si="1"/>
        <v>100</v>
      </c>
      <c r="V17" s="1507" t="s">
        <v>8</v>
      </c>
      <c r="W17" s="1508">
        <f t="shared" si="2"/>
        <v>100</v>
      </c>
      <c r="X17" s="1501"/>
      <c r="Y17" s="3540"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41"/>
      <c r="Q18" s="1506"/>
      <c r="R18" s="1507"/>
      <c r="S18" s="1508"/>
      <c r="T18" s="1507"/>
      <c r="U18" s="1508"/>
      <c r="V18" s="1507"/>
      <c r="W18" s="1508"/>
      <c r="X18" s="1501"/>
      <c r="Y18" s="3541"/>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1"/>
      <c r="Q19" s="1506" t="str">
        <f>B19</f>
        <v>交通便捷度</v>
      </c>
      <c r="R19" s="1507" t="s">
        <v>8</v>
      </c>
      <c r="S19" s="1508">
        <f>F19</f>
        <v>100</v>
      </c>
      <c r="T19" s="1507" t="s">
        <v>8</v>
      </c>
      <c r="U19" s="1508">
        <f>H19</f>
        <v>100</v>
      </c>
      <c r="V19" s="1507" t="s">
        <v>8</v>
      </c>
      <c r="W19" s="1508">
        <f>J19</f>
        <v>100</v>
      </c>
      <c r="X19" s="1501"/>
      <c r="Y19" s="3541"/>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41"/>
      <c r="Q20" s="1506"/>
      <c r="R20" s="1507"/>
      <c r="S20" s="1508"/>
      <c r="T20" s="1507"/>
      <c r="U20" s="1508"/>
      <c r="V20" s="1507"/>
      <c r="W20" s="1508"/>
      <c r="X20" s="1501"/>
      <c r="Y20" s="3541"/>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41"/>
      <c r="Q21" s="1506" t="str">
        <f t="shared" ref="Q21:Q35" si="8">B21</f>
        <v>区域土地利用方向</v>
      </c>
      <c r="R21" s="1507" t="s">
        <v>8</v>
      </c>
      <c r="S21" s="1508">
        <f>F21</f>
        <v>100</v>
      </c>
      <c r="T21" s="1507" t="s">
        <v>8</v>
      </c>
      <c r="U21" s="1508">
        <f>H21</f>
        <v>100</v>
      </c>
      <c r="V21" s="1507" t="s">
        <v>8</v>
      </c>
      <c r="W21" s="1508">
        <f>J21</f>
        <v>100</v>
      </c>
      <c r="X21" s="1501"/>
      <c r="Y21" s="3541"/>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41"/>
      <c r="Q22" s="1506"/>
      <c r="R22" s="1507"/>
      <c r="S22" s="1508"/>
      <c r="T22" s="1507"/>
      <c r="U22" s="1508"/>
      <c r="V22" s="1507"/>
      <c r="W22" s="1508"/>
      <c r="X22" s="1501"/>
      <c r="Y22" s="3541"/>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41"/>
      <c r="Q23" s="1506" t="str">
        <f t="shared" si="8"/>
        <v>环境状况</v>
      </c>
      <c r="R23" s="1507" t="s">
        <v>8</v>
      </c>
      <c r="S23" s="1508">
        <f>F23</f>
        <v>100</v>
      </c>
      <c r="T23" s="1507" t="s">
        <v>8</v>
      </c>
      <c r="U23" s="1508">
        <f>H23</f>
        <v>100</v>
      </c>
      <c r="V23" s="1507" t="s">
        <v>8</v>
      </c>
      <c r="W23" s="1508">
        <f>J23</f>
        <v>100</v>
      </c>
      <c r="X23" s="1501"/>
      <c r="Y23" s="3541"/>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41"/>
      <c r="Q24" s="1506"/>
      <c r="R24" s="1507"/>
      <c r="S24" s="1508"/>
      <c r="T24" s="1507"/>
      <c r="U24" s="1508"/>
      <c r="V24" s="1507"/>
      <c r="W24" s="1508"/>
      <c r="X24" s="1501"/>
      <c r="Y24" s="3541"/>
      <c r="Z24" s="1509"/>
      <c r="AA24" s="1510">
        <v>1</v>
      </c>
      <c r="AB24" s="1510">
        <v>1</v>
      </c>
      <c r="AC24" s="1510">
        <v>1</v>
      </c>
    </row>
    <row r="25" spans="1:29" s="1202"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1"/>
      <c r="Q25" s="1133" t="str">
        <f t="shared" si="8"/>
        <v>公共配套设施</v>
      </c>
      <c r="R25" s="1502" t="s">
        <v>8</v>
      </c>
      <c r="S25" s="1503">
        <f>F25</f>
        <v>100</v>
      </c>
      <c r="T25" s="1502" t="s">
        <v>8</v>
      </c>
      <c r="U25" s="1503">
        <f>H25</f>
        <v>100</v>
      </c>
      <c r="V25" s="1502" t="s">
        <v>8</v>
      </c>
      <c r="W25" s="1503">
        <f>J25</f>
        <v>100</v>
      </c>
      <c r="X25" s="1504"/>
      <c r="Y25" s="3541"/>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41"/>
      <c r="Q26" s="1133"/>
      <c r="R26" s="1502"/>
      <c r="S26" s="1503"/>
      <c r="T26" s="1502"/>
      <c r="U26" s="1503"/>
      <c r="V26" s="1502"/>
      <c r="W26" s="1503"/>
      <c r="X26" s="1504"/>
      <c r="Y26" s="3541"/>
      <c r="Z26" s="1132"/>
      <c r="AA26" s="1505">
        <v>1</v>
      </c>
      <c r="AB26" s="1505">
        <v>1</v>
      </c>
      <c r="AC26" s="1505">
        <v>1</v>
      </c>
    </row>
    <row r="27" spans="1:29" s="1202"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1"/>
      <c r="Q27" s="2428" t="str">
        <f t="shared" ref="Q27" si="9">B27</f>
        <v>基础设施水平</v>
      </c>
      <c r="R27" s="1502" t="s">
        <v>8</v>
      </c>
      <c r="S27" s="1503">
        <f>F27</f>
        <v>100</v>
      </c>
      <c r="T27" s="1502" t="s">
        <v>8</v>
      </c>
      <c r="U27" s="1503">
        <f>H27</f>
        <v>100</v>
      </c>
      <c r="V27" s="1502" t="s">
        <v>8</v>
      </c>
      <c r="W27" s="1503">
        <f>J27</f>
        <v>100</v>
      </c>
      <c r="X27" s="1504"/>
      <c r="Y27" s="3541"/>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41"/>
      <c r="Q28" s="2428"/>
      <c r="R28" s="1502"/>
      <c r="S28" s="1503"/>
      <c r="T28" s="1502"/>
      <c r="U28" s="1503"/>
      <c r="V28" s="1502"/>
      <c r="W28" s="1503"/>
      <c r="X28" s="1504"/>
      <c r="Y28" s="3541"/>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1"/>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41"/>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1"/>
      <c r="Q30" s="1506" t="str">
        <f t="shared" si="8"/>
        <v>毗邻道路的类型与等级</v>
      </c>
      <c r="R30" s="1507" t="s">
        <v>8</v>
      </c>
      <c r="S30" s="1508">
        <f t="shared" si="10"/>
        <v>100</v>
      </c>
      <c r="T30" s="1507" t="s">
        <v>8</v>
      </c>
      <c r="U30" s="1508">
        <f t="shared" si="11"/>
        <v>100</v>
      </c>
      <c r="V30" s="1507" t="s">
        <v>8</v>
      </c>
      <c r="W30" s="1508">
        <f t="shared" si="12"/>
        <v>100</v>
      </c>
      <c r="X30" s="1501"/>
      <c r="Y30" s="3541"/>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41"/>
      <c r="Q31" s="1506"/>
      <c r="R31" s="1507"/>
      <c r="S31" s="1508"/>
      <c r="T31" s="1507"/>
      <c r="U31" s="1508"/>
      <c r="V31" s="1507"/>
      <c r="W31" s="1508"/>
      <c r="X31" s="1501"/>
      <c r="Y31" s="3541"/>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1"/>
      <c r="Q32" s="1506" t="str">
        <f t="shared" si="8"/>
        <v>土地级别</v>
      </c>
      <c r="R32" s="1507" t="s">
        <v>8</v>
      </c>
      <c r="S32" s="1508">
        <f t="shared" si="10"/>
        <v>100</v>
      </c>
      <c r="T32" s="1507" t="s">
        <v>8</v>
      </c>
      <c r="U32" s="1508">
        <f t="shared" si="11"/>
        <v>100</v>
      </c>
      <c r="V32" s="1507" t="s">
        <v>8</v>
      </c>
      <c r="W32" s="1508">
        <f t="shared" si="12"/>
        <v>100</v>
      </c>
      <c r="X32" s="1501"/>
      <c r="Y32" s="3541"/>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1"/>
      <c r="Q33" s="1506">
        <f t="shared" si="8"/>
        <v>111</v>
      </c>
      <c r="R33" s="1507" t="s">
        <v>8</v>
      </c>
      <c r="S33" s="1508">
        <f t="shared" si="10"/>
        <v>100</v>
      </c>
      <c r="T33" s="1507" t="s">
        <v>8</v>
      </c>
      <c r="U33" s="1508">
        <f t="shared" si="11"/>
        <v>100</v>
      </c>
      <c r="V33" s="1507" t="s">
        <v>8</v>
      </c>
      <c r="W33" s="1508">
        <f t="shared" si="12"/>
        <v>100</v>
      </c>
      <c r="X33" s="1501"/>
      <c r="Y33" s="3541"/>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2" t="s">
        <v>544</v>
      </c>
      <c r="Q34" s="1506">
        <f t="shared" si="8"/>
        <v>111</v>
      </c>
      <c r="R34" s="1507" t="s">
        <v>8</v>
      </c>
      <c r="S34" s="1508">
        <f t="shared" si="10"/>
        <v>100</v>
      </c>
      <c r="T34" s="1507" t="s">
        <v>8</v>
      </c>
      <c r="U34" s="1508">
        <f t="shared" si="11"/>
        <v>100</v>
      </c>
      <c r="V34" s="1507" t="s">
        <v>8</v>
      </c>
      <c r="W34" s="1508">
        <f t="shared" si="12"/>
        <v>100</v>
      </c>
      <c r="X34" s="1501"/>
      <c r="Y34" s="3543"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3"/>
      <c r="Q35" s="1506">
        <f t="shared" si="8"/>
        <v>111</v>
      </c>
      <c r="R35" s="1511" t="s">
        <v>8</v>
      </c>
      <c r="S35" s="1512">
        <f t="shared" si="10"/>
        <v>100</v>
      </c>
      <c r="T35" s="1511" t="s">
        <v>8</v>
      </c>
      <c r="U35" s="1512">
        <f t="shared" si="11"/>
        <v>100</v>
      </c>
      <c r="V35" s="1511" t="s">
        <v>8</v>
      </c>
      <c r="W35" s="1512">
        <f t="shared" si="12"/>
        <v>100</v>
      </c>
      <c r="X35" s="1513"/>
      <c r="Y35" s="3543"/>
      <c r="Z35" s="1514">
        <f t="shared" si="13"/>
        <v>111</v>
      </c>
      <c r="AA35" s="1510">
        <f t="shared" si="3"/>
        <v>1</v>
      </c>
      <c r="AB35" s="1510">
        <f t="shared" si="4"/>
        <v>1</v>
      </c>
      <c r="AC35" s="1510">
        <f t="shared" si="5"/>
        <v>1</v>
      </c>
    </row>
    <row r="36" spans="1:29" ht="15">
      <c r="A36" s="2624"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43"/>
      <c r="Q36" s="1506" t="str">
        <f>B36</f>
        <v>宗地面积</v>
      </c>
      <c r="R36" s="1507" t="s">
        <v>8</v>
      </c>
      <c r="S36" s="1508" t="e">
        <f t="shared" si="10"/>
        <v>#N/A</v>
      </c>
      <c r="T36" s="1507" t="s">
        <v>8</v>
      </c>
      <c r="U36" s="1508" t="e">
        <f t="shared" si="11"/>
        <v>#N/A</v>
      </c>
      <c r="V36" s="1507" t="s">
        <v>8</v>
      </c>
      <c r="W36" s="1508" t="e">
        <f t="shared" si="12"/>
        <v>#N/A</v>
      </c>
      <c r="X36" s="1501"/>
      <c r="Y36" s="3543"/>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3"/>
      <c r="Q37" s="1506" t="str">
        <f t="shared" ref="Q37:Q42" si="14">B37</f>
        <v>宗地形状</v>
      </c>
      <c r="R37" s="1507" t="s">
        <v>8</v>
      </c>
      <c r="S37" s="1508">
        <f t="shared" si="10"/>
        <v>100</v>
      </c>
      <c r="T37" s="1507" t="s">
        <v>8</v>
      </c>
      <c r="U37" s="1508">
        <f t="shared" si="11"/>
        <v>100</v>
      </c>
      <c r="V37" s="1507" t="s">
        <v>8</v>
      </c>
      <c r="W37" s="1508">
        <f t="shared" si="12"/>
        <v>100</v>
      </c>
      <c r="X37" s="1501"/>
      <c r="Y37" s="3543"/>
      <c r="Z37" s="1509" t="str">
        <f t="shared" si="13"/>
        <v>宗地形状</v>
      </c>
      <c r="AA37" s="1510">
        <f t="shared" si="3"/>
        <v>1</v>
      </c>
      <c r="AB37" s="1510">
        <f t="shared" si="4"/>
        <v>1</v>
      </c>
      <c r="AC37" s="1510">
        <f t="shared" si="5"/>
        <v>1</v>
      </c>
    </row>
    <row r="38" spans="1:29" s="1202"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43"/>
      <c r="Q38" s="1506" t="str">
        <f t="shared" si="14"/>
        <v>宗地开发程度</v>
      </c>
      <c r="R38" s="1502" t="s">
        <v>8</v>
      </c>
      <c r="S38" s="1503">
        <f t="shared" si="10"/>
        <v>100</v>
      </c>
      <c r="T38" s="1502" t="s">
        <v>8</v>
      </c>
      <c r="U38" s="1503">
        <f t="shared" si="11"/>
        <v>100</v>
      </c>
      <c r="V38" s="1502" t="s">
        <v>8</v>
      </c>
      <c r="W38" s="1503">
        <f t="shared" si="12"/>
        <v>100</v>
      </c>
      <c r="X38" s="1504"/>
      <c r="Y38" s="3543"/>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3" t="s">
        <v>595</v>
      </c>
      <c r="Q39" s="1506" t="str">
        <f t="shared" si="14"/>
        <v>工程地质条件</v>
      </c>
      <c r="R39" s="1507" t="s">
        <v>8</v>
      </c>
      <c r="S39" s="1508">
        <f t="shared" si="10"/>
        <v>100</v>
      </c>
      <c r="T39" s="1507" t="s">
        <v>8</v>
      </c>
      <c r="U39" s="1508">
        <f t="shared" si="11"/>
        <v>100</v>
      </c>
      <c r="V39" s="1507" t="s">
        <v>8</v>
      </c>
      <c r="W39" s="1508">
        <f t="shared" si="12"/>
        <v>100</v>
      </c>
      <c r="X39" s="1501"/>
      <c r="Y39" s="3543"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3"/>
      <c r="Q40" s="1506">
        <f t="shared" si="14"/>
        <v>111</v>
      </c>
      <c r="R40" s="1507" t="s">
        <v>8</v>
      </c>
      <c r="S40" s="1508">
        <f t="shared" si="10"/>
        <v>100</v>
      </c>
      <c r="T40" s="1507" t="s">
        <v>8</v>
      </c>
      <c r="U40" s="1508">
        <f t="shared" si="11"/>
        <v>100</v>
      </c>
      <c r="V40" s="1507" t="s">
        <v>8</v>
      </c>
      <c r="W40" s="1508">
        <f t="shared" si="12"/>
        <v>100</v>
      </c>
      <c r="X40" s="1501"/>
      <c r="Y40" s="3543"/>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3"/>
      <c r="Q41" s="1506">
        <f t="shared" si="14"/>
        <v>111</v>
      </c>
      <c r="R41" s="1507" t="s">
        <v>8</v>
      </c>
      <c r="S41" s="1508">
        <f t="shared" si="10"/>
        <v>100</v>
      </c>
      <c r="T41" s="1507" t="s">
        <v>8</v>
      </c>
      <c r="U41" s="1508">
        <f t="shared" si="11"/>
        <v>100</v>
      </c>
      <c r="V41" s="1507" t="s">
        <v>8</v>
      </c>
      <c r="W41" s="1508">
        <f t="shared" si="12"/>
        <v>100</v>
      </c>
      <c r="X41" s="1501"/>
      <c r="Y41" s="3543"/>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3"/>
      <c r="Q42" s="1506">
        <f t="shared" si="14"/>
        <v>111</v>
      </c>
      <c r="R42" s="1511" t="s">
        <v>8</v>
      </c>
      <c r="S42" s="1512">
        <f t="shared" si="10"/>
        <v>100</v>
      </c>
      <c r="T42" s="1511" t="s">
        <v>8</v>
      </c>
      <c r="U42" s="1512">
        <f t="shared" si="11"/>
        <v>100</v>
      </c>
      <c r="V42" s="1511" t="s">
        <v>8</v>
      </c>
      <c r="W42" s="1512">
        <f t="shared" si="12"/>
        <v>100</v>
      </c>
      <c r="X42" s="1513"/>
      <c r="Y42" s="3543"/>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3"/>
      <c r="L43" s="2026"/>
      <c r="M43" s="2016"/>
      <c r="N43" s="2016"/>
      <c r="O43" s="2027"/>
      <c r="P43" s="3538" t="str">
        <f>A43</f>
        <v>成交单价</v>
      </c>
      <c r="Q43" s="3538"/>
      <c r="R43" s="3552">
        <f>E43</f>
        <v>0</v>
      </c>
      <c r="S43" s="3552"/>
      <c r="T43" s="3552">
        <f>G43</f>
        <v>0</v>
      </c>
      <c r="U43" s="3552"/>
      <c r="V43" s="3552">
        <f>I43</f>
        <v>0</v>
      </c>
      <c r="W43" s="3552"/>
      <c r="X43" s="1496"/>
      <c r="Y43" s="1515"/>
      <c r="Z43" s="1496"/>
      <c r="AA43" s="1496"/>
      <c r="AB43" s="1496"/>
      <c r="AC43" s="1496"/>
    </row>
    <row r="44" spans="1:29" ht="15.75" thickBot="1">
      <c r="A44" s="609" t="s">
        <v>2672</v>
      </c>
      <c r="B44" s="610"/>
      <c r="C44" s="611" t="e">
        <f>R45</f>
        <v>#DIV/0!</v>
      </c>
      <c r="D44" s="3014" t="s">
        <v>2965</v>
      </c>
      <c r="E44" s="611" t="e">
        <f>R44</f>
        <v>#DIV/0!</v>
      </c>
      <c r="F44" s="3015"/>
      <c r="G44" s="612" t="e">
        <f>T44</f>
        <v>#DIV/0!</v>
      </c>
      <c r="H44" s="3015"/>
      <c r="I44" s="611" t="e">
        <f>V44</f>
        <v>#DIV/0!</v>
      </c>
      <c r="J44" s="3015"/>
      <c r="K44" s="3016">
        <f>F44+H44+J44</f>
        <v>0</v>
      </c>
      <c r="L44" s="2026"/>
      <c r="M44" s="2016"/>
      <c r="N44" s="2016"/>
      <c r="O44" s="2027"/>
      <c r="P44" s="3538" t="str">
        <f>A44</f>
        <v>比较价格（元/平方米）</v>
      </c>
      <c r="Q44" s="3538"/>
      <c r="R44" s="3562" t="e">
        <f>ROUND(PRODUCT(R43,AA9:AA42),0)</f>
        <v>#DIV/0!</v>
      </c>
      <c r="S44" s="3562"/>
      <c r="T44" s="3562" t="e">
        <f>ROUND(PRODUCT(T43,AB9:AB42),0)</f>
        <v>#DIV/0!</v>
      </c>
      <c r="U44" s="3562"/>
      <c r="V44" s="3562" t="e">
        <f>ROUND(PRODUCT(V43,AC9:AC42),0)</f>
        <v>#DIV/0!</v>
      </c>
      <c r="W44" s="3562"/>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4"/>
      <c r="L45" s="2026"/>
      <c r="M45" s="2016"/>
      <c r="N45" s="2016"/>
      <c r="O45" s="2027"/>
      <c r="P45" s="3559" t="str">
        <f>A45</f>
        <v>估价对象XX用房的比较价格（楼面单价，元/平方米）</v>
      </c>
      <c r="Q45" s="3560"/>
      <c r="R45" s="3568" t="e">
        <f>ROUND(IF(D44="简单平均",AVERAGE(R44:W44),R44*F44+T44*H44+V44*J44),0)</f>
        <v>#DIV/0!</v>
      </c>
      <c r="S45" s="3568"/>
      <c r="T45" s="3568"/>
      <c r="U45" s="3568"/>
      <c r="V45" s="3568"/>
      <c r="W45" s="3568"/>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63" t="s">
        <v>2271</v>
      </c>
      <c r="H52" s="3564"/>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136066.92000000001</v>
      </c>
      <c r="F53" s="1864" t="e">
        <f t="shared" ref="F53:F62" si="15">ROUND(B53*E53/10000,0)</f>
        <v>#DIV/0!</v>
      </c>
      <c r="G53" s="3565"/>
      <c r="H53" s="3566"/>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67" t="s">
        <v>2272</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67"/>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67"/>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67"/>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54426.77</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2513</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2628</v>
      </c>
      <c r="B68" s="473" t="str">
        <f>"北京市平均增长率"&amp;TEXT(基准地价!P24,"0.00%")</f>
        <v>北京市平均增长率1.19%</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2528</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2530</v>
      </c>
      <c r="C95" s="2442" t="s">
        <v>2531</v>
      </c>
      <c r="D95" s="2442" t="s">
        <v>2532</v>
      </c>
      <c r="E95" s="2442" t="s">
        <v>2533</v>
      </c>
      <c r="F95" s="2442" t="s">
        <v>2534</v>
      </c>
      <c r="G95" s="2442" t="s">
        <v>2535</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2409</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4</v>
      </c>
      <c r="H3" s="1362" t="s">
        <v>919</v>
      </c>
      <c r="I3" s="1026">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76" t="str">
        <f>IF(E2="商业",IF(C8="不临58条商业街","",2),"")</f>
        <v/>
      </c>
      <c r="B7" s="1375" t="s">
        <v>922</v>
      </c>
      <c r="C7" s="1029" t="e">
        <f>IF(C8="不临58条商业街",1,ROUND(1+(1.6*E8+1.2*E9+0.8*E10+0.4*E11)*C9,4))</f>
        <v>#DIV/0!</v>
      </c>
      <c r="D7" s="1376" t="s">
        <v>923</v>
      </c>
      <c r="E7" s="1030"/>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2743</v>
      </c>
      <c r="X7" s="2644">
        <f>G2</f>
        <v>0</v>
      </c>
      <c r="Y7" s="2644" t="s">
        <v>2744</v>
      </c>
      <c r="Z7" s="2645">
        <f>G3</f>
        <v>4</v>
      </c>
      <c r="AA7" s="2073"/>
      <c r="AB7" s="2073"/>
      <c r="AC7" s="2074"/>
      <c r="AD7" s="2646"/>
      <c r="AE7" s="2646"/>
      <c r="AF7" s="2646"/>
      <c r="AG7" s="2646"/>
      <c r="AH7" s="2646"/>
      <c r="AI7" s="2646"/>
      <c r="AJ7" s="2647"/>
    </row>
    <row r="8" spans="1:39" ht="15">
      <c r="A8" s="3577"/>
      <c r="B8" s="1362" t="s">
        <v>924</v>
      </c>
      <c r="C8" s="1468"/>
      <c r="D8" s="1031" t="s">
        <v>925</v>
      </c>
      <c r="E8" s="1032"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87" t="s">
        <v>2761</v>
      </c>
      <c r="X8" s="3588"/>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77"/>
      <c r="B9" s="1362" t="s">
        <v>927</v>
      </c>
      <c r="C9" s="1033">
        <f>SUMIF(修正!C59:C119,C8,修正!E59:E119)</f>
        <v>0</v>
      </c>
      <c r="D9" s="1034" t="s">
        <v>928</v>
      </c>
      <c r="E9" s="1034"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86" t="s">
        <v>2757</v>
      </c>
      <c r="X9" s="2648" t="s">
        <v>2758</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77"/>
      <c r="B10" s="1362" t="s">
        <v>930</v>
      </c>
      <c r="C10" s="1034">
        <f>SUMIF(修正!C59:C119,C8,修正!F59:F119)</f>
        <v>0</v>
      </c>
      <c r="D10" s="1034" t="s">
        <v>931</v>
      </c>
      <c r="E10" s="1034"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86"/>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77"/>
      <c r="B11" s="1383" t="s">
        <v>933</v>
      </c>
      <c r="C11" s="1035">
        <f>C10/4</f>
        <v>0</v>
      </c>
      <c r="D11" s="1035" t="s">
        <v>934</v>
      </c>
      <c r="E11" s="1035"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86" t="s">
        <v>2759</v>
      </c>
      <c r="X11" s="1034" t="s">
        <v>2744</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76" t="s">
        <v>1861</v>
      </c>
      <c r="B12" s="1387" t="s">
        <v>936</v>
      </c>
      <c r="C12" s="1029">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86"/>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78"/>
      <c r="B13" s="1392" t="s">
        <v>1686</v>
      </c>
      <c r="C13" s="1393" t="s">
        <v>1687</v>
      </c>
      <c r="D13" s="1071" t="s">
        <v>1688</v>
      </c>
      <c r="E13" s="1071"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86"/>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78"/>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79"/>
      <c r="B15" s="2848" t="s">
        <v>1690</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76" t="s">
        <v>1828</v>
      </c>
      <c r="B16" s="1375" t="s">
        <v>940</v>
      </c>
      <c r="C16" s="1038" t="e">
        <f>ROUND(IF(F17="与级别开发程度一致",0,(G17-E17)/C17),0)</f>
        <v>#DIV/0!</v>
      </c>
      <c r="D16" s="3594" t="s">
        <v>944</v>
      </c>
      <c r="E16" s="3595"/>
      <c r="F16" s="3594" t="s">
        <v>941</v>
      </c>
      <c r="G16" s="3595"/>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80"/>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ROUND(IF(H19="按公示增长率计算",SUMPRODUCT((地价!A3:A33=YEAR(G19)&amp;"-"&amp;ROUNDUP(MONTH(G19)/3,0))*(地价!X2:AB2=E2)*(地价!X3:AB33)),IF(H19="地价指数",M20/M19,(1+I19)^O19)),4)</f>
        <v>0</v>
      </c>
      <c r="D19" s="1414" t="s">
        <v>947</v>
      </c>
      <c r="E19" s="1040">
        <v>41640</v>
      </c>
      <c r="F19" s="1414" t="s">
        <v>948</v>
      </c>
      <c r="G19" s="1041">
        <f>'数据-取费表'!B2</f>
        <v>44258</v>
      </c>
      <c r="H19" s="1415" t="s">
        <v>2949</v>
      </c>
      <c r="I19" s="2503" t="str">
        <f>IF(H19="季度增幅（自定义）",SUMIF(N21:N24,E2,O21:O24),"")</f>
        <v/>
      </c>
      <c r="J19" s="1411"/>
      <c r="K19" s="3234"/>
      <c r="L19" s="2753" t="s">
        <v>2819</v>
      </c>
      <c r="M19" s="2754">
        <f>ROUND(SUMIF(地价!B2:F2,E2,地价!B33:F33),0)</f>
        <v>0</v>
      </c>
      <c r="N19" s="2505" t="s">
        <v>1666</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3.85E-2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2820</v>
      </c>
      <c r="M20" s="2837">
        <f>ROUND(SUMPRODUCT((地价!A4:A33=YEAR(G19)&amp;"-"&amp;ROUNDUP(MONTH(G19)/3,0))*(地价!B2:F2=E2)*(地价!B4:F33)),0)</f>
        <v>0</v>
      </c>
      <c r="N20" s="2508" t="s">
        <v>2624</v>
      </c>
      <c r="O20" s="2506" t="s">
        <v>2623</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0" t="b">
        <f>IF(B21="容积率修正",IF(G3&lt;=10,D22,J22),C23)</f>
        <v>0</v>
      </c>
      <c r="D21" s="1421"/>
      <c r="E21" s="1421"/>
      <c r="F21" s="1421"/>
      <c r="G21" s="1421"/>
      <c r="H21" s="1421"/>
      <c r="I21" s="1421"/>
      <c r="J21" s="1422"/>
      <c r="K21" s="3234"/>
      <c r="L21" s="1421"/>
      <c r="M21" s="1421"/>
      <c r="N21" s="1418" t="s">
        <v>965</v>
      </c>
      <c r="O21" s="1481"/>
      <c r="P21" s="2495">
        <f>SUMPRODUCT((地价!A3:A33=YEAR(G19)&amp;"-"&amp;ROUNDUP(MONTH(G19)/3,0))*(地价!AD2:AH2=N21)*(地价!AD3:AH33))</f>
        <v>1.0999999999999999E-2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40"/>
      <c r="L22" s="1421"/>
      <c r="M22" s="1421"/>
      <c r="N22" s="1418" t="s">
        <v>968</v>
      </c>
      <c r="O22" s="1481"/>
      <c r="P22" s="2495">
        <f>SUMPRODUCT((地价!A3:A33=YEAR(G19)&amp;"-"&amp;ROUNDUP(MONTH(G19)/3,0))*(地价!AD2:AH2=N22)*(地价!AD3:AH33))</f>
        <v>1.0999999999999999E-2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SUMPRODUCT((地价!A3:A33=YEAR(G19)&amp;"-"&amp;ROUNDUP(MONTH(G19)/3,0))*(地价!AD2:AH2=N23)*(地价!AD3:AH33))</f>
        <v>1.8499999999999999E-2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41"/>
      <c r="L24" s="1421"/>
      <c r="M24" s="1421"/>
      <c r="N24" s="1418" t="s">
        <v>971</v>
      </c>
      <c r="O24" s="2836"/>
      <c r="P24" s="2495">
        <f>SUMPRODUCT((地价!A3:A33=YEAR(G19)&amp;"-"&amp;ROUNDUP(MONTH(G19)/3,0))*(地价!AD2:AH2=N24)*(地价!AD3:AH33))</f>
        <v>1.1900000000000001E-2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2627</v>
      </c>
      <c r="O25" s="2839"/>
      <c r="P25" s="2302">
        <f>SUMPRODUCT((地价!A3:A33=YEAR(G19)&amp;"-"&amp;ROUNDUP(MONTH(G19)/3,0))*(地价!AD2:AH2=N25)*(地价!AD3:AH33))</f>
        <v>1.6799999999999999E-2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5"/>
      <c r="L27" s="1408" t="s">
        <v>977</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83"/>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83" t="s">
        <v>2988</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84"/>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84"/>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84"/>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84"/>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85"/>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85"/>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2943</v>
      </c>
      <c r="C41" s="828" t="e">
        <f>ROUND(POWER(1+E41,H41-G41)*(POWER(1+E41,G41)-1)/(POWER(1+E41,H41)-1),4)</f>
        <v>#DIV/0!</v>
      </c>
      <c r="D41" s="372" t="s">
        <v>2941</v>
      </c>
      <c r="E41" s="2832">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1011</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5" t="s">
        <v>2899</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4" t="s">
        <v>2898</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1011</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5" t="s">
        <v>2900</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4" t="s">
        <v>2898</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1022</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1023</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4" t="s">
        <v>2898</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4" t="s">
        <v>2898</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81" t="s">
        <v>1623</v>
      </c>
      <c r="B90" s="3581"/>
      <c r="C90" s="3581"/>
      <c r="D90" s="3581"/>
      <c r="E90" s="3581"/>
      <c r="F90" s="3581"/>
      <c r="G90" s="3581"/>
      <c r="H90" s="3581"/>
      <c r="I90" s="3581"/>
      <c r="J90" s="3581"/>
      <c r="K90" s="2305"/>
      <c r="L90" s="2305"/>
      <c r="M90" s="2305"/>
      <c r="N90" s="2305"/>
    </row>
    <row r="91" spans="1:40">
      <c r="A91" s="3582" t="s">
        <v>1433</v>
      </c>
      <c r="B91" s="3582" t="s">
        <v>1624</v>
      </c>
      <c r="C91" s="1122" t="s">
        <v>1625</v>
      </c>
      <c r="D91" s="1123"/>
      <c r="E91" s="1123"/>
      <c r="F91" s="1123"/>
      <c r="G91" s="1123"/>
      <c r="H91" s="1123"/>
      <c r="I91" s="1123"/>
      <c r="J91" s="1124"/>
      <c r="K91" s="1116"/>
      <c r="L91" s="1116"/>
      <c r="M91" s="1116"/>
      <c r="N91" s="1116"/>
    </row>
    <row r="92" spans="1:40">
      <c r="A92" s="3582"/>
      <c r="B92" s="3582"/>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89"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90"/>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90"/>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90"/>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90"/>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90"/>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90"/>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91"/>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89" t="s">
        <v>1627</v>
      </c>
      <c r="B101" s="1129" t="s">
        <v>896</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90"/>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90"/>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90"/>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90"/>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90"/>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90"/>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90"/>
      <c r="B108" s="3592"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91"/>
      <c r="B109" s="3593"/>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75" t="s">
        <v>1629</v>
      </c>
      <c r="B110" s="3575"/>
      <c r="C110" s="3575"/>
      <c r="D110" s="3575"/>
      <c r="E110" s="3575"/>
      <c r="F110" s="3575"/>
      <c r="G110" s="3575"/>
      <c r="H110" s="3575"/>
      <c r="I110" s="3575"/>
      <c r="J110" s="3575"/>
      <c r="K110" s="2303"/>
      <c r="L110" s="2303"/>
      <c r="M110" s="2303"/>
      <c r="N110" s="2303"/>
    </row>
    <row r="112" spans="1:14" ht="12.75" thickBot="1"/>
    <row r="113" spans="1:13" ht="25.5" thickBot="1">
      <c r="A113" s="1002" t="s">
        <v>886</v>
      </c>
      <c r="B113" s="2306">
        <f>G3</f>
        <v>4</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891</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892</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893</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2946</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82" t="s">
        <v>997</v>
      </c>
      <c r="B18" s="1136" t="s">
        <v>1436</v>
      </c>
      <c r="C18" s="1113" t="s">
        <v>1437</v>
      </c>
      <c r="D18" s="1114"/>
      <c r="E18" s="1136">
        <v>1</v>
      </c>
      <c r="F18" s="1115" t="s">
        <v>1438</v>
      </c>
      <c r="G18" s="1116"/>
      <c r="H18" s="1087"/>
      <c r="I18" s="1087"/>
    </row>
    <row r="19" spans="1:9" s="1529" customFormat="1" ht="19.5" customHeight="1">
      <c r="A19" s="3582"/>
      <c r="B19" s="3582" t="s">
        <v>1439</v>
      </c>
      <c r="C19" s="1113" t="s">
        <v>1440</v>
      </c>
      <c r="D19" s="1114"/>
      <c r="E19" s="1136">
        <v>0.9</v>
      </c>
      <c r="F19" s="1115" t="s">
        <v>1441</v>
      </c>
      <c r="G19" s="1116"/>
      <c r="H19" s="1087"/>
      <c r="I19" s="1087"/>
    </row>
    <row r="20" spans="1:9" s="1529" customFormat="1" ht="19.5" customHeight="1">
      <c r="A20" s="3582"/>
      <c r="B20" s="3582"/>
      <c r="C20" s="1113" t="s">
        <v>1442</v>
      </c>
      <c r="D20" s="1114"/>
      <c r="E20" s="1136">
        <v>1.1000000000000001</v>
      </c>
      <c r="F20" s="1115" t="s">
        <v>1443</v>
      </c>
      <c r="G20" s="1116"/>
      <c r="H20" s="1087"/>
      <c r="I20" s="1087"/>
    </row>
    <row r="21" spans="1:9" s="1529" customFormat="1" ht="19.5" customHeight="1">
      <c r="A21" s="3582"/>
      <c r="B21" s="3582"/>
      <c r="C21" s="1113" t="s">
        <v>1444</v>
      </c>
      <c r="D21" s="1114"/>
      <c r="E21" s="1136">
        <v>0.8</v>
      </c>
      <c r="F21" s="1115" t="s">
        <v>1445</v>
      </c>
      <c r="G21" s="1116"/>
      <c r="H21" s="1087"/>
      <c r="I21" s="1087"/>
    </row>
    <row r="22" spans="1:9" s="1529" customFormat="1" ht="19.5" customHeight="1">
      <c r="A22" s="3582"/>
      <c r="B22" s="3582"/>
      <c r="C22" s="1113" t="s">
        <v>1446</v>
      </c>
      <c r="D22" s="1114"/>
      <c r="E22" s="1136">
        <v>0.5</v>
      </c>
      <c r="F22" s="1115"/>
      <c r="G22" s="1116"/>
      <c r="H22" s="1087"/>
      <c r="I22" s="1087"/>
    </row>
    <row r="23" spans="1:9" s="1529" customFormat="1" ht="19.5" customHeight="1">
      <c r="A23" s="3582" t="s">
        <v>1019</v>
      </c>
      <c r="B23" s="1136" t="s">
        <v>1436</v>
      </c>
      <c r="C23" s="1113" t="s">
        <v>1447</v>
      </c>
      <c r="D23" s="1114"/>
      <c r="E23" s="1136">
        <v>1</v>
      </c>
      <c r="F23" s="1115" t="s">
        <v>1448</v>
      </c>
      <c r="G23" s="1116"/>
      <c r="H23" s="1087"/>
      <c r="I23" s="1087"/>
    </row>
    <row r="24" spans="1:9" s="1529" customFormat="1" ht="19.5" customHeight="1">
      <c r="A24" s="3582"/>
      <c r="B24" s="3582" t="s">
        <v>1439</v>
      </c>
      <c r="C24" s="1113" t="s">
        <v>1449</v>
      </c>
      <c r="D24" s="1114"/>
      <c r="E24" s="1136">
        <v>0.5</v>
      </c>
      <c r="F24" s="1115"/>
      <c r="G24" s="1116"/>
      <c r="H24" s="1087"/>
      <c r="I24" s="1087"/>
    </row>
    <row r="25" spans="1:9" s="1529" customFormat="1" ht="19.5" customHeight="1">
      <c r="A25" s="3582"/>
      <c r="B25" s="3582"/>
      <c r="C25" s="1113" t="s">
        <v>1450</v>
      </c>
      <c r="D25" s="1114"/>
      <c r="E25" s="1136">
        <v>1.1000000000000001</v>
      </c>
      <c r="F25" s="1115"/>
      <c r="G25" s="1116"/>
      <c r="H25" s="1087"/>
      <c r="I25" s="1087"/>
    </row>
    <row r="26" spans="1:9" s="1529" customFormat="1" ht="19.5" customHeight="1">
      <c r="A26" s="3582"/>
      <c r="B26" s="3582"/>
      <c r="C26" s="1113" t="s">
        <v>1451</v>
      </c>
      <c r="D26" s="1114"/>
      <c r="E26" s="1136">
        <v>1.1000000000000001</v>
      </c>
      <c r="F26" s="1115"/>
      <c r="G26" s="1116"/>
      <c r="H26" s="1087"/>
      <c r="I26" s="1087"/>
    </row>
    <row r="27" spans="1:9" s="1529" customFormat="1" ht="19.5" customHeight="1">
      <c r="A27" s="3582"/>
      <c r="B27" s="3582"/>
      <c r="C27" s="1113" t="s">
        <v>1452</v>
      </c>
      <c r="D27" s="1114"/>
      <c r="E27" s="1136">
        <v>0.9</v>
      </c>
      <c r="F27" s="1115" t="s">
        <v>1453</v>
      </c>
      <c r="G27" s="1116"/>
      <c r="H27" s="1087"/>
      <c r="I27" s="1087"/>
    </row>
    <row r="28" spans="1:9" s="1529" customFormat="1" ht="19.5" customHeight="1">
      <c r="A28" s="3582"/>
      <c r="B28" s="3582"/>
      <c r="C28" s="1113" t="s">
        <v>1454</v>
      </c>
      <c r="D28" s="1114"/>
      <c r="E28" s="1136">
        <v>0.9</v>
      </c>
      <c r="F28" s="1115" t="s">
        <v>1455</v>
      </c>
      <c r="G28" s="1116"/>
      <c r="H28" s="1087"/>
      <c r="I28" s="1087"/>
    </row>
    <row r="29" spans="1:9" s="1529" customFormat="1" ht="19.5" customHeight="1">
      <c r="A29" s="3582"/>
      <c r="B29" s="3582"/>
      <c r="C29" s="1113" t="s">
        <v>1456</v>
      </c>
      <c r="D29" s="1114"/>
      <c r="E29" s="1136">
        <v>0.9</v>
      </c>
      <c r="F29" s="1115" t="s">
        <v>1457</v>
      </c>
      <c r="G29" s="1116"/>
      <c r="H29" s="1087"/>
      <c r="I29" s="1087"/>
    </row>
    <row r="30" spans="1:9" s="1529" customFormat="1" ht="19.5" customHeight="1">
      <c r="A30" s="3582"/>
      <c r="B30" s="3582"/>
      <c r="C30" s="1113" t="s">
        <v>1458</v>
      </c>
      <c r="D30" s="1114"/>
      <c r="E30" s="1136">
        <v>0.9</v>
      </c>
      <c r="F30" s="1115" t="s">
        <v>1459</v>
      </c>
      <c r="G30" s="1116"/>
      <c r="H30" s="1087"/>
      <c r="I30" s="1087"/>
    </row>
    <row r="31" spans="1:9" s="1529" customFormat="1" ht="19.5" customHeight="1">
      <c r="A31" s="3582"/>
      <c r="B31" s="3582"/>
      <c r="C31" s="1113" t="s">
        <v>1460</v>
      </c>
      <c r="D31" s="1114"/>
      <c r="E31" s="1136">
        <v>0.8</v>
      </c>
      <c r="F31" s="1115" t="s">
        <v>1461</v>
      </c>
      <c r="G31" s="1116"/>
      <c r="H31" s="1087"/>
      <c r="I31" s="1087"/>
    </row>
    <row r="32" spans="1:9" s="1529" customFormat="1" ht="19.5" customHeight="1">
      <c r="A32" s="3582"/>
      <c r="B32" s="3582"/>
      <c r="C32" s="1113" t="s">
        <v>1462</v>
      </c>
      <c r="D32" s="1114"/>
      <c r="E32" s="1136">
        <v>0.8</v>
      </c>
      <c r="F32" s="1115" t="s">
        <v>1463</v>
      </c>
      <c r="G32" s="1116"/>
      <c r="H32" s="1087"/>
      <c r="I32" s="1087"/>
    </row>
    <row r="33" spans="1:9" s="1529" customFormat="1" ht="19.5" customHeight="1">
      <c r="A33" s="3582" t="s">
        <v>1464</v>
      </c>
      <c r="B33" s="1136" t="s">
        <v>1436</v>
      </c>
      <c r="C33" s="1113" t="s">
        <v>1465</v>
      </c>
      <c r="D33" s="1114"/>
      <c r="E33" s="1136">
        <v>1</v>
      </c>
      <c r="F33" s="1115" t="s">
        <v>1466</v>
      </c>
      <c r="G33" s="1116"/>
      <c r="H33" s="1087"/>
      <c r="I33" s="1087"/>
    </row>
    <row r="34" spans="1:9" s="1529" customFormat="1" ht="19.5" customHeight="1">
      <c r="A34" s="3582"/>
      <c r="B34" s="1136" t="s">
        <v>1439</v>
      </c>
      <c r="C34" s="1113" t="s">
        <v>1467</v>
      </c>
      <c r="D34" s="1114"/>
      <c r="E34" s="1136">
        <v>1.5</v>
      </c>
      <c r="F34" s="1115" t="s">
        <v>1468</v>
      </c>
      <c r="G34" s="1116"/>
      <c r="H34" s="1087"/>
      <c r="I34" s="1087"/>
    </row>
    <row r="35" spans="1:9" s="1529" customFormat="1" ht="19.5" customHeight="1">
      <c r="A35" s="3582" t="s">
        <v>1422</v>
      </c>
      <c r="B35" s="1136" t="s">
        <v>1436</v>
      </c>
      <c r="C35" s="1113" t="s">
        <v>1469</v>
      </c>
      <c r="D35" s="1114"/>
      <c r="E35" s="1136">
        <v>1</v>
      </c>
      <c r="F35" s="1115" t="s">
        <v>1470</v>
      </c>
      <c r="G35" s="1116"/>
      <c r="H35" s="1087"/>
      <c r="I35" s="1087"/>
    </row>
    <row r="36" spans="1:9" s="1529" customFormat="1" ht="19.5" customHeight="1">
      <c r="A36" s="3582"/>
      <c r="B36" s="3582" t="s">
        <v>1439</v>
      </c>
      <c r="C36" s="1113" t="s">
        <v>1471</v>
      </c>
      <c r="D36" s="1114"/>
      <c r="E36" s="1136">
        <v>1</v>
      </c>
      <c r="F36" s="1115" t="s">
        <v>1472</v>
      </c>
      <c r="G36" s="1116"/>
      <c r="H36" s="1087"/>
      <c r="I36" s="1087"/>
    </row>
    <row r="37" spans="1:9" s="1529" customFormat="1" ht="19.5" customHeight="1">
      <c r="A37" s="3582"/>
      <c r="B37" s="3582"/>
      <c r="C37" s="1113" t="s">
        <v>1473</v>
      </c>
      <c r="D37" s="1114"/>
      <c r="E37" s="1136">
        <v>1.5</v>
      </c>
      <c r="F37" s="1115" t="s">
        <v>1474</v>
      </c>
      <c r="G37" s="1116"/>
      <c r="H37" s="1087"/>
      <c r="I37" s="1087"/>
    </row>
    <row r="38" spans="1:9" s="1529" customFormat="1" ht="19.5" customHeight="1">
      <c r="A38" s="3582"/>
      <c r="B38" s="3582"/>
      <c r="C38" s="1113" t="s">
        <v>1475</v>
      </c>
      <c r="D38" s="1114"/>
      <c r="E38" s="1136">
        <v>1</v>
      </c>
      <c r="F38" s="1115" t="s">
        <v>1476</v>
      </c>
      <c r="G38" s="1116"/>
      <c r="H38" s="1087"/>
      <c r="I38" s="1087"/>
    </row>
    <row r="39" spans="1:9" s="1529" customFormat="1" ht="19.5" customHeight="1">
      <c r="A39" s="3582"/>
      <c r="B39" s="3582"/>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82" t="s">
        <v>1491</v>
      </c>
      <c r="C61" s="1050" t="s">
        <v>1492</v>
      </c>
      <c r="D61" s="1050" t="s">
        <v>1493</v>
      </c>
      <c r="E61" s="1121">
        <v>0.5</v>
      </c>
      <c r="F61" s="1136">
        <v>80</v>
      </c>
      <c r="H61" s="1087">
        <f>SUMIF(C59:C119,基准地价!C8,E59:E119)</f>
        <v>0</v>
      </c>
    </row>
    <row r="62" spans="1:8" s="1087" customFormat="1" ht="24">
      <c r="A62" s="1136">
        <v>2</v>
      </c>
      <c r="B62" s="3582"/>
      <c r="C62" s="1050" t="s">
        <v>1494</v>
      </c>
      <c r="D62" s="1050" t="s">
        <v>1495</v>
      </c>
      <c r="E62" s="1121">
        <v>0.5</v>
      </c>
      <c r="F62" s="1136">
        <v>80</v>
      </c>
    </row>
    <row r="63" spans="1:8" s="1087" customFormat="1" ht="36">
      <c r="A63" s="1136">
        <v>3</v>
      </c>
      <c r="B63" s="3582"/>
      <c r="C63" s="1050" t="s">
        <v>1496</v>
      </c>
      <c r="D63" s="1050" t="s">
        <v>1497</v>
      </c>
      <c r="E63" s="1121">
        <v>0.5</v>
      </c>
      <c r="F63" s="1136">
        <v>80</v>
      </c>
    </row>
    <row r="64" spans="1:8" s="1087" customFormat="1" ht="36">
      <c r="A64" s="1136">
        <v>4</v>
      </c>
      <c r="B64" s="3582"/>
      <c r="C64" s="1050" t="s">
        <v>1498</v>
      </c>
      <c r="D64" s="1050" t="s">
        <v>1499</v>
      </c>
      <c r="E64" s="1121">
        <v>0.4</v>
      </c>
      <c r="F64" s="1136">
        <v>60</v>
      </c>
    </row>
    <row r="65" spans="1:6" s="1087" customFormat="1" ht="36">
      <c r="A65" s="1136">
        <v>5</v>
      </c>
      <c r="B65" s="3582"/>
      <c r="C65" s="1050" t="s">
        <v>1500</v>
      </c>
      <c r="D65" s="1050" t="s">
        <v>1501</v>
      </c>
      <c r="E65" s="1121">
        <v>0.2</v>
      </c>
      <c r="F65" s="1136">
        <v>30</v>
      </c>
    </row>
    <row r="66" spans="1:6" s="1087" customFormat="1" ht="36">
      <c r="A66" s="1136">
        <v>6</v>
      </c>
      <c r="B66" s="3582"/>
      <c r="C66" s="1050" t="s">
        <v>1502</v>
      </c>
      <c r="D66" s="1050" t="s">
        <v>1503</v>
      </c>
      <c r="E66" s="1121">
        <v>0.3</v>
      </c>
      <c r="F66" s="1136">
        <v>50</v>
      </c>
    </row>
    <row r="67" spans="1:6" s="1087" customFormat="1" ht="36">
      <c r="A67" s="1136">
        <v>7</v>
      </c>
      <c r="B67" s="3582"/>
      <c r="C67" s="1050" t="s">
        <v>1504</v>
      </c>
      <c r="D67" s="1050" t="s">
        <v>1505</v>
      </c>
      <c r="E67" s="1121">
        <v>0.2</v>
      </c>
      <c r="F67" s="1136">
        <v>30</v>
      </c>
    </row>
    <row r="68" spans="1:6" s="1087" customFormat="1" ht="36">
      <c r="A68" s="1136">
        <v>8</v>
      </c>
      <c r="B68" s="3582"/>
      <c r="C68" s="1050" t="s">
        <v>1506</v>
      </c>
      <c r="D68" s="1050" t="s">
        <v>1507</v>
      </c>
      <c r="E68" s="1121">
        <v>0.2</v>
      </c>
      <c r="F68" s="1136">
        <v>30</v>
      </c>
    </row>
    <row r="69" spans="1:6" s="1087" customFormat="1" ht="36">
      <c r="A69" s="1136">
        <v>9</v>
      </c>
      <c r="B69" s="3582"/>
      <c r="C69" s="1050" t="s">
        <v>1508</v>
      </c>
      <c r="D69" s="1050" t="s">
        <v>1509</v>
      </c>
      <c r="E69" s="1121">
        <v>0.2</v>
      </c>
      <c r="F69" s="1136">
        <v>30</v>
      </c>
    </row>
    <row r="70" spans="1:6" s="1087" customFormat="1" ht="48">
      <c r="A70" s="1136">
        <v>10</v>
      </c>
      <c r="B70" s="3582"/>
      <c r="C70" s="1050" t="s">
        <v>1510</v>
      </c>
      <c r="D70" s="1050" t="s">
        <v>1511</v>
      </c>
      <c r="E70" s="1121">
        <v>0.2</v>
      </c>
      <c r="F70" s="1136">
        <v>30</v>
      </c>
    </row>
    <row r="71" spans="1:6" s="1087" customFormat="1" ht="48">
      <c r="A71" s="1136">
        <v>11</v>
      </c>
      <c r="B71" s="3582"/>
      <c r="C71" s="1050" t="s">
        <v>1512</v>
      </c>
      <c r="D71" s="1050" t="s">
        <v>1513</v>
      </c>
      <c r="E71" s="1121">
        <v>0.2</v>
      </c>
      <c r="F71" s="1136">
        <v>30</v>
      </c>
    </row>
    <row r="72" spans="1:6" s="1087" customFormat="1" ht="36">
      <c r="A72" s="1136">
        <v>12</v>
      </c>
      <c r="B72" s="3582"/>
      <c r="C72" s="1050" t="s">
        <v>1514</v>
      </c>
      <c r="D72" s="1050" t="s">
        <v>1515</v>
      </c>
      <c r="E72" s="1121">
        <v>0.5</v>
      </c>
      <c r="F72" s="1136">
        <v>80</v>
      </c>
    </row>
    <row r="73" spans="1:6" s="1087" customFormat="1" ht="24">
      <c r="A73" s="1136">
        <v>13</v>
      </c>
      <c r="B73" s="3582"/>
      <c r="C73" s="1050" t="s">
        <v>1516</v>
      </c>
      <c r="D73" s="1050" t="s">
        <v>1517</v>
      </c>
      <c r="E73" s="1121">
        <v>0.4</v>
      </c>
      <c r="F73" s="1136">
        <v>60</v>
      </c>
    </row>
    <row r="74" spans="1:6" s="1087" customFormat="1" ht="24">
      <c r="A74" s="1136">
        <v>14</v>
      </c>
      <c r="B74" s="3582"/>
      <c r="C74" s="1050" t="s">
        <v>1518</v>
      </c>
      <c r="D74" s="1050" t="s">
        <v>1519</v>
      </c>
      <c r="E74" s="1121">
        <v>0.2</v>
      </c>
      <c r="F74" s="1136">
        <v>30</v>
      </c>
    </row>
    <row r="75" spans="1:6" s="1087" customFormat="1" ht="24">
      <c r="A75" s="1136">
        <v>15</v>
      </c>
      <c r="B75" s="3582"/>
      <c r="C75" s="1050" t="s">
        <v>1520</v>
      </c>
      <c r="D75" s="1050" t="s">
        <v>1521</v>
      </c>
      <c r="E75" s="1121">
        <v>0.2</v>
      </c>
      <c r="F75" s="1136">
        <v>30</v>
      </c>
    </row>
    <row r="76" spans="1:6" s="1087" customFormat="1" ht="24">
      <c r="A76" s="1136">
        <v>16</v>
      </c>
      <c r="B76" s="3582" t="s">
        <v>1522</v>
      </c>
      <c r="C76" s="1050" t="s">
        <v>1523</v>
      </c>
      <c r="D76" s="1050" t="s">
        <v>1524</v>
      </c>
      <c r="E76" s="1121">
        <v>0.5</v>
      </c>
      <c r="F76" s="1136">
        <v>80</v>
      </c>
    </row>
    <row r="77" spans="1:6" s="1087" customFormat="1" ht="24">
      <c r="A77" s="1136">
        <v>17</v>
      </c>
      <c r="B77" s="3582"/>
      <c r="C77" s="1050" t="s">
        <v>1525</v>
      </c>
      <c r="D77" s="1050" t="s">
        <v>1526</v>
      </c>
      <c r="E77" s="1121">
        <v>0.5</v>
      </c>
      <c r="F77" s="1136">
        <v>80</v>
      </c>
    </row>
    <row r="78" spans="1:6" s="1087" customFormat="1" ht="24">
      <c r="A78" s="1136">
        <v>18</v>
      </c>
      <c r="B78" s="3582"/>
      <c r="C78" s="1050" t="s">
        <v>1527</v>
      </c>
      <c r="D78" s="1050" t="s">
        <v>1528</v>
      </c>
      <c r="E78" s="1121">
        <v>0.2</v>
      </c>
      <c r="F78" s="1136">
        <v>30</v>
      </c>
    </row>
    <row r="79" spans="1:6" s="1087" customFormat="1" ht="24">
      <c r="A79" s="1136">
        <v>19</v>
      </c>
      <c r="B79" s="3582"/>
      <c r="C79" s="1050" t="s">
        <v>1529</v>
      </c>
      <c r="D79" s="1050" t="s">
        <v>1530</v>
      </c>
      <c r="E79" s="1121">
        <v>0.5</v>
      </c>
      <c r="F79" s="1136">
        <v>80</v>
      </c>
    </row>
    <row r="80" spans="1:6" s="1087" customFormat="1" ht="36">
      <c r="A80" s="1136">
        <v>20</v>
      </c>
      <c r="B80" s="3582"/>
      <c r="C80" s="1050" t="s">
        <v>1531</v>
      </c>
      <c r="D80" s="1050" t="s">
        <v>1532</v>
      </c>
      <c r="E80" s="1121">
        <v>0.2</v>
      </c>
      <c r="F80" s="1136">
        <v>30</v>
      </c>
    </row>
    <row r="81" spans="1:6" s="1087" customFormat="1" ht="36">
      <c r="A81" s="1136">
        <v>21</v>
      </c>
      <c r="B81" s="3582"/>
      <c r="C81" s="1050" t="s">
        <v>1533</v>
      </c>
      <c r="D81" s="1050" t="s">
        <v>1534</v>
      </c>
      <c r="E81" s="1121">
        <v>0.2</v>
      </c>
      <c r="F81" s="1136">
        <v>30</v>
      </c>
    </row>
    <row r="82" spans="1:6" s="1087" customFormat="1" ht="48">
      <c r="A82" s="1136">
        <v>22</v>
      </c>
      <c r="B82" s="3582"/>
      <c r="C82" s="1050" t="s">
        <v>1535</v>
      </c>
      <c r="D82" s="1050" t="s">
        <v>1536</v>
      </c>
      <c r="E82" s="1121">
        <v>0.2</v>
      </c>
      <c r="F82" s="1136">
        <v>30</v>
      </c>
    </row>
    <row r="83" spans="1:6" s="1087" customFormat="1" ht="48">
      <c r="A83" s="1136">
        <v>23</v>
      </c>
      <c r="B83" s="3582"/>
      <c r="C83" s="1050" t="s">
        <v>1537</v>
      </c>
      <c r="D83" s="1050" t="s">
        <v>1538</v>
      </c>
      <c r="E83" s="1121">
        <v>0.2</v>
      </c>
      <c r="F83" s="1136">
        <v>30</v>
      </c>
    </row>
    <row r="84" spans="1:6" s="1087" customFormat="1" ht="36">
      <c r="A84" s="1136">
        <v>24</v>
      </c>
      <c r="B84" s="3582"/>
      <c r="C84" s="1050" t="s">
        <v>1539</v>
      </c>
      <c r="D84" s="1050" t="s">
        <v>1540</v>
      </c>
      <c r="E84" s="1121">
        <v>0.2</v>
      </c>
      <c r="F84" s="1136">
        <v>30</v>
      </c>
    </row>
    <row r="85" spans="1:6" s="1087" customFormat="1" ht="36">
      <c r="A85" s="1136">
        <v>25</v>
      </c>
      <c r="B85" s="3582"/>
      <c r="C85" s="1050" t="s">
        <v>1541</v>
      </c>
      <c r="D85" s="1050" t="s">
        <v>1542</v>
      </c>
      <c r="E85" s="1121">
        <v>0.5</v>
      </c>
      <c r="F85" s="1136">
        <v>80</v>
      </c>
    </row>
    <row r="86" spans="1:6" s="1087" customFormat="1" ht="36">
      <c r="A86" s="1136">
        <v>26</v>
      </c>
      <c r="B86" s="3582"/>
      <c r="C86" s="1050" t="s">
        <v>1543</v>
      </c>
      <c r="D86" s="1050" t="s">
        <v>1544</v>
      </c>
      <c r="E86" s="1121">
        <v>0.2</v>
      </c>
      <c r="F86" s="1136">
        <v>30</v>
      </c>
    </row>
    <row r="87" spans="1:6" s="1087" customFormat="1" ht="36">
      <c r="A87" s="1136">
        <v>27</v>
      </c>
      <c r="B87" s="3582"/>
      <c r="C87" s="1050" t="s">
        <v>1545</v>
      </c>
      <c r="D87" s="1050" t="s">
        <v>1546</v>
      </c>
      <c r="E87" s="1121">
        <v>0.2</v>
      </c>
      <c r="F87" s="1136">
        <v>30</v>
      </c>
    </row>
    <row r="88" spans="1:6" s="1087" customFormat="1" ht="36">
      <c r="A88" s="1136">
        <v>28</v>
      </c>
      <c r="B88" s="3582"/>
      <c r="C88" s="1050" t="s">
        <v>1547</v>
      </c>
      <c r="D88" s="1050" t="s">
        <v>1548</v>
      </c>
      <c r="E88" s="1121">
        <v>0.2</v>
      </c>
      <c r="F88" s="1136">
        <v>30</v>
      </c>
    </row>
    <row r="89" spans="1:6" s="1087" customFormat="1" ht="24">
      <c r="A89" s="1136">
        <v>29</v>
      </c>
      <c r="B89" s="3582"/>
      <c r="C89" s="1050" t="s">
        <v>1549</v>
      </c>
      <c r="D89" s="1050" t="s">
        <v>1550</v>
      </c>
      <c r="E89" s="1121">
        <v>0.2</v>
      </c>
      <c r="F89" s="1136">
        <v>30</v>
      </c>
    </row>
    <row r="90" spans="1:6" s="1087" customFormat="1" ht="24">
      <c r="A90" s="1136">
        <v>30</v>
      </c>
      <c r="B90" s="3582"/>
      <c r="C90" s="1050" t="s">
        <v>1551</v>
      </c>
      <c r="D90" s="1050" t="s">
        <v>1552</v>
      </c>
      <c r="E90" s="1121">
        <v>0.2</v>
      </c>
      <c r="F90" s="1136">
        <v>30</v>
      </c>
    </row>
    <row r="91" spans="1:6" s="1087" customFormat="1" ht="36">
      <c r="A91" s="1136">
        <v>31</v>
      </c>
      <c r="B91" s="3582"/>
      <c r="C91" s="1050" t="s">
        <v>1553</v>
      </c>
      <c r="D91" s="1050" t="s">
        <v>1554</v>
      </c>
      <c r="E91" s="1121">
        <v>0.2</v>
      </c>
      <c r="F91" s="1136">
        <v>30</v>
      </c>
    </row>
    <row r="92" spans="1:6" s="1087" customFormat="1" ht="24">
      <c r="A92" s="1136">
        <v>32</v>
      </c>
      <c r="B92" s="3582" t="s">
        <v>1555</v>
      </c>
      <c r="C92" s="1136" t="s">
        <v>1556</v>
      </c>
      <c r="D92" s="1050" t="s">
        <v>1557</v>
      </c>
      <c r="E92" s="1121">
        <v>0.2</v>
      </c>
      <c r="F92" s="1136">
        <v>30</v>
      </c>
    </row>
    <row r="93" spans="1:6" s="1087" customFormat="1" ht="36">
      <c r="A93" s="1136">
        <v>33</v>
      </c>
      <c r="B93" s="3582"/>
      <c r="C93" s="1136" t="s">
        <v>1558</v>
      </c>
      <c r="D93" s="1050" t="s">
        <v>1559</v>
      </c>
      <c r="E93" s="1121">
        <v>0.2</v>
      </c>
      <c r="F93" s="1136">
        <v>30</v>
      </c>
    </row>
    <row r="94" spans="1:6" s="1087" customFormat="1" ht="48">
      <c r="A94" s="1136">
        <v>34</v>
      </c>
      <c r="B94" s="3582"/>
      <c r="C94" s="1136" t="s">
        <v>1560</v>
      </c>
      <c r="D94" s="1050" t="s">
        <v>1561</v>
      </c>
      <c r="E94" s="1121">
        <v>0.2</v>
      </c>
      <c r="F94" s="1136">
        <v>30</v>
      </c>
    </row>
    <row r="95" spans="1:6" s="1087" customFormat="1" ht="36">
      <c r="A95" s="1136">
        <v>35</v>
      </c>
      <c r="B95" s="3582"/>
      <c r="C95" s="1136" t="s">
        <v>1562</v>
      </c>
      <c r="D95" s="1050" t="s">
        <v>1563</v>
      </c>
      <c r="E95" s="1121">
        <v>0.2</v>
      </c>
      <c r="F95" s="1136">
        <v>30</v>
      </c>
    </row>
    <row r="96" spans="1:6" s="1087" customFormat="1" ht="48">
      <c r="A96" s="1136">
        <v>36</v>
      </c>
      <c r="B96" s="3582"/>
      <c r="C96" s="1050" t="s">
        <v>1564</v>
      </c>
      <c r="D96" s="1050" t="s">
        <v>1565</v>
      </c>
      <c r="E96" s="1121">
        <v>0.2</v>
      </c>
      <c r="F96" s="1136">
        <v>30</v>
      </c>
    </row>
    <row r="97" spans="1:6" s="1087" customFormat="1" ht="36">
      <c r="A97" s="1136">
        <v>37</v>
      </c>
      <c r="B97" s="3582"/>
      <c r="C97" s="1136" t="s">
        <v>1566</v>
      </c>
      <c r="D97" s="1050" t="s">
        <v>1567</v>
      </c>
      <c r="E97" s="1121">
        <v>0.2</v>
      </c>
      <c r="F97" s="1136">
        <v>30</v>
      </c>
    </row>
    <row r="98" spans="1:6" s="1087" customFormat="1" ht="36">
      <c r="A98" s="1136">
        <v>38</v>
      </c>
      <c r="B98" s="3582"/>
      <c r="C98" s="1136" t="s">
        <v>1568</v>
      </c>
      <c r="D98" s="1050" t="s">
        <v>1569</v>
      </c>
      <c r="E98" s="1121">
        <v>0.2</v>
      </c>
      <c r="F98" s="1136">
        <v>30</v>
      </c>
    </row>
    <row r="99" spans="1:6" s="1087" customFormat="1" ht="36">
      <c r="A99" s="1136">
        <v>39</v>
      </c>
      <c r="B99" s="3582" t="s">
        <v>1570</v>
      </c>
      <c r="C99" s="1136" t="s">
        <v>1571</v>
      </c>
      <c r="D99" s="1050" t="s">
        <v>1572</v>
      </c>
      <c r="E99" s="1121">
        <v>0.3</v>
      </c>
      <c r="F99" s="1136">
        <v>50</v>
      </c>
    </row>
    <row r="100" spans="1:6" s="1087" customFormat="1" ht="24">
      <c r="A100" s="1136">
        <v>40</v>
      </c>
      <c r="B100" s="3582"/>
      <c r="C100" s="1136" t="s">
        <v>1573</v>
      </c>
      <c r="D100" s="1050" t="s">
        <v>1574</v>
      </c>
      <c r="E100" s="1121">
        <v>0.2</v>
      </c>
      <c r="F100" s="1136">
        <v>30</v>
      </c>
    </row>
    <row r="101" spans="1:6" s="1087" customFormat="1" ht="36">
      <c r="A101" s="1136">
        <v>41</v>
      </c>
      <c r="B101" s="3582"/>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82" t="s">
        <v>1585</v>
      </c>
      <c r="C105" s="1136" t="s">
        <v>1586</v>
      </c>
      <c r="D105" s="1050" t="s">
        <v>1587</v>
      </c>
      <c r="E105" s="1121">
        <v>0.2</v>
      </c>
      <c r="F105" s="1136">
        <v>30</v>
      </c>
    </row>
    <row r="106" spans="1:6" s="1087" customFormat="1" ht="36">
      <c r="A106" s="1136">
        <v>46</v>
      </c>
      <c r="B106" s="3582"/>
      <c r="C106" s="1136" t="s">
        <v>1588</v>
      </c>
      <c r="D106" s="1050" t="s">
        <v>1589</v>
      </c>
      <c r="E106" s="1121">
        <v>0.2</v>
      </c>
      <c r="F106" s="1136">
        <v>30</v>
      </c>
    </row>
    <row r="107" spans="1:6" s="1087" customFormat="1" ht="36">
      <c r="A107" s="1136">
        <v>47</v>
      </c>
      <c r="B107" s="3582" t="s">
        <v>1590</v>
      </c>
      <c r="C107" s="1136" t="s">
        <v>1591</v>
      </c>
      <c r="D107" s="1050" t="s">
        <v>1592</v>
      </c>
      <c r="E107" s="1121">
        <v>0.3</v>
      </c>
      <c r="F107" s="1136">
        <v>50</v>
      </c>
    </row>
    <row r="108" spans="1:6" s="1087" customFormat="1" ht="36">
      <c r="A108" s="1136">
        <v>48</v>
      </c>
      <c r="B108" s="3582"/>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82" t="s">
        <v>1601</v>
      </c>
      <c r="C111" s="1136" t="s">
        <v>1602</v>
      </c>
      <c r="D111" s="1050" t="s">
        <v>1603</v>
      </c>
      <c r="E111" s="1121">
        <v>0.2</v>
      </c>
      <c r="F111" s="1136">
        <v>30</v>
      </c>
    </row>
    <row r="112" spans="1:6" s="1087" customFormat="1" ht="24">
      <c r="A112" s="1136">
        <v>52</v>
      </c>
      <c r="B112" s="3582"/>
      <c r="C112" s="1136" t="s">
        <v>1604</v>
      </c>
      <c r="D112" s="1050" t="s">
        <v>1605</v>
      </c>
      <c r="E112" s="1121">
        <v>0.2</v>
      </c>
      <c r="F112" s="1136">
        <v>30</v>
      </c>
    </row>
    <row r="113" spans="1:14" s="1087" customFormat="1" ht="24">
      <c r="A113" s="1136">
        <v>53</v>
      </c>
      <c r="B113" s="3582"/>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82" t="s">
        <v>1614</v>
      </c>
      <c r="C116" s="1136" t="s">
        <v>1615</v>
      </c>
      <c r="D116" s="1050" t="s">
        <v>1616</v>
      </c>
      <c r="E116" s="1121">
        <v>0.2</v>
      </c>
      <c r="F116" s="1136">
        <v>30</v>
      </c>
    </row>
    <row r="117" spans="1:14" ht="36">
      <c r="A117" s="1136">
        <v>57</v>
      </c>
      <c r="B117" s="3582"/>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81" t="s">
        <v>1623</v>
      </c>
      <c r="B121" s="3581"/>
      <c r="C121" s="3581"/>
      <c r="D121" s="3581"/>
      <c r="E121" s="3581"/>
      <c r="F121" s="3581"/>
      <c r="G121" s="3581"/>
      <c r="H121" s="3581"/>
      <c r="I121" s="3581"/>
      <c r="J121" s="3581"/>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96" t="s">
        <v>1029</v>
      </c>
      <c r="B1" s="3596"/>
      <c r="C1" s="3596"/>
      <c r="D1" s="3596"/>
      <c r="E1" s="3596"/>
      <c r="F1" s="3596"/>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97" t="s">
        <v>1042</v>
      </c>
      <c r="B2" s="3597"/>
      <c r="C2" s="3597"/>
      <c r="D2" s="3597"/>
      <c r="E2" s="3597"/>
      <c r="F2" s="3597"/>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98"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99"/>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56.25">
      <c r="A7" s="1710" t="s">
        <v>2726</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本次估价对象为出让国有建设用地使用权，《国有土地使用证》[]证载土地终止日期为住宅2090年12月16日。截至估价期日，出让国有建设用地使用权剩余土地使用年限为。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0" t="s">
        <v>2067</v>
      </c>
      <c r="B1" s="3600"/>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03" t="s">
        <v>2555</v>
      </c>
      <c r="C1" s="3603"/>
      <c r="D1" s="3603"/>
      <c r="E1" s="3603"/>
      <c r="F1" s="3603"/>
      <c r="G1" s="3602" t="s">
        <v>2556</v>
      </c>
      <c r="H1" s="3602"/>
      <c r="I1" s="3602"/>
      <c r="J1" s="3602"/>
      <c r="K1" s="3602"/>
      <c r="L1" s="3602"/>
      <c r="N1" s="3602" t="s">
        <v>2557</v>
      </c>
      <c r="O1" s="3602"/>
      <c r="P1" s="3602"/>
      <c r="Q1" s="3602"/>
      <c r="S1" s="3602" t="s">
        <v>2558</v>
      </c>
      <c r="T1" s="3602"/>
      <c r="U1" s="3602"/>
      <c r="V1" s="3602"/>
      <c r="X1" s="3601" t="s">
        <v>2618</v>
      </c>
      <c r="Y1" s="3602"/>
      <c r="Z1" s="3602"/>
      <c r="AA1" s="3602"/>
      <c r="AB1" s="3602"/>
      <c r="AD1" s="3601" t="s">
        <v>2622</v>
      </c>
      <c r="AE1" s="3602"/>
      <c r="AF1" s="3602"/>
      <c r="AG1" s="3602"/>
      <c r="AH1" s="3602"/>
    </row>
    <row r="2" spans="1:34" s="2865" customFormat="1" ht="14.25" thickBot="1">
      <c r="B2" s="2866" t="s">
        <v>2559</v>
      </c>
      <c r="C2" s="2866" t="s">
        <v>2620</v>
      </c>
      <c r="D2" s="2867" t="s">
        <v>1634</v>
      </c>
      <c r="E2" s="2867" t="s">
        <v>1937</v>
      </c>
      <c r="F2" s="2866" t="s">
        <v>2621</v>
      </c>
      <c r="G2" s="2868"/>
      <c r="I2" s="2866" t="s">
        <v>2916</v>
      </c>
      <c r="J2" s="2867" t="s">
        <v>2918</v>
      </c>
      <c r="K2" s="2867" t="s">
        <v>2919</v>
      </c>
      <c r="L2" s="2866" t="s">
        <v>2920</v>
      </c>
      <c r="N2" s="2866" t="s">
        <v>2559</v>
      </c>
      <c r="O2" s="2867" t="s">
        <v>2917</v>
      </c>
      <c r="P2" s="2867" t="s">
        <v>1937</v>
      </c>
      <c r="Q2" s="2866" t="s">
        <v>2621</v>
      </c>
      <c r="S2" s="2866" t="s">
        <v>2559</v>
      </c>
      <c r="T2" s="2867" t="s">
        <v>2917</v>
      </c>
      <c r="U2" s="2867" t="s">
        <v>1937</v>
      </c>
      <c r="V2" s="2866" t="s">
        <v>2621</v>
      </c>
      <c r="X2" s="2866" t="s">
        <v>2559</v>
      </c>
      <c r="Y2" s="2866" t="s">
        <v>2620</v>
      </c>
      <c r="Z2" s="2867" t="s">
        <v>1634</v>
      </c>
      <c r="AA2" s="2867" t="s">
        <v>1937</v>
      </c>
      <c r="AB2" s="2866" t="s">
        <v>2621</v>
      </c>
      <c r="AD2" s="2866" t="s">
        <v>2559</v>
      </c>
      <c r="AE2" s="2866" t="s">
        <v>2620</v>
      </c>
      <c r="AF2" s="2867" t="s">
        <v>1634</v>
      </c>
      <c r="AG2" s="2867" t="s">
        <v>1937</v>
      </c>
      <c r="AH2" s="2866" t="s">
        <v>2621</v>
      </c>
    </row>
    <row r="3" spans="1:34" s="2875" customFormat="1" ht="14.25">
      <c r="A3" s="2869" t="s">
        <v>2927</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2995</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2928</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2996</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2994</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2957</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2955</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2952</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2951</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2948</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2947</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2944</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605">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2937</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605"/>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2938</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605"/>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2934</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611"/>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2926</v>
      </c>
      <c r="B18" s="2915">
        <v>439</v>
      </c>
      <c r="C18" s="2915">
        <v>327</v>
      </c>
      <c r="D18" s="2915">
        <f t="shared" si="131"/>
        <v>327</v>
      </c>
      <c r="E18" s="2915">
        <v>627</v>
      </c>
      <c r="F18" s="2916">
        <v>283</v>
      </c>
      <c r="G18" s="3610">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2929</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605"/>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2560</v>
      </c>
      <c r="B20" s="2899">
        <f t="shared" si="143"/>
        <v>419.31181600000002</v>
      </c>
      <c r="C20" s="2899">
        <f t="shared" si="143"/>
        <v>313.95436800000004</v>
      </c>
      <c r="D20" s="2899">
        <f t="shared" si="131"/>
        <v>313.95436800000004</v>
      </c>
      <c r="E20" s="2899">
        <f t="shared" si="144"/>
        <v>596.63028431999999</v>
      </c>
      <c r="F20" s="2899">
        <f t="shared" si="144"/>
        <v>274.74220703999998</v>
      </c>
      <c r="G20" s="3605"/>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2561</v>
      </c>
      <c r="B21" s="2899">
        <f t="shared" si="143"/>
        <v>405.524</v>
      </c>
      <c r="C21" s="2899">
        <f t="shared" si="143"/>
        <v>307.79840000000002</v>
      </c>
      <c r="D21" s="2899">
        <f t="shared" si="131"/>
        <v>307.79840000000002</v>
      </c>
      <c r="E21" s="2899">
        <f t="shared" si="144"/>
        <v>574.67759999999998</v>
      </c>
      <c r="F21" s="2899">
        <f t="shared" si="144"/>
        <v>270.20280000000002</v>
      </c>
      <c r="G21" s="3611"/>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960</v>
      </c>
      <c r="B22" s="2920">
        <v>392</v>
      </c>
      <c r="C22" s="2920">
        <v>302</v>
      </c>
      <c r="D22" s="2920">
        <f t="shared" si="131"/>
        <v>302</v>
      </c>
      <c r="E22" s="2920">
        <v>553</v>
      </c>
      <c r="F22" s="2921">
        <v>266</v>
      </c>
      <c r="G22" s="3610">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959</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605"/>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949</v>
      </c>
      <c r="B24" s="2899">
        <f t="shared" si="152"/>
        <v>360.06949782209392</v>
      </c>
      <c r="C24" s="2899">
        <f t="shared" si="152"/>
        <v>289.84672674747821</v>
      </c>
      <c r="D24" s="2899">
        <f t="shared" si="153"/>
        <v>289.84672674747821</v>
      </c>
      <c r="E24" s="2899">
        <f t="shared" si="154"/>
        <v>501.06543001181495</v>
      </c>
      <c r="F24" s="2899">
        <f t="shared" si="154"/>
        <v>256.82882500744967</v>
      </c>
      <c r="G24" s="3605"/>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958</v>
      </c>
      <c r="B25" s="2899">
        <f t="shared" si="152"/>
        <v>346.720748986128</v>
      </c>
      <c r="C25" s="2899">
        <f t="shared" si="152"/>
        <v>284.30282172386285</v>
      </c>
      <c r="D25" s="2899">
        <f t="shared" si="153"/>
        <v>284.30282172386285</v>
      </c>
      <c r="E25" s="2899">
        <f t="shared" si="154"/>
        <v>479.58023546306947</v>
      </c>
      <c r="F25" s="2899">
        <f t="shared" si="154"/>
        <v>253.25788877571213</v>
      </c>
      <c r="G25" s="3606"/>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957</v>
      </c>
      <c r="B26" s="2920">
        <v>333</v>
      </c>
      <c r="C26" s="2920">
        <v>277</v>
      </c>
      <c r="D26" s="2920">
        <f t="shared" si="153"/>
        <v>277</v>
      </c>
      <c r="E26" s="2920">
        <v>459</v>
      </c>
      <c r="F26" s="2921">
        <v>249</v>
      </c>
      <c r="G26" s="3604">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956</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605"/>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955</v>
      </c>
      <c r="B28" s="2899">
        <f t="shared" si="156"/>
        <v>322.34053690220776</v>
      </c>
      <c r="C28" s="2899">
        <f t="shared" si="156"/>
        <v>271.46160770422546</v>
      </c>
      <c r="D28" s="2899">
        <f t="shared" si="153"/>
        <v>271.46160770422546</v>
      </c>
      <c r="E28" s="2899">
        <f t="shared" si="157"/>
        <v>442.69434542172456</v>
      </c>
      <c r="F28" s="2899">
        <f t="shared" si="157"/>
        <v>241.34030753190925</v>
      </c>
      <c r="G28" s="3605"/>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954</v>
      </c>
      <c r="B29" s="2899">
        <f t="shared" si="156"/>
        <v>319.87748030386797</v>
      </c>
      <c r="C29" s="2899">
        <f t="shared" si="156"/>
        <v>269.60135833173649</v>
      </c>
      <c r="D29" s="2899">
        <f t="shared" si="153"/>
        <v>269.60135833173649</v>
      </c>
      <c r="E29" s="2899">
        <f t="shared" si="157"/>
        <v>439.18089823583784</v>
      </c>
      <c r="F29" s="2899">
        <f t="shared" si="157"/>
        <v>239.23503918706311</v>
      </c>
      <c r="G29" s="3606"/>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953</v>
      </c>
      <c r="B30" s="2927">
        <v>318</v>
      </c>
      <c r="C30" s="2927">
        <v>268</v>
      </c>
      <c r="D30" s="2927">
        <f t="shared" si="153"/>
        <v>268</v>
      </c>
      <c r="E30" s="2927">
        <v>437</v>
      </c>
      <c r="F30" s="2928">
        <v>237</v>
      </c>
      <c r="G30" s="3604">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952</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605"/>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951</v>
      </c>
      <c r="B32" s="2899">
        <f t="shared" si="158"/>
        <v>314.72141172386546</v>
      </c>
      <c r="C32" s="2899">
        <f t="shared" si="158"/>
        <v>263.03901319069001</v>
      </c>
      <c r="D32" s="2899">
        <f t="shared" si="153"/>
        <v>263.03901319069001</v>
      </c>
      <c r="E32" s="2899">
        <f t="shared" si="159"/>
        <v>433.65745506782821</v>
      </c>
      <c r="F32" s="2899">
        <f t="shared" si="159"/>
        <v>233.23005080045735</v>
      </c>
      <c r="G32" s="3605"/>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950</v>
      </c>
      <c r="B33" s="2932">
        <f t="shared" si="158"/>
        <v>307.34512863658733</v>
      </c>
      <c r="C33" s="2932">
        <f t="shared" si="158"/>
        <v>257.80556031626975</v>
      </c>
      <c r="D33" s="2932">
        <f t="shared" si="153"/>
        <v>257.80556031626975</v>
      </c>
      <c r="E33" s="2932">
        <f t="shared" si="159"/>
        <v>422.70928459677179</v>
      </c>
      <c r="F33" s="2932">
        <f t="shared" si="159"/>
        <v>229.73803270336617</v>
      </c>
      <c r="G33" s="3606"/>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2619</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2562</v>
      </c>
      <c r="B34" s="2920">
        <v>299</v>
      </c>
      <c r="C34" s="2920">
        <v>252</v>
      </c>
      <c r="D34" s="2920">
        <f t="shared" si="153"/>
        <v>252</v>
      </c>
      <c r="E34" s="2920">
        <v>409</v>
      </c>
      <c r="F34" s="2921">
        <v>227</v>
      </c>
      <c r="G34" s="3607">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2563</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608"/>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2564</v>
      </c>
      <c r="B36" s="2899">
        <f t="shared" si="162"/>
        <v>288.2649053828776</v>
      </c>
      <c r="C36" s="2899">
        <f t="shared" si="162"/>
        <v>243.64564425013293</v>
      </c>
      <c r="D36" s="2899">
        <f t="shared" si="153"/>
        <v>243.64564425013293</v>
      </c>
      <c r="E36" s="2899">
        <f t="shared" si="163"/>
        <v>393.31080825986544</v>
      </c>
      <c r="F36" s="2899">
        <f t="shared" si="163"/>
        <v>223.07903790551154</v>
      </c>
      <c r="G36" s="3608"/>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2565</v>
      </c>
      <c r="B37" s="2899">
        <f t="shared" si="162"/>
        <v>282.50186729015837</v>
      </c>
      <c r="C37" s="2899">
        <f t="shared" si="162"/>
        <v>238.09796174155468</v>
      </c>
      <c r="D37" s="2899">
        <f t="shared" si="153"/>
        <v>238.09796174155468</v>
      </c>
      <c r="E37" s="2899">
        <f t="shared" si="163"/>
        <v>385.33438646014054</v>
      </c>
      <c r="F37" s="2899">
        <f t="shared" si="163"/>
        <v>221.55034055567739</v>
      </c>
      <c r="G37" s="3609"/>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2566</v>
      </c>
      <c r="B38" s="2948">
        <v>278</v>
      </c>
      <c r="C38" s="2948">
        <v>234</v>
      </c>
      <c r="D38" s="2948">
        <f t="shared" si="153"/>
        <v>234</v>
      </c>
      <c r="E38" s="2948">
        <v>379</v>
      </c>
      <c r="F38" s="2949">
        <v>220</v>
      </c>
      <c r="G38" s="3604">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2567</v>
      </c>
      <c r="B39" s="2899">
        <f>B38/(1+N38)</f>
        <v>275.49301357645425</v>
      </c>
      <c r="C39" s="2899">
        <f>C38/(1+O38)</f>
        <v>232.41954707985698</v>
      </c>
      <c r="D39" s="2899">
        <f t="shared" si="153"/>
        <v>232.41954707985698</v>
      </c>
      <c r="E39" s="2899">
        <f t="shared" ref="E39:F41" si="164">E38/(1+P38)</f>
        <v>375.32184591008121</v>
      </c>
      <c r="F39" s="2899">
        <f t="shared" si="164"/>
        <v>218.03766105054513</v>
      </c>
      <c r="G39" s="3605"/>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2568</v>
      </c>
      <c r="B40" s="2899">
        <f>B39/(1+N39)</f>
        <v>275.24529281292263</v>
      </c>
      <c r="C40" s="2899">
        <f>C39/(1+O39)</f>
        <v>231.74747938962707</v>
      </c>
      <c r="D40" s="2899">
        <f t="shared" si="153"/>
        <v>231.74747938962707</v>
      </c>
      <c r="E40" s="2899">
        <f t="shared" si="164"/>
        <v>375.35938184826603</v>
      </c>
      <c r="F40" s="2899">
        <f t="shared" si="164"/>
        <v>216.78033510692495</v>
      </c>
      <c r="G40" s="3605"/>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2569</v>
      </c>
      <c r="B41" s="2899">
        <f>B40/(1+N40)</f>
        <v>275.19025476197027</v>
      </c>
      <c r="C41" s="2950">
        <v>232</v>
      </c>
      <c r="D41" s="2950">
        <f t="shared" si="153"/>
        <v>232</v>
      </c>
      <c r="E41" s="2899">
        <f t="shared" si="164"/>
        <v>375.65990977608692</v>
      </c>
      <c r="F41" s="2899">
        <f t="shared" si="164"/>
        <v>214.12518283971252</v>
      </c>
      <c r="G41" s="3606"/>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2570</v>
      </c>
      <c r="B42" s="2920">
        <v>275</v>
      </c>
      <c r="C42" s="2920">
        <v>232</v>
      </c>
      <c r="D42" s="2920">
        <f t="shared" si="153"/>
        <v>232</v>
      </c>
      <c r="E42" s="2920">
        <v>376</v>
      </c>
      <c r="F42" s="2921">
        <v>213</v>
      </c>
      <c r="G42" s="3604">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2571</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605">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2572</v>
      </c>
      <c r="B44" s="2899">
        <f t="shared" si="165"/>
        <v>275.19335084830601</v>
      </c>
      <c r="C44" s="2899">
        <f t="shared" si="165"/>
        <v>230.18088050139744</v>
      </c>
      <c r="D44" s="2899">
        <f t="shared" si="153"/>
        <v>230.18088050139744</v>
      </c>
      <c r="E44" s="2899">
        <f t="shared" si="166"/>
        <v>377.58482925212331</v>
      </c>
      <c r="F44" s="2899">
        <f t="shared" si="166"/>
        <v>210.90687997847917</v>
      </c>
      <c r="G44" s="3605">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2573</v>
      </c>
      <c r="B45" s="2899">
        <f t="shared" si="165"/>
        <v>276.29854502841971</v>
      </c>
      <c r="C45" s="2899">
        <f t="shared" si="165"/>
        <v>229.79023709833027</v>
      </c>
      <c r="D45" s="2899">
        <f t="shared" si="153"/>
        <v>229.79023709833027</v>
      </c>
      <c r="E45" s="2899">
        <f t="shared" si="166"/>
        <v>379.78759731655936</v>
      </c>
      <c r="F45" s="2899">
        <f t="shared" si="166"/>
        <v>211.32953905659235</v>
      </c>
      <c r="G45" s="3606">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2574</v>
      </c>
      <c r="B46" s="2920">
        <v>269</v>
      </c>
      <c r="C46" s="2920">
        <v>221</v>
      </c>
      <c r="D46" s="2920">
        <f t="shared" si="153"/>
        <v>221</v>
      </c>
      <c r="E46" s="2920">
        <v>373</v>
      </c>
      <c r="F46" s="2921">
        <v>196</v>
      </c>
      <c r="G46" s="3604">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2575</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605">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2576</v>
      </c>
      <c r="B48" s="2899">
        <f t="shared" si="167"/>
        <v>242.95398227588385</v>
      </c>
      <c r="C48" s="2899">
        <f t="shared" si="167"/>
        <v>199.59137053614126</v>
      </c>
      <c r="D48" s="2899">
        <f t="shared" si="153"/>
        <v>199.59137053614126</v>
      </c>
      <c r="E48" s="2899">
        <f t="shared" si="168"/>
        <v>335.92189522342125</v>
      </c>
      <c r="F48" s="2899">
        <f t="shared" si="168"/>
        <v>183.10139991109489</v>
      </c>
      <c r="G48" s="3605">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2577</v>
      </c>
      <c r="B49" s="2899">
        <f t="shared" si="167"/>
        <v>232.06990378821649</v>
      </c>
      <c r="C49" s="2899">
        <f t="shared" si="167"/>
        <v>192.74878854286936</v>
      </c>
      <c r="D49" s="2899">
        <f t="shared" si="153"/>
        <v>192.74878854286936</v>
      </c>
      <c r="E49" s="2899">
        <f t="shared" si="168"/>
        <v>319.71247284992984</v>
      </c>
      <c r="F49" s="2899">
        <f t="shared" si="168"/>
        <v>175.67053622862409</v>
      </c>
      <c r="G49" s="3606">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2578</v>
      </c>
      <c r="B50" s="2920">
        <v>220</v>
      </c>
      <c r="C50" s="2920">
        <v>187</v>
      </c>
      <c r="D50" s="2920">
        <f t="shared" si="153"/>
        <v>187</v>
      </c>
      <c r="E50" s="2920">
        <v>301</v>
      </c>
      <c r="F50" s="2921">
        <v>168</v>
      </c>
      <c r="G50" s="3604">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2579</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605">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2580</v>
      </c>
      <c r="B52" s="2899">
        <f t="shared" si="169"/>
        <v>210.630522469011</v>
      </c>
      <c r="C52" s="2899">
        <f t="shared" si="169"/>
        <v>181.69567812247232</v>
      </c>
      <c r="D52" s="2899">
        <f t="shared" si="153"/>
        <v>181.69567812247232</v>
      </c>
      <c r="E52" s="2899">
        <f t="shared" si="170"/>
        <v>286.13517466736738</v>
      </c>
      <c r="F52" s="2899">
        <f t="shared" si="170"/>
        <v>165.47535084591149</v>
      </c>
      <c r="G52" s="3605">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2581</v>
      </c>
      <c r="B53" s="2899">
        <f t="shared" si="169"/>
        <v>208.83454537875372</v>
      </c>
      <c r="C53" s="2899">
        <f t="shared" si="169"/>
        <v>183.77230517090351</v>
      </c>
      <c r="D53" s="2899">
        <f t="shared" si="153"/>
        <v>183.77230517090351</v>
      </c>
      <c r="E53" s="2899">
        <f t="shared" si="170"/>
        <v>281.10342338870947</v>
      </c>
      <c r="F53" s="2899">
        <f t="shared" si="170"/>
        <v>168.97309388942256</v>
      </c>
      <c r="G53" s="3606">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2582</v>
      </c>
      <c r="B54" s="2948">
        <v>214</v>
      </c>
      <c r="C54" s="2948">
        <v>188</v>
      </c>
      <c r="D54" s="2948">
        <f t="shared" si="153"/>
        <v>188</v>
      </c>
      <c r="E54" s="2948">
        <v>289</v>
      </c>
      <c r="F54" s="2949">
        <v>166</v>
      </c>
      <c r="G54" s="3604">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2583</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605">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2584</v>
      </c>
      <c r="B56" s="2899">
        <f t="shared" si="171"/>
        <v>206.31694671589116</v>
      </c>
      <c r="C56" s="2899">
        <f t="shared" si="171"/>
        <v>183.61041121036101</v>
      </c>
      <c r="D56" s="2899">
        <f t="shared" si="153"/>
        <v>183.61041121036101</v>
      </c>
      <c r="E56" s="2899">
        <f t="shared" si="172"/>
        <v>276.66850301795557</v>
      </c>
      <c r="F56" s="2899">
        <f t="shared" si="172"/>
        <v>165.1360938278614</v>
      </c>
      <c r="G56" s="3605">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2585</v>
      </c>
      <c r="B57" s="2951">
        <f t="shared" si="171"/>
        <v>196.62341248059772</v>
      </c>
      <c r="C57" s="2951">
        <f t="shared" si="171"/>
        <v>170.99125648199012</v>
      </c>
      <c r="D57" s="2951">
        <f t="shared" si="153"/>
        <v>170.99125648199012</v>
      </c>
      <c r="E57" s="2951">
        <f t="shared" si="172"/>
        <v>266.07857570490052</v>
      </c>
      <c r="F57" s="2951">
        <f t="shared" si="172"/>
        <v>154.53499328828505</v>
      </c>
      <c r="G57" s="3606">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2586</v>
      </c>
      <c r="B58" s="2920">
        <v>188</v>
      </c>
      <c r="C58" s="2920">
        <v>165</v>
      </c>
      <c r="D58" s="2920">
        <f t="shared" si="153"/>
        <v>165</v>
      </c>
      <c r="E58" s="2920">
        <v>254</v>
      </c>
      <c r="F58" s="2921">
        <v>148</v>
      </c>
      <c r="G58" s="3604">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2587</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605">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2588</v>
      </c>
      <c r="B60" s="2899">
        <f t="shared" si="175"/>
        <v>168.82017748715555</v>
      </c>
      <c r="C60" s="2899">
        <f t="shared" si="175"/>
        <v>148.06267029972753</v>
      </c>
      <c r="D60" s="2899">
        <f t="shared" si="153"/>
        <v>148.06267029972753</v>
      </c>
      <c r="E60" s="2899">
        <f t="shared" si="176"/>
        <v>216.46288379323747</v>
      </c>
      <c r="F60" s="2899">
        <f t="shared" si="176"/>
        <v>134.23529411764704</v>
      </c>
      <c r="G60" s="3605">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2589</v>
      </c>
      <c r="B61" s="2899">
        <f t="shared" si="175"/>
        <v>163.84913591779542</v>
      </c>
      <c r="C61" s="2899">
        <f t="shared" si="175"/>
        <v>145.0283378746594</v>
      </c>
      <c r="D61" s="2899">
        <f t="shared" si="153"/>
        <v>145.0283378746594</v>
      </c>
      <c r="E61" s="2899">
        <f t="shared" si="176"/>
        <v>204.95180722891567</v>
      </c>
      <c r="F61" s="2899">
        <f t="shared" si="176"/>
        <v>125.95920303605313</v>
      </c>
      <c r="G61" s="3606">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2590</v>
      </c>
      <c r="B62" s="2927">
        <v>159</v>
      </c>
      <c r="C62" s="2927">
        <v>141</v>
      </c>
      <c r="D62" s="2927">
        <f t="shared" si="153"/>
        <v>141</v>
      </c>
      <c r="E62" s="2927">
        <v>195</v>
      </c>
      <c r="F62" s="2928">
        <v>122</v>
      </c>
      <c r="G62" s="3604">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2591</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605">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2592</v>
      </c>
      <c r="B64" s="2899">
        <f t="shared" si="179"/>
        <v>146.57412060301507</v>
      </c>
      <c r="C64" s="2899">
        <f t="shared" si="179"/>
        <v>136.46831955922866</v>
      </c>
      <c r="D64" s="2899">
        <f t="shared" si="153"/>
        <v>136.46831955922866</v>
      </c>
      <c r="E64" s="2899">
        <f t="shared" si="180"/>
        <v>166.73864894795128</v>
      </c>
      <c r="F64" s="2899">
        <f t="shared" si="180"/>
        <v>115.05882352941177</v>
      </c>
      <c r="G64" s="3605">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2593</v>
      </c>
      <c r="B65" s="2899">
        <f t="shared" si="179"/>
        <v>144.04145728643215</v>
      </c>
      <c r="C65" s="2899">
        <f t="shared" si="179"/>
        <v>136.12396694214877</v>
      </c>
      <c r="D65" s="2899">
        <f t="shared" si="153"/>
        <v>136.12396694214877</v>
      </c>
      <c r="E65" s="2899">
        <f t="shared" si="180"/>
        <v>158.32225913621264</v>
      </c>
      <c r="F65" s="2899">
        <f t="shared" si="180"/>
        <v>114.04278074866311</v>
      </c>
      <c r="G65" s="3606">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2594</v>
      </c>
      <c r="B66" s="2927">
        <v>138</v>
      </c>
      <c r="C66" s="2927">
        <v>131</v>
      </c>
      <c r="D66" s="2927">
        <f t="shared" si="153"/>
        <v>131</v>
      </c>
      <c r="E66" s="2927">
        <v>155</v>
      </c>
      <c r="F66" s="2928">
        <v>114</v>
      </c>
      <c r="G66" s="3604">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2595</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605">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2596</v>
      </c>
      <c r="B68" s="2899">
        <f t="shared" si="183"/>
        <v>124.29032258064517</v>
      </c>
      <c r="C68" s="2899">
        <f t="shared" si="183"/>
        <v>123.8968609865471</v>
      </c>
      <c r="D68" s="2899">
        <f t="shared" si="153"/>
        <v>123.8968609865471</v>
      </c>
      <c r="E68" s="2899">
        <f t="shared" si="184"/>
        <v>138.00507614213197</v>
      </c>
      <c r="F68" s="2899">
        <f t="shared" si="184"/>
        <v>107.96106557377048</v>
      </c>
      <c r="G68" s="3605">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2597</v>
      </c>
      <c r="B69" s="2899">
        <f t="shared" si="183"/>
        <v>122.57204301075269</v>
      </c>
      <c r="C69" s="2899">
        <f t="shared" si="183"/>
        <v>123.4932735426009</v>
      </c>
      <c r="D69" s="2899">
        <f t="shared" si="153"/>
        <v>123.4932735426009</v>
      </c>
      <c r="E69" s="2899">
        <f t="shared" si="184"/>
        <v>129.82233502538071</v>
      </c>
      <c r="F69" s="2899">
        <f t="shared" si="184"/>
        <v>107.39446721311475</v>
      </c>
      <c r="G69" s="3606">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2598</v>
      </c>
      <c r="B70" s="2948">
        <v>121</v>
      </c>
      <c r="C70" s="2948">
        <v>122</v>
      </c>
      <c r="D70" s="2948">
        <f t="shared" si="153"/>
        <v>122</v>
      </c>
      <c r="E70" s="2948">
        <v>124</v>
      </c>
      <c r="F70" s="2949">
        <v>107</v>
      </c>
      <c r="G70" s="3604">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2599</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605">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2600</v>
      </c>
      <c r="B72" s="2899">
        <f t="shared" si="187"/>
        <v>116.99099099099099</v>
      </c>
      <c r="C72" s="2899">
        <f t="shared" si="187"/>
        <v>118.84848484848486</v>
      </c>
      <c r="D72" s="2899">
        <f t="shared" si="153"/>
        <v>118.84848484848486</v>
      </c>
      <c r="E72" s="2899">
        <f t="shared" si="188"/>
        <v>117.60960960960961</v>
      </c>
      <c r="F72" s="2899">
        <f t="shared" si="188"/>
        <v>104</v>
      </c>
      <c r="G72" s="3605">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2601</v>
      </c>
      <c r="B73" s="2951">
        <f t="shared" si="187"/>
        <v>112.48648648648648</v>
      </c>
      <c r="C73" s="2951">
        <f t="shared" si="187"/>
        <v>115.21212121212122</v>
      </c>
      <c r="D73" s="2951">
        <f t="shared" si="153"/>
        <v>115.21212121212122</v>
      </c>
      <c r="E73" s="2951">
        <f t="shared" si="188"/>
        <v>110.4024024024024</v>
      </c>
      <c r="F73" s="2951">
        <f t="shared" si="188"/>
        <v>104</v>
      </c>
      <c r="G73" s="3606">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2602</v>
      </c>
      <c r="B74" s="2968">
        <v>111</v>
      </c>
      <c r="C74" s="2968">
        <v>114</v>
      </c>
      <c r="D74" s="2968">
        <f t="shared" si="153"/>
        <v>114</v>
      </c>
      <c r="E74" s="2968">
        <v>108</v>
      </c>
      <c r="F74" s="2969">
        <v>104</v>
      </c>
      <c r="G74" s="3604">
        <v>2003</v>
      </c>
      <c r="H74" s="2958">
        <v>4</v>
      </c>
      <c r="I74" s="2970"/>
      <c r="J74" s="2970"/>
      <c r="K74" s="2970"/>
      <c r="L74" s="2970"/>
      <c r="N74" s="2971"/>
      <c r="O74" s="2970"/>
      <c r="P74" s="2970"/>
      <c r="Q74" s="2970"/>
      <c r="S74" s="2971"/>
      <c r="T74" s="2970"/>
      <c r="U74" s="2970"/>
      <c r="V74" s="2970"/>
      <c r="X74" s="2962"/>
      <c r="Y74" s="2962"/>
      <c r="Z74" s="2962"/>
    </row>
    <row r="75" spans="1:26">
      <c r="A75" s="2898" t="s">
        <v>2603</v>
      </c>
      <c r="B75" s="2972">
        <f t="shared" ref="B75:C77" si="189">B76+(B$74-B$78)/4</f>
        <v>109.75</v>
      </c>
      <c r="C75" s="2972">
        <f t="shared" si="189"/>
        <v>112.25</v>
      </c>
      <c r="D75" s="2972">
        <f t="shared" si="153"/>
        <v>112.25</v>
      </c>
      <c r="E75" s="2972">
        <f t="shared" ref="E75:F77" si="190">E76+(E$74-E$78)/4</f>
        <v>107.25</v>
      </c>
      <c r="F75" s="2972">
        <f t="shared" si="190"/>
        <v>103.5</v>
      </c>
      <c r="G75" s="3605">
        <v>2003</v>
      </c>
      <c r="H75" s="2925">
        <v>3</v>
      </c>
      <c r="I75" s="2970"/>
      <c r="J75" s="2970"/>
      <c r="K75" s="2970"/>
      <c r="L75" s="2970"/>
      <c r="X75" s="2962"/>
      <c r="Y75" s="2962"/>
      <c r="Z75" s="2962"/>
    </row>
    <row r="76" spans="1:26">
      <c r="A76" s="2898" t="s">
        <v>2604</v>
      </c>
      <c r="B76" s="2972">
        <f t="shared" si="189"/>
        <v>108.5</v>
      </c>
      <c r="C76" s="2972">
        <f t="shared" si="189"/>
        <v>110.5</v>
      </c>
      <c r="D76" s="2972">
        <f t="shared" si="153"/>
        <v>110.5</v>
      </c>
      <c r="E76" s="2972">
        <f t="shared" si="190"/>
        <v>106.5</v>
      </c>
      <c r="F76" s="2972">
        <f t="shared" si="190"/>
        <v>103</v>
      </c>
      <c r="G76" s="3605">
        <v>2003</v>
      </c>
      <c r="H76" s="2913">
        <v>2</v>
      </c>
      <c r="I76" s="2970"/>
      <c r="J76" s="2970"/>
      <c r="K76" s="2970"/>
      <c r="L76" s="2970"/>
      <c r="X76" s="2962"/>
      <c r="Y76" s="2962"/>
      <c r="Z76" s="2962"/>
    </row>
    <row r="77" spans="1:26" ht="13.5" thickBot="1">
      <c r="A77" s="2898" t="s">
        <v>2605</v>
      </c>
      <c r="B77" s="2972">
        <f t="shared" si="189"/>
        <v>107.25</v>
      </c>
      <c r="C77" s="2972">
        <f t="shared" si="189"/>
        <v>108.75</v>
      </c>
      <c r="D77" s="2972">
        <f t="shared" si="153"/>
        <v>108.75</v>
      </c>
      <c r="E77" s="2972">
        <f t="shared" si="190"/>
        <v>105.75</v>
      </c>
      <c r="F77" s="2972">
        <f t="shared" si="190"/>
        <v>102.5</v>
      </c>
      <c r="G77" s="3606">
        <v>2003</v>
      </c>
      <c r="H77" s="2973">
        <v>1</v>
      </c>
      <c r="I77" s="2970"/>
      <c r="J77" s="2970"/>
      <c r="K77" s="2970"/>
      <c r="L77" s="2970"/>
      <c r="S77" s="2901"/>
      <c r="T77" s="2887"/>
      <c r="U77" s="2887"/>
      <c r="X77" s="2962"/>
      <c r="Y77" s="2962"/>
      <c r="Z77" s="2962"/>
    </row>
    <row r="78" spans="1:26" ht="13.5" thickBot="1">
      <c r="A78" s="2898" t="s">
        <v>2606</v>
      </c>
      <c r="B78" s="2974">
        <v>106</v>
      </c>
      <c r="C78" s="2974">
        <v>107</v>
      </c>
      <c r="D78" s="2974">
        <f t="shared" si="153"/>
        <v>107</v>
      </c>
      <c r="E78" s="2974">
        <v>105</v>
      </c>
      <c r="F78" s="2975">
        <v>102</v>
      </c>
      <c r="G78" s="3604">
        <v>2002</v>
      </c>
      <c r="H78" s="2922">
        <v>4</v>
      </c>
      <c r="I78" s="2970"/>
      <c r="J78" s="2970"/>
      <c r="K78" s="2970"/>
      <c r="L78" s="2970"/>
      <c r="N78" s="2971"/>
      <c r="O78" s="2970"/>
      <c r="P78" s="2970"/>
      <c r="Q78" s="2970"/>
      <c r="S78" s="2971"/>
      <c r="T78" s="2970"/>
      <c r="U78" s="2970"/>
      <c r="V78" s="2970"/>
      <c r="X78" s="2962"/>
      <c r="Y78" s="2962"/>
      <c r="Z78" s="2962"/>
    </row>
    <row r="79" spans="1:26">
      <c r="A79" s="2898" t="s">
        <v>2607</v>
      </c>
      <c r="B79" s="2972">
        <f t="shared" ref="B79:C81" si="191">B80+(B$78-B$82)/4</f>
        <v>105</v>
      </c>
      <c r="C79" s="2972">
        <f t="shared" si="191"/>
        <v>106</v>
      </c>
      <c r="D79" s="2972">
        <f t="shared" si="153"/>
        <v>106</v>
      </c>
      <c r="E79" s="2972">
        <f t="shared" ref="E79:F81" si="192">E80+(E$78-E$82)/4</f>
        <v>104.5</v>
      </c>
      <c r="F79" s="2972">
        <f t="shared" si="192"/>
        <v>101.5</v>
      </c>
      <c r="G79" s="3605">
        <v>2002</v>
      </c>
      <c r="H79" s="2925">
        <v>3</v>
      </c>
      <c r="I79" s="2970"/>
      <c r="J79" s="2970"/>
      <c r="K79" s="2970"/>
      <c r="L79" s="2970"/>
      <c r="X79" s="2962"/>
      <c r="Y79" s="2962"/>
      <c r="Z79" s="2962"/>
    </row>
    <row r="80" spans="1:26">
      <c r="A80" s="2898" t="s">
        <v>2608</v>
      </c>
      <c r="B80" s="2972">
        <f t="shared" si="191"/>
        <v>104</v>
      </c>
      <c r="C80" s="2972">
        <f t="shared" si="191"/>
        <v>105</v>
      </c>
      <c r="D80" s="2972">
        <f t="shared" si="153"/>
        <v>105</v>
      </c>
      <c r="E80" s="2972">
        <f t="shared" si="192"/>
        <v>104</v>
      </c>
      <c r="F80" s="2972">
        <f t="shared" si="192"/>
        <v>101</v>
      </c>
      <c r="G80" s="3605">
        <v>2002</v>
      </c>
      <c r="H80" s="2913">
        <v>2</v>
      </c>
      <c r="I80" s="2970"/>
      <c r="J80" s="2970"/>
      <c r="K80" s="2970"/>
      <c r="L80" s="2970"/>
      <c r="X80" s="2962"/>
      <c r="Y80" s="2962"/>
      <c r="Z80" s="2962"/>
    </row>
    <row r="81" spans="1:26" s="2935" customFormat="1" ht="13.5" thickBot="1">
      <c r="A81" s="2931" t="s">
        <v>2609</v>
      </c>
      <c r="B81" s="2938">
        <f t="shared" si="191"/>
        <v>103</v>
      </c>
      <c r="C81" s="2938">
        <f t="shared" si="191"/>
        <v>104</v>
      </c>
      <c r="D81" s="2938">
        <f t="shared" si="153"/>
        <v>104</v>
      </c>
      <c r="E81" s="2938">
        <f t="shared" si="192"/>
        <v>103.5</v>
      </c>
      <c r="F81" s="2938">
        <f t="shared" si="192"/>
        <v>100.5</v>
      </c>
      <c r="G81" s="3606">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2610</v>
      </c>
      <c r="G84" s="2985"/>
      <c r="N84" s="2985"/>
      <c r="S84" s="2985"/>
    </row>
    <row r="85" spans="1:26" s="2984" customFormat="1">
      <c r="A85" s="2984" t="s">
        <v>2611</v>
      </c>
      <c r="G85" s="2985"/>
      <c r="N85" s="2985"/>
      <c r="S85" s="2985"/>
    </row>
    <row r="86" spans="1:26" s="2984" customFormat="1">
      <c r="A86" s="2984" t="s">
        <v>2612</v>
      </c>
      <c r="G86" s="2985"/>
      <c r="I86" s="2986"/>
      <c r="J86" s="2986"/>
      <c r="K86" s="2986"/>
      <c r="L86" s="2986"/>
      <c r="N86" s="2987"/>
      <c r="O86" s="2986"/>
      <c r="P86" s="2986"/>
      <c r="Q86" s="2986"/>
      <c r="S86" s="2987"/>
      <c r="T86" s="2986"/>
      <c r="U86" s="2986"/>
      <c r="V86" s="2986"/>
    </row>
    <row r="87" spans="1:26" s="2984" customFormat="1">
      <c r="A87" s="2984" t="s">
        <v>2613</v>
      </c>
      <c r="G87" s="2985"/>
      <c r="N87" s="2985"/>
      <c r="S87" s="2985"/>
    </row>
    <row r="94" spans="1:26" ht="13.5" thickBot="1"/>
    <row r="95" spans="1:26">
      <c r="G95" s="2886"/>
      <c r="S95" s="2988" t="s">
        <v>2614</v>
      </c>
      <c r="T95" s="2989" t="s">
        <v>2615</v>
      </c>
      <c r="U95" s="2989" t="s">
        <v>2616</v>
      </c>
      <c r="V95" s="2989" t="s">
        <v>2617</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2910</v>
      </c>
      <c r="B1" s="3246"/>
      <c r="C1" s="3246"/>
      <c r="D1" s="3246"/>
      <c r="E1" s="3246"/>
      <c r="F1" s="3246"/>
      <c r="G1" s="3247"/>
      <c r="H1" s="3247"/>
      <c r="I1" s="3247"/>
      <c r="J1" s="3247"/>
      <c r="K1" s="3247"/>
      <c r="L1" s="3247"/>
      <c r="M1" s="3247"/>
      <c r="N1" s="3247"/>
    </row>
    <row r="2" spans="1:14" ht="14.25">
      <c r="A2" s="3252" t="s">
        <v>2905</v>
      </c>
      <c r="B2" s="3257">
        <f ca="1">SUMIF(B7:B14,"&lt;&gt;#ref!",B7:B14)</f>
        <v>0</v>
      </c>
      <c r="C2" s="3252" t="s">
        <v>2906</v>
      </c>
      <c r="D2" s="3249"/>
      <c r="E2" s="3249"/>
      <c r="F2" s="3249"/>
      <c r="G2" s="3247"/>
      <c r="H2" s="3247"/>
      <c r="I2" s="3247"/>
      <c r="J2" s="3247"/>
      <c r="K2" s="3247"/>
      <c r="L2" s="3247"/>
      <c r="M2" s="3247"/>
      <c r="N2" s="3247"/>
    </row>
    <row r="3" spans="1:14" ht="14.25">
      <c r="A3" s="3252" t="s">
        <v>2935</v>
      </c>
      <c r="B3" s="3257" t="e">
        <f ca="1">ROUND(B2*10000/E3,0)</f>
        <v>#DIV/0!</v>
      </c>
      <c r="C3" s="3252" t="s">
        <v>2066</v>
      </c>
      <c r="D3" s="3252" t="s">
        <v>2907</v>
      </c>
      <c r="E3" s="3250">
        <f ca="1">SUMIF(E7:E14,"&lt;&gt;#ref!",E7:E14)</f>
        <v>0</v>
      </c>
      <c r="F3" s="3249"/>
      <c r="G3" s="3247"/>
      <c r="H3" s="3247"/>
      <c r="I3" s="3247"/>
      <c r="J3" s="3247"/>
      <c r="K3" s="3247"/>
      <c r="L3" s="3247"/>
      <c r="M3" s="3247"/>
      <c r="N3" s="3247"/>
    </row>
    <row r="4" spans="1:14" ht="14.25">
      <c r="A4" s="3252" t="s">
        <v>2913</v>
      </c>
      <c r="B4" s="3257" t="e">
        <f ca="1">ROUND(B2*10000/E4,0)</f>
        <v>#DIV/0!</v>
      </c>
      <c r="C4" s="3252" t="s">
        <v>2066</v>
      </c>
      <c r="D4" s="3252" t="s">
        <v>2914</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2911</v>
      </c>
      <c r="B6" s="3252" t="s">
        <v>2908</v>
      </c>
      <c r="C6" s="2790"/>
      <c r="D6" s="3249"/>
      <c r="E6" s="3252" t="s">
        <v>2909</v>
      </c>
      <c r="F6" s="3252" t="s">
        <v>2912</v>
      </c>
      <c r="G6" s="3247"/>
      <c r="H6" s="3247"/>
      <c r="I6" s="3247"/>
      <c r="J6" s="3247"/>
      <c r="K6" s="3247"/>
      <c r="L6" s="3247"/>
      <c r="M6" s="3247"/>
      <c r="N6" s="3247"/>
    </row>
    <row r="7" spans="1:14" ht="14.25">
      <c r="A7" s="3255"/>
      <c r="B7" s="3257" t="e">
        <f ca="1">SUMIF(INDIRECT("'"&amp;A7&amp;"'"&amp;"!A:A"),"总价",INDIRECT("'"&amp;A7&amp;"'"&amp;"!B:B"))</f>
        <v>#REF!</v>
      </c>
      <c r="C7" s="3252" t="s">
        <v>2906</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2906</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2906</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2906</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2906</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2906</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2906</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2906</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1814</v>
      </c>
      <c r="B8" s="3613" t="s">
        <v>2443</v>
      </c>
      <c r="C8" s="1740">
        <f ca="1">ROUND(F8*F10*F9*(1-F11)/10000,0)</f>
        <v>0</v>
      </c>
      <c r="D8" s="1737" t="s">
        <v>2514</v>
      </c>
      <c r="E8" s="61" t="s">
        <v>631</v>
      </c>
      <c r="F8" s="775">
        <f ca="1">INDIRECT("'数据-取费表'!u"&amp;$G$1)</f>
        <v>0</v>
      </c>
      <c r="G8" s="1526"/>
      <c r="H8" s="2357" t="s">
        <v>1814</v>
      </c>
      <c r="I8" s="3613" t="s">
        <v>2443</v>
      </c>
      <c r="J8" s="773">
        <f ca="1">ROUND(M8*M10*M9*(1-M11)/10000,0)</f>
        <v>0</v>
      </c>
      <c r="K8" s="339" t="s">
        <v>2514</v>
      </c>
      <c r="L8" s="774" t="s">
        <v>1728</v>
      </c>
      <c r="M8" s="775">
        <f ca="1">INDIRECT("'数据-取费表'!z"&amp;$G$1)</f>
        <v>0</v>
      </c>
    </row>
    <row r="9" spans="1:25" ht="18" customHeight="1">
      <c r="A9" s="2353"/>
      <c r="B9" s="3614"/>
      <c r="C9" s="1741"/>
      <c r="D9" s="1738"/>
      <c r="E9" s="61" t="s">
        <v>632</v>
      </c>
      <c r="F9" s="775">
        <f ca="1">IF(INDIRECT("'数据-取费表'!ah"&amp;$G$1)="",INDIRECT("'数据-取费表'!k"&amp;$G$1),INDIRECT("'数据-取费表'!ah"&amp;$G$1))</f>
        <v>0</v>
      </c>
      <c r="G9" s="1526"/>
      <c r="H9" s="2342"/>
      <c r="I9" s="3614"/>
      <c r="J9" s="778"/>
      <c r="K9" s="779"/>
      <c r="L9" s="774" t="s">
        <v>1729</v>
      </c>
      <c r="M9" s="775">
        <f ca="1">F9</f>
        <v>0</v>
      </c>
    </row>
    <row r="10" spans="1:25" ht="18" customHeight="1">
      <c r="A10" s="2346"/>
      <c r="B10" s="3615"/>
      <c r="C10" s="1741"/>
      <c r="D10" s="1738"/>
      <c r="E10" s="61" t="s">
        <v>633</v>
      </c>
      <c r="F10" s="775">
        <f ca="1">INDIRECT("'数据-取费表'!ai"&amp;$G$1)</f>
        <v>0</v>
      </c>
      <c r="G10" s="1526"/>
      <c r="H10" s="2342"/>
      <c r="I10" s="3615"/>
      <c r="J10" s="778"/>
      <c r="K10" s="779"/>
      <c r="L10" s="774" t="s">
        <v>1730</v>
      </c>
      <c r="M10" s="775">
        <f ca="1">INDIRECT("'数据-取费表'!ai"&amp;$G$1)</f>
        <v>0</v>
      </c>
    </row>
    <row r="11" spans="1:25" ht="18" customHeight="1">
      <c r="A11" s="776"/>
      <c r="B11" s="3616"/>
      <c r="C11" s="1741"/>
      <c r="D11" s="1738"/>
      <c r="E11" s="61" t="s">
        <v>634</v>
      </c>
      <c r="F11" s="784">
        <f ca="1">INDIRECT("'数据-取费表'!w"&amp;$G$1)</f>
        <v>0</v>
      </c>
      <c r="G11" s="1526"/>
      <c r="H11" s="2358"/>
      <c r="I11" s="3615"/>
      <c r="J11" s="778"/>
      <c r="K11" s="779"/>
      <c r="L11" s="785" t="s">
        <v>1731</v>
      </c>
      <c r="M11" s="786">
        <f ca="1">INDIRECT("'数据-取费表'!ab"&amp;$G$1)</f>
        <v>0</v>
      </c>
    </row>
    <row r="12" spans="1:25" ht="18" customHeight="1">
      <c r="A12" s="1745" t="s">
        <v>1815</v>
      </c>
      <c r="B12" s="2347" t="s">
        <v>2439</v>
      </c>
      <c r="C12" s="789">
        <f ca="1">ROUND(IF(F12="押一",C8/12*F13,IF(F12="押二",C8/12*2*F13,IF(F12="押三",C8/12*3*F13,C13*F13))),0)</f>
        <v>0</v>
      </c>
      <c r="D12" s="2354" t="s">
        <v>2932</v>
      </c>
      <c r="E12" s="2351" t="s">
        <v>2444</v>
      </c>
      <c r="F12" s="2465"/>
      <c r="G12" s="1526"/>
      <c r="H12" s="2414" t="s">
        <v>1815</v>
      </c>
      <c r="I12" s="2419" t="s">
        <v>2439</v>
      </c>
      <c r="J12" s="773">
        <f ca="1">ROUND(IF(M12="押一",J8/12*M13,IF(M12="押二",J8/12*2*M13,IF(M12="押三",J8/12*3*M13,J13*M13))),0)</f>
        <v>0</v>
      </c>
      <c r="K12" s="2354" t="s">
        <v>2932</v>
      </c>
      <c r="L12" s="2351" t="s">
        <v>2444</v>
      </c>
      <c r="M12" s="2465"/>
    </row>
    <row r="13" spans="1:25" ht="18" customHeight="1">
      <c r="A13" s="780"/>
      <c r="B13" s="2348" t="s">
        <v>2553</v>
      </c>
      <c r="C13" s="2352"/>
      <c r="D13" s="779"/>
      <c r="E13" s="2351" t="s">
        <v>2437</v>
      </c>
      <c r="F13" s="786">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2803</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6</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8.0000000000000004E-4</v>
      </c>
      <c r="D26" s="2423" t="str">
        <f>IF(F25&lt;=1,"销售费用×利率×(建设周期÷2)","销售费用×((1+利率)^(建设周期÷2)-1)")</f>
        <v>销售费用×((1+利率)^(建设周期÷2)-1)</v>
      </c>
      <c r="E26" s="774" t="s">
        <v>676</v>
      </c>
      <c r="F26" s="808">
        <f ca="1">'数据-取费表'!B40</f>
        <v>3.85E-2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2800</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5" t="s">
        <v>2802</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2989</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6</v>
      </c>
      <c r="G36" s="1945"/>
      <c r="H36" s="1948"/>
      <c r="I36" s="3612"/>
      <c r="J36" s="1962"/>
      <c r="K36" s="1963"/>
      <c r="L36" s="1962"/>
      <c r="M36" s="1962"/>
    </row>
    <row r="37" spans="1:18" ht="18" customHeight="1">
      <c r="A37" s="804"/>
      <c r="B37" s="783"/>
      <c r="C37" s="69"/>
      <c r="D37" s="805"/>
      <c r="E37" s="774" t="s">
        <v>668</v>
      </c>
      <c r="F37" s="775">
        <f ca="1">INDIRECT("'数据-取费表'!r"&amp;$G$1)</f>
        <v>0</v>
      </c>
      <c r="G37" s="1945"/>
      <c r="H37" s="1948"/>
      <c r="I37" s="3612"/>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5" t="s">
        <v>2921</v>
      </c>
      <c r="F43" s="2796">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2936</v>
      </c>
      <c r="J54" s="2858">
        <f ca="1">IF(M48="住宅",MAX(J52,L49-'数据-取费表'!B20),MIN(J52,L49-'数据-取费表'!B20))</f>
        <v>-2</v>
      </c>
      <c r="K54" s="3617"/>
      <c r="L54" s="3618"/>
      <c r="O54" s="2256" t="s">
        <v>2372</v>
      </c>
      <c r="P54" s="2254" t="s">
        <v>2373</v>
      </c>
      <c r="Q54" s="2255">
        <f ca="1">J54</f>
        <v>-2</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2904</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8" t="s">
        <v>942</v>
      </c>
      <c r="E1" s="2242" t="s">
        <v>2358</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4"/>
      <c r="D2" s="3265"/>
      <c r="E2" s="3266"/>
      <c r="F2" s="3266"/>
      <c r="G2" s="3260"/>
      <c r="H2" s="1940"/>
      <c r="I2" s="1940"/>
      <c r="J2" s="1940"/>
      <c r="K2" s="1941"/>
      <c r="L2" s="1940"/>
      <c r="M2" s="1940"/>
    </row>
    <row r="3" spans="1:33" ht="18" customHeight="1" thickBot="1">
      <c r="A3" s="822" t="s">
        <v>1717</v>
      </c>
      <c r="B3" s="823">
        <f ca="1">IF(ISERROR(B2*10000/F43),0,ROUND(B2*10000/F43,0))</f>
        <v>0</v>
      </c>
      <c r="C3" s="3264"/>
      <c r="D3" s="3265"/>
      <c r="E3" s="3266"/>
      <c r="F3" s="3266"/>
      <c r="G3" s="3260"/>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2438</v>
      </c>
      <c r="C5" s="55">
        <f ca="1">C6+C10+C12</f>
        <v>0</v>
      </c>
      <c r="D5" s="2349" t="s">
        <v>2441</v>
      </c>
      <c r="E5" s="2343"/>
      <c r="F5" s="2344"/>
      <c r="G5" s="1945"/>
      <c r="H5" s="771">
        <v>1</v>
      </c>
      <c r="I5" s="772" t="s">
        <v>2438</v>
      </c>
      <c r="J5" s="55">
        <f ca="1">J6+J10+J12</f>
        <v>0</v>
      </c>
      <c r="K5" s="2349" t="s">
        <v>2441</v>
      </c>
      <c r="L5" s="2343"/>
      <c r="M5" s="2344"/>
    </row>
    <row r="6" spans="1:33" ht="18" customHeight="1">
      <c r="A6" s="1745" t="s">
        <v>1814</v>
      </c>
      <c r="B6" s="3613" t="s">
        <v>2443</v>
      </c>
      <c r="C6" s="773">
        <f ca="1">ROUND(F6*F8*F7*(1-F9)/10000,0)</f>
        <v>0</v>
      </c>
      <c r="D6" s="2350" t="s">
        <v>2442</v>
      </c>
      <c r="E6" s="774" t="s">
        <v>1728</v>
      </c>
      <c r="F6" s="775">
        <f ca="1">INDIRECT("'数据-取费表'!u"&amp;$G$1)</f>
        <v>0</v>
      </c>
      <c r="G6" s="1945"/>
      <c r="H6" s="2357" t="s">
        <v>2448</v>
      </c>
      <c r="I6" s="3613" t="s">
        <v>2443</v>
      </c>
      <c r="J6" s="773">
        <f ca="1">ROUND(M6*M8*M7*(1-M9)/10000,0)</f>
        <v>0</v>
      </c>
      <c r="K6" s="339" t="s">
        <v>1727</v>
      </c>
      <c r="L6" s="774" t="s">
        <v>1728</v>
      </c>
      <c r="M6" s="775">
        <f ca="1">INDIRECT("'数据-取费表'!z"&amp;$G$1)</f>
        <v>0</v>
      </c>
    </row>
    <row r="7" spans="1:33" ht="18" customHeight="1">
      <c r="A7" s="2353"/>
      <c r="B7" s="3614"/>
      <c r="C7" s="778"/>
      <c r="D7" s="779"/>
      <c r="E7" s="774" t="s">
        <v>1729</v>
      </c>
      <c r="F7" s="775">
        <f ca="1">IF(INDIRECT("'数据-取费表'!ah"&amp;$G$1)="",INDIRECT("'数据-取费表'!k"&amp;$G$1),INDIRECT("'数据-取费表'!ah"&amp;$G$1))</f>
        <v>0</v>
      </c>
      <c r="G7" s="1945"/>
      <c r="H7" s="2342"/>
      <c r="I7" s="3614"/>
      <c r="J7" s="778"/>
      <c r="K7" s="779"/>
      <c r="L7" s="774" t="s">
        <v>1729</v>
      </c>
      <c r="M7" s="775">
        <f ca="1">F7</f>
        <v>0</v>
      </c>
    </row>
    <row r="8" spans="1:33" ht="18" customHeight="1">
      <c r="A8" s="2346"/>
      <c r="B8" s="3615"/>
      <c r="C8" s="778"/>
      <c r="D8" s="779"/>
      <c r="E8" s="774" t="s">
        <v>1730</v>
      </c>
      <c r="F8" s="775">
        <f ca="1">INDIRECT("'数据-取费表'!ai"&amp;$G$1)</f>
        <v>0</v>
      </c>
      <c r="G8" s="1945"/>
      <c r="H8" s="2342"/>
      <c r="I8" s="3615"/>
      <c r="J8" s="778"/>
      <c r="K8" s="779"/>
      <c r="L8" s="774" t="s">
        <v>1730</v>
      </c>
      <c r="M8" s="775">
        <f ca="1">INDIRECT("'数据-取费表'!ai"&amp;$G$1)</f>
        <v>0</v>
      </c>
    </row>
    <row r="9" spans="1:33" ht="18" customHeight="1">
      <c r="A9" s="776"/>
      <c r="B9" s="3616"/>
      <c r="C9" s="778"/>
      <c r="D9" s="779"/>
      <c r="E9" s="774" t="s">
        <v>1731</v>
      </c>
      <c r="F9" s="784">
        <f ca="1">INDIRECT("'数据-取费表'!w"&amp;$G$1)</f>
        <v>0</v>
      </c>
      <c r="G9" s="1945"/>
      <c r="H9" s="2358"/>
      <c r="I9" s="3615"/>
      <c r="J9" s="778"/>
      <c r="K9" s="779"/>
      <c r="L9" s="785" t="s">
        <v>1731</v>
      </c>
      <c r="M9" s="786">
        <f ca="1">INDIRECT("'数据-取费表'!ab"&amp;$G$1)</f>
        <v>0</v>
      </c>
    </row>
    <row r="10" spans="1:33" ht="18" customHeight="1">
      <c r="A10" s="1745" t="s">
        <v>2446</v>
      </c>
      <c r="B10" s="2347" t="s">
        <v>2439</v>
      </c>
      <c r="C10" s="789">
        <f ca="1">ROUND(IF(F10="押一",C6/12*F11,IF(F10="押二",C6/12*2*F11,IF(F10="押三",C6/12*3*F11,C11*F11))),0)</f>
        <v>0</v>
      </c>
      <c r="D10" s="2354" t="s">
        <v>2932</v>
      </c>
      <c r="E10" s="2351" t="s">
        <v>2444</v>
      </c>
      <c r="F10" s="2465"/>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2804</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0.03</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61"/>
      <c r="H17" s="1577" t="s">
        <v>1820</v>
      </c>
      <c r="I17" s="774" t="s">
        <v>650</v>
      </c>
      <c r="J17" s="3019">
        <f ca="1">ROUND(IF(AND(项目基本情况!B11="自然人",项目基本情况!B10="北京市"),J6*M17/(1+'数据-取费表'!C42),J18+J19+J20),0)</f>
        <v>0</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0.02</v>
      </c>
      <c r="G20" s="3261"/>
      <c r="H20" s="1579" t="s">
        <v>1870</v>
      </c>
      <c r="I20" s="339" t="s">
        <v>1750</v>
      </c>
      <c r="J20" s="54">
        <f ca="1">ROUND(M20*M21/10000,0)</f>
        <v>0</v>
      </c>
      <c r="K20" s="803" t="s">
        <v>1751</v>
      </c>
      <c r="L20" s="774" t="s">
        <v>1752</v>
      </c>
      <c r="M20" s="632">
        <f>'数据-取费表'!B52</f>
        <v>6</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61"/>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2515</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61"/>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8.0000000000000004E-4</v>
      </c>
      <c r="D24" s="2423" t="str">
        <f>IF(F23&lt;=1,"销售费用×利率×(建设周期÷2)","销售费用×((1+利率)^(建设周期÷2)-1)")</f>
        <v>销售费用×((1+利率)^(建设周期÷2)-1)</v>
      </c>
      <c r="E24" s="774" t="s">
        <v>1763</v>
      </c>
      <c r="F24" s="808">
        <f ca="1">'数据-取费表'!B40</f>
        <v>3.85E-2</v>
      </c>
      <c r="G24" s="3261"/>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2800</v>
      </c>
      <c r="J25" s="782">
        <f ca="1">J5-J16</f>
        <v>0</v>
      </c>
      <c r="K25" s="2401" t="s">
        <v>1767</v>
      </c>
      <c r="L25" s="2402"/>
      <c r="M25" s="2403"/>
    </row>
    <row r="26" spans="1:33" ht="18" customHeight="1">
      <c r="A26" s="1576" t="s">
        <v>1821</v>
      </c>
      <c r="B26" s="774" t="s">
        <v>2421</v>
      </c>
      <c r="C26" s="53">
        <f ca="1">ROUND((C19+C20)*F26,0)</f>
        <v>0</v>
      </c>
      <c r="D26" s="801" t="s">
        <v>1768</v>
      </c>
      <c r="E26" s="785" t="s">
        <v>1769</v>
      </c>
      <c r="F26" s="784">
        <f ca="1">INDIRECT("'数据-取费表'!q"&amp;$G$1)</f>
        <v>0</v>
      </c>
      <c r="G26" s="1945"/>
      <c r="H26" s="2355" t="s">
        <v>1770</v>
      </c>
      <c r="I26" s="2112" t="s">
        <v>2805</v>
      </c>
      <c r="J26" s="773">
        <f ca="1">IF(J5&lt;&gt;0,ROUND(J25*(1-((1+M28)/(1+M26))^M27)/(M26-M28),0),0)</f>
        <v>0</v>
      </c>
      <c r="K26" s="803" t="s">
        <v>1771</v>
      </c>
      <c r="L26" s="774" t="s">
        <v>2403</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61"/>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9">
        <f ca="1">ROUND(IF(AND(项目基本情况!B11="自然人",项目基本情况!B10="北京市"),C6*F31/(1+'数据-取费表'!C42),C32+C33+C34),0)</f>
        <v>0</v>
      </c>
      <c r="D31" s="1893" t="s">
        <v>1782</v>
      </c>
      <c r="E31" s="1891" t="s">
        <v>1783</v>
      </c>
      <c r="F31" s="3018" t="str">
        <f>IF(项目基本情况!B11="企业","——",IF('数据-取费表'!B10="住宅",IF(F6*F7*F8/12/(1+'数据-取费表'!F30)&gt;100000,4%,2.5%),IF(F6*F7*F8/12/(1+'数据-取费表'!F30)&gt;100000,12%,7%)))</f>
        <v>——</v>
      </c>
      <c r="G31" s="1945"/>
      <c r="H31" s="3258" t="s">
        <v>2990</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6</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3" t="s">
        <v>2800</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2403</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62"/>
      <c r="E46" s="3262"/>
      <c r="F46" s="3262"/>
      <c r="I46" s="2233" t="s">
        <v>2327</v>
      </c>
      <c r="J46" s="2234"/>
      <c r="K46" s="2235"/>
      <c r="L46" s="2811" t="e">
        <f ca="1">IF(OR(M47="住宅",D1="土地（套用方法）"),0,IF(L48&gt;J51,L60,J60))</f>
        <v>#DIV/0!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c r="K47" s="2808" t="s">
        <v>2333</v>
      </c>
      <c r="L47" s="2812">
        <f ca="1">INDIRECT("'数据-取费表'!d"&amp;$G$1)</f>
        <v>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630</v>
      </c>
      <c r="E48" s="2231" t="s">
        <v>2283</v>
      </c>
      <c r="F48" s="2232"/>
      <c r="G48" s="1972"/>
      <c r="I48" s="2799" t="s">
        <v>2329</v>
      </c>
      <c r="J48" s="2237"/>
      <c r="K48" s="2809" t="s">
        <v>2335</v>
      </c>
      <c r="L48" s="1822">
        <f ca="1">INDIRECT("'数据-取费表'!f"&amp;$G$1)</f>
        <v>0</v>
      </c>
      <c r="M48" s="3263"/>
      <c r="O48" s="2253" t="s">
        <v>2363</v>
      </c>
      <c r="P48" s="2254" t="s">
        <v>2389</v>
      </c>
      <c r="Q48" s="2255" t="e">
        <f ca="1">C40+J29</f>
        <v>#DIV/0!</v>
      </c>
      <c r="R48" s="2254" t="s">
        <v>2364</v>
      </c>
    </row>
    <row r="49" spans="1:18" s="1942" customFormat="1" ht="18" customHeight="1" thickBot="1">
      <c r="A49" s="776"/>
      <c r="B49" s="777"/>
      <c r="C49" s="778"/>
      <c r="D49" s="779"/>
      <c r="E49" s="774" t="s">
        <v>1729</v>
      </c>
      <c r="F49" s="775">
        <f ca="1">F7</f>
        <v>0</v>
      </c>
      <c r="G49" s="1972"/>
      <c r="H49" s="1975"/>
      <c r="I49" s="2799" t="s">
        <v>2330</v>
      </c>
      <c r="J49" s="2238"/>
      <c r="K49" s="2810" t="s">
        <v>2336</v>
      </c>
      <c r="L49" s="2239"/>
      <c r="M49" s="3263"/>
      <c r="O49" s="2253" t="s">
        <v>2365</v>
      </c>
      <c r="P49" s="2254" t="s">
        <v>2390</v>
      </c>
      <c r="Q49" s="2255" t="e">
        <f ca="1">J60</f>
        <v>#DIV/0!</v>
      </c>
      <c r="R49" s="2254" t="s">
        <v>2366</v>
      </c>
    </row>
    <row r="50" spans="1:18" s="1942" customFormat="1" ht="18" customHeight="1" thickBot="1">
      <c r="A50" s="776"/>
      <c r="B50" s="777"/>
      <c r="C50" s="778"/>
      <c r="D50" s="779"/>
      <c r="E50" s="774" t="s">
        <v>1730</v>
      </c>
      <c r="F50" s="775">
        <f ca="1">F8</f>
        <v>0</v>
      </c>
      <c r="G50" s="1977"/>
      <c r="H50" s="1975"/>
      <c r="I50" s="2799" t="s">
        <v>2331</v>
      </c>
      <c r="J50" s="2806">
        <f>SUMPRODUCT((I63:I65=J47)*(J62:L62=J48)*(J63:L65))</f>
        <v>0</v>
      </c>
      <c r="K50" s="2810" t="s">
        <v>2337</v>
      </c>
      <c r="L50" s="2239"/>
      <c r="M50" s="3263"/>
      <c r="O50" s="2256" t="s">
        <v>2367</v>
      </c>
      <c r="P50" s="2254" t="s">
        <v>2391</v>
      </c>
      <c r="Q50" s="2255">
        <f ca="1">C29</f>
        <v>0</v>
      </c>
      <c r="R50" s="2254" t="s">
        <v>2364</v>
      </c>
    </row>
    <row r="51" spans="1:18" s="1942" customFormat="1" ht="18" customHeight="1" thickBot="1">
      <c r="A51" s="776"/>
      <c r="B51" s="777"/>
      <c r="C51" s="778"/>
      <c r="D51" s="779"/>
      <c r="E51" s="774" t="s">
        <v>634</v>
      </c>
      <c r="F51" s="2226"/>
      <c r="H51" s="1975"/>
      <c r="I51" s="2803" t="s">
        <v>2332</v>
      </c>
      <c r="J51" s="2807">
        <f>IF(J49="",J50,J49+J50-YEAR('数据-取费表'!B2))</f>
        <v>0</v>
      </c>
      <c r="K51" s="2799" t="s">
        <v>2338</v>
      </c>
      <c r="L51" s="2813">
        <f ca="1">ROUND(-PV(INDIRECT("'数据-取费表'!h"&amp;$G$1),J51,(C39-C13*J36),0),0)</f>
        <v>0</v>
      </c>
      <c r="M51" s="3263"/>
      <c r="O51" s="2256" t="s">
        <v>2368</v>
      </c>
      <c r="P51" s="2254" t="s">
        <v>2369</v>
      </c>
      <c r="Q51" s="2257" t="e">
        <f ca="1">J58</f>
        <v>#DIV/0!</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4" t="s">
        <v>2405</v>
      </c>
      <c r="J52" s="2240"/>
      <c r="K52" s="2804" t="s">
        <v>2404</v>
      </c>
      <c r="L52" s="2240"/>
      <c r="M52" s="3263"/>
      <c r="O52" s="2256" t="s">
        <v>2370</v>
      </c>
      <c r="P52" s="2254" t="s">
        <v>2371</v>
      </c>
      <c r="Q52" s="2257">
        <f>J52</f>
        <v>0</v>
      </c>
      <c r="R52" s="2258"/>
    </row>
    <row r="53" spans="1:18" s="1942" customFormat="1" ht="39.75" customHeight="1" thickBot="1">
      <c r="A53" s="776"/>
      <c r="B53" s="2348" t="s">
        <v>2553</v>
      </c>
      <c r="C53" s="2352"/>
      <c r="D53" s="2354"/>
      <c r="E53" s="2351"/>
      <c r="F53" s="790"/>
      <c r="I53" s="2805" t="s">
        <v>2936</v>
      </c>
      <c r="J53" s="2858">
        <f ca="1">IF(M47="住宅",IF(D1="——",MAX(J51,L48),MAX(J51,L48-'数据-取费表'!B20)),IF(D1="——",MIN(J51,L48),MIN(J51,L48-'数据-取费表'!B20)))</f>
        <v>0</v>
      </c>
      <c r="K53" s="3619" t="s">
        <v>2925</v>
      </c>
      <c r="L53" s="3620"/>
      <c r="M53" s="3263"/>
      <c r="O53" s="2256" t="s">
        <v>2372</v>
      </c>
      <c r="P53" s="2254" t="s">
        <v>2373</v>
      </c>
      <c r="Q53" s="2255">
        <f ca="1">J53</f>
        <v>0</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2375</v>
      </c>
      <c r="P54" s="2254" t="s">
        <v>2392</v>
      </c>
      <c r="Q54" s="2255" t="e">
        <f ca="1">Q48+Q49</f>
        <v>#DIV/0!</v>
      </c>
      <c r="R54" s="2258" t="s">
        <v>2376</v>
      </c>
    </row>
    <row r="55" spans="1:18" s="1942" customFormat="1" ht="18" customHeight="1" thickTop="1" thickBot="1">
      <c r="A55" s="787">
        <v>2</v>
      </c>
      <c r="B55" s="788" t="s">
        <v>638</v>
      </c>
      <c r="C55" s="789">
        <f ca="1">C13</f>
        <v>0</v>
      </c>
      <c r="D55" s="785"/>
      <c r="E55" s="785"/>
      <c r="F55" s="790"/>
      <c r="I55" s="2816" t="s">
        <v>2339</v>
      </c>
      <c r="J55" s="2788" t="e">
        <f ca="1">ROUND(IF(J47="钢混",J57/J50,1-(1-2%)*(J50-J57)/J50),3)</f>
        <v>#DIV/0!</v>
      </c>
      <c r="K55" s="2817" t="s">
        <v>2340</v>
      </c>
      <c r="L55" s="2241"/>
      <c r="M55" s="3263"/>
      <c r="O55" s="2259" t="s">
        <v>2395</v>
      </c>
      <c r="P55" s="1526"/>
      <c r="Q55" s="1534"/>
      <c r="R55" s="1526"/>
    </row>
    <row r="56" spans="1:18" s="1942" customFormat="1" ht="42.75" customHeight="1" thickBot="1">
      <c r="A56" s="1578"/>
      <c r="B56" s="2111" t="s">
        <v>2289</v>
      </c>
      <c r="C56" s="53">
        <f ca="1">C29</f>
        <v>0</v>
      </c>
      <c r="D56" s="2481"/>
      <c r="E56" s="774"/>
      <c r="F56" s="799"/>
      <c r="I56" s="2818" t="s">
        <v>2341</v>
      </c>
      <c r="J56" s="2828"/>
      <c r="K56" s="2799" t="s">
        <v>2346</v>
      </c>
      <c r="L56" s="1822">
        <f ca="1">IF(L48&lt;J51,"——",L48-J51)</f>
        <v>0</v>
      </c>
      <c r="M56" s="3263"/>
      <c r="O56" s="2250" t="s">
        <v>2359</v>
      </c>
      <c r="P56" s="2251" t="s">
        <v>2360</v>
      </c>
      <c r="Q56" s="2252" t="s">
        <v>2361</v>
      </c>
      <c r="R56" s="2251" t="s">
        <v>2362</v>
      </c>
    </row>
    <row r="57" spans="1:18" s="1942" customFormat="1" ht="28.5" customHeight="1" thickBot="1">
      <c r="A57" s="787" t="s">
        <v>1738</v>
      </c>
      <c r="B57" s="788" t="s">
        <v>645</v>
      </c>
      <c r="C57" s="789">
        <f ca="1">ROUND(C58+C63+C64+C65,0)</f>
        <v>0</v>
      </c>
      <c r="D57" s="26" t="s">
        <v>1740</v>
      </c>
      <c r="E57" s="2482"/>
      <c r="F57" s="56"/>
      <c r="I57" s="2819" t="s">
        <v>2342</v>
      </c>
      <c r="J57" s="2820">
        <f ca="1">IF(OR(M47="住宅",J51&lt;L48,J56="是"),"——",J51-L48)</f>
        <v>0</v>
      </c>
      <c r="K57" s="2799" t="s">
        <v>2347</v>
      </c>
      <c r="L57" s="1822">
        <f ca="1">IF(L48&lt;J51,"——",IF(L55="比较法",L49,IF(L55="基准地价",L50,L51)))</f>
        <v>0</v>
      </c>
      <c r="M57" s="3263"/>
      <c r="O57" s="2253" t="s">
        <v>2363</v>
      </c>
      <c r="P57" s="2254" t="s">
        <v>2393</v>
      </c>
      <c r="Q57" s="2255" t="e">
        <f ca="1">C40+J29</f>
        <v>#DIV/0!</v>
      </c>
      <c r="R57" s="2254" t="s">
        <v>2364</v>
      </c>
    </row>
    <row r="58" spans="1:18" s="1942" customFormat="1" ht="28.5" customHeight="1" thickBot="1">
      <c r="A58" s="1577" t="s">
        <v>1814</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#DIV/0!</v>
      </c>
      <c r="K58" s="2799" t="s">
        <v>2348</v>
      </c>
      <c r="L58" s="1822" t="e">
        <f ca="1">ROUND(POWER(1+L52,L47-L48)*(POWER(1+L52,L48)-1)/(POWER(1+L52,L47)-1),4)</f>
        <v>#DIV/0!</v>
      </c>
      <c r="M58" s="3263"/>
      <c r="O58" s="2253" t="s">
        <v>2365</v>
      </c>
      <c r="P58" s="2254" t="s">
        <v>2396</v>
      </c>
      <c r="Q58" s="2255" t="e">
        <f ca="1">L60</f>
        <v>#DIV/0!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9" t="s">
        <v>2344</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按房产原值计税</v>
      </c>
      <c r="E60" s="774" t="s">
        <v>1737</v>
      </c>
      <c r="F60" s="799">
        <f t="shared" si="0"/>
        <v>1.2E-2</v>
      </c>
      <c r="I60" s="2821" t="s">
        <v>2345</v>
      </c>
      <c r="J60" s="2822" t="e">
        <f ca="1">IF(OR(M47="住宅",J51&lt;L48,J56="是"),"0",ROUND(J59/(1+J52)^J53,0))</f>
        <v>#DIV/0!</v>
      </c>
      <c r="K60" s="2823" t="s">
        <v>2350</v>
      </c>
      <c r="L60" s="2822" t="e">
        <f ca="1">IF(OR(M47="住宅",L48&lt;J51),0,ROUND(L57*(L58/L59-1),0))</f>
        <v>#DIV/0!</v>
      </c>
      <c r="M60" s="3263"/>
      <c r="O60" s="2256" t="s">
        <v>2368</v>
      </c>
      <c r="P60" s="2254" t="s">
        <v>2377</v>
      </c>
      <c r="Q60" s="2257">
        <f>L52</f>
        <v>0</v>
      </c>
      <c r="R60" s="2258"/>
    </row>
    <row r="61" spans="1:18" s="1942" customFormat="1" ht="18" customHeight="1" thickBot="1">
      <c r="A61" s="1579" t="s">
        <v>1823</v>
      </c>
      <c r="B61" s="339" t="s">
        <v>662</v>
      </c>
      <c r="C61" s="54">
        <f ca="1">ROUND(F61*F62/10000,1)</f>
        <v>0</v>
      </c>
      <c r="D61" s="803" t="s">
        <v>663</v>
      </c>
      <c r="E61" s="774" t="s">
        <v>664</v>
      </c>
      <c r="F61" s="632">
        <f t="shared" si="0"/>
        <v>6</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0</v>
      </c>
      <c r="I62" s="2824" t="s">
        <v>2351</v>
      </c>
      <c r="J62" s="2825" t="s">
        <v>2352</v>
      </c>
      <c r="K62" s="2825" t="s">
        <v>2353</v>
      </c>
      <c r="L62" s="2825" t="s">
        <v>2334</v>
      </c>
      <c r="M62" s="2826"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670</v>
      </c>
      <c r="C63" s="53">
        <f ca="1">ROUND(C56*F63,1)</f>
        <v>0</v>
      </c>
      <c r="D63" s="2481" t="s">
        <v>1793</v>
      </c>
      <c r="E63" s="774" t="s">
        <v>1737</v>
      </c>
      <c r="F63" s="806">
        <f t="shared" ca="1" si="0"/>
        <v>0</v>
      </c>
      <c r="I63" s="2824" t="s">
        <v>2354</v>
      </c>
      <c r="J63" s="2825">
        <v>70</v>
      </c>
      <c r="K63" s="2825">
        <v>50</v>
      </c>
      <c r="L63" s="2825">
        <v>80</v>
      </c>
      <c r="M63" s="2827">
        <v>0.02</v>
      </c>
      <c r="O63" s="2253" t="s">
        <v>2375</v>
      </c>
      <c r="P63" s="2254" t="s">
        <v>2392</v>
      </c>
      <c r="Q63" s="2255" t="e">
        <f ca="1">Q57+Q58</f>
        <v>#DIV/0!</v>
      </c>
      <c r="R63" s="2258" t="s">
        <v>2376</v>
      </c>
    </row>
    <row r="64" spans="1:18" s="1942" customFormat="1" ht="16.5" thickBot="1">
      <c r="A64" s="1577" t="s">
        <v>1880</v>
      </c>
      <c r="B64" s="774" t="s">
        <v>673</v>
      </c>
      <c r="C64" s="53">
        <f ca="1">ROUND(C55*F64,1)</f>
        <v>0</v>
      </c>
      <c r="D64" s="2481" t="s">
        <v>674</v>
      </c>
      <c r="E64" s="774" t="s">
        <v>1737</v>
      </c>
      <c r="F64" s="807">
        <f t="shared" ca="1" si="0"/>
        <v>0</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2800</v>
      </c>
      <c r="C66" s="789">
        <f ca="1">C47-C57</f>
        <v>0</v>
      </c>
      <c r="D66" s="2480" t="s">
        <v>694</v>
      </c>
      <c r="E66" s="2479"/>
      <c r="F66" s="809"/>
      <c r="K66" s="1968"/>
      <c r="O66" s="2253" t="s">
        <v>2363</v>
      </c>
      <c r="P66" s="2254" t="s">
        <v>2393</v>
      </c>
      <c r="Q66" s="2255" t="e">
        <f ca="1">C40+J29</f>
        <v>#DIV/0!</v>
      </c>
      <c r="R66" s="2254" t="s">
        <v>2364</v>
      </c>
    </row>
    <row r="67" spans="1:18" s="1942" customFormat="1" ht="20.25" thickBot="1">
      <c r="A67" s="771" t="s">
        <v>1770</v>
      </c>
      <c r="B67" s="2112" t="s">
        <v>2288</v>
      </c>
      <c r="C67" s="773" t="e">
        <f ca="1">ROUND(C66*(1-((1+F69)/(1+F67))^F68)/(F67-F69),0)</f>
        <v>#DIV/0!</v>
      </c>
      <c r="D67" s="803" t="s">
        <v>698</v>
      </c>
      <c r="E67" s="774" t="s">
        <v>699</v>
      </c>
      <c r="F67" s="784">
        <f ca="1">F40</f>
        <v>0</v>
      </c>
      <c r="K67" s="1968"/>
      <c r="O67" s="2253" t="s">
        <v>2365</v>
      </c>
      <c r="P67" s="2254" t="s">
        <v>2396</v>
      </c>
      <c r="Q67" s="2255" t="e">
        <f ca="1">L60</f>
        <v>#DIV/0!</v>
      </c>
      <c r="R67" s="2258" t="s">
        <v>2398</v>
      </c>
    </row>
    <row r="68" spans="1:18" ht="21.75" thickBot="1">
      <c r="A68" s="776"/>
      <c r="B68" s="777"/>
      <c r="C68" s="778"/>
      <c r="D68" s="810" t="s">
        <v>1798</v>
      </c>
      <c r="E68" s="774" t="s">
        <v>1774</v>
      </c>
      <c r="F68" s="811">
        <f ca="1">F41</f>
        <v>0</v>
      </c>
      <c r="O68" s="2256" t="s">
        <v>2367</v>
      </c>
      <c r="P68" s="2254" t="s">
        <v>2397</v>
      </c>
      <c r="Q68" s="2260">
        <f ca="1">L51</f>
        <v>0</v>
      </c>
      <c r="R68" s="2261" t="s">
        <v>2400</v>
      </c>
    </row>
    <row r="69" spans="1:18" ht="20.25" thickBot="1">
      <c r="A69" s="780"/>
      <c r="B69" s="781"/>
      <c r="C69" s="782"/>
      <c r="D69" s="805"/>
      <c r="E69" s="774" t="s">
        <v>704</v>
      </c>
      <c r="F69" s="2226"/>
      <c r="O69" s="2256" t="s">
        <v>2368</v>
      </c>
      <c r="P69" s="2262" t="s">
        <v>2382</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2383</v>
      </c>
      <c r="P70" s="2262" t="s">
        <v>2384</v>
      </c>
      <c r="Q70" s="2255">
        <f ca="1">C39</f>
        <v>0</v>
      </c>
      <c r="R70" s="2254" t="s">
        <v>2364</v>
      </c>
    </row>
    <row r="71" spans="1:18" ht="15.75" thickBot="1">
      <c r="O71" s="2256" t="s">
        <v>2385</v>
      </c>
      <c r="P71" s="2262" t="s">
        <v>2386</v>
      </c>
      <c r="Q71" s="2255">
        <f ca="1">C13</f>
        <v>0</v>
      </c>
      <c r="R71" s="2254" t="s">
        <v>2364</v>
      </c>
    </row>
    <row r="72" spans="1:18" ht="15.75" thickBot="1">
      <c r="O72" s="2256" t="s">
        <v>2387</v>
      </c>
      <c r="P72" s="2262" t="s">
        <v>2388</v>
      </c>
      <c r="Q72" s="2257">
        <f ca="1">J36</f>
        <v>0</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t="e">
        <f ca="1">Q66+Q67</f>
        <v>#DIV/0!</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37" t="s">
        <v>2451</v>
      </c>
      <c r="B1" s="3638"/>
      <c r="C1" s="3639"/>
      <c r="D1" s="3640">
        <f>SUM(I10,I15,I20,I21,I23)</f>
        <v>0</v>
      </c>
      <c r="E1" s="3640"/>
      <c r="F1" s="3640"/>
      <c r="G1" s="3640"/>
      <c r="H1" s="3640"/>
      <c r="I1" s="3641"/>
    </row>
    <row r="2" spans="1:9">
      <c r="A2" s="3627" t="s">
        <v>2452</v>
      </c>
      <c r="B2" s="3628" t="s">
        <v>2453</v>
      </c>
      <c r="C2" s="3628"/>
      <c r="D2" s="2360" t="s">
        <v>2454</v>
      </c>
      <c r="E2" s="2360" t="s">
        <v>2455</v>
      </c>
      <c r="F2" s="2360" t="s">
        <v>2456</v>
      </c>
      <c r="G2" s="2360" t="s">
        <v>2457</v>
      </c>
      <c r="H2" s="2360" t="s">
        <v>2458</v>
      </c>
      <c r="I2" s="2361" t="s">
        <v>2459</v>
      </c>
    </row>
    <row r="3" spans="1:9">
      <c r="A3" s="3627"/>
      <c r="B3" s="3628" t="s">
        <v>2460</v>
      </c>
      <c r="C3" s="3628"/>
      <c r="D3" s="2362"/>
      <c r="E3" s="2360"/>
      <c r="F3" s="2363"/>
      <c r="G3" s="2363"/>
      <c r="H3" s="2364"/>
      <c r="I3" s="2365">
        <f>ROUND(D3*E3*F3*G3*H3/10000,0)</f>
        <v>0</v>
      </c>
    </row>
    <row r="4" spans="1:9">
      <c r="A4" s="3627"/>
      <c r="B4" s="3628" t="s">
        <v>2461</v>
      </c>
      <c r="C4" s="3628"/>
      <c r="D4" s="2362"/>
      <c r="E4" s="2360"/>
      <c r="F4" s="2363"/>
      <c r="G4" s="2363"/>
      <c r="H4" s="2364"/>
      <c r="I4" s="2365">
        <f t="shared" ref="I4:I9" si="0">ROUND(D4*E4*F4*G4*H4/10000,0)</f>
        <v>0</v>
      </c>
    </row>
    <row r="5" spans="1:9">
      <c r="A5" s="3627"/>
      <c r="B5" s="3628" t="s">
        <v>2462</v>
      </c>
      <c r="C5" s="3628"/>
      <c r="D5" s="2362"/>
      <c r="E5" s="2360"/>
      <c r="F5" s="2363"/>
      <c r="G5" s="2363"/>
      <c r="H5" s="2364"/>
      <c r="I5" s="2365">
        <f t="shared" si="0"/>
        <v>0</v>
      </c>
    </row>
    <row r="6" spans="1:9">
      <c r="A6" s="3627"/>
      <c r="B6" s="3628" t="s">
        <v>2463</v>
      </c>
      <c r="C6" s="3628"/>
      <c r="D6" s="2362"/>
      <c r="E6" s="2360"/>
      <c r="F6" s="2363"/>
      <c r="G6" s="2363"/>
      <c r="H6" s="2364"/>
      <c r="I6" s="2365">
        <f t="shared" si="0"/>
        <v>0</v>
      </c>
    </row>
    <row r="7" spans="1:9">
      <c r="A7" s="3627"/>
      <c r="B7" s="3628" t="s">
        <v>2464</v>
      </c>
      <c r="C7" s="3628"/>
      <c r="D7" s="2362"/>
      <c r="E7" s="2360"/>
      <c r="F7" s="2363"/>
      <c r="G7" s="2363"/>
      <c r="H7" s="2364"/>
      <c r="I7" s="2365">
        <f t="shared" si="0"/>
        <v>0</v>
      </c>
    </row>
    <row r="8" spans="1:9">
      <c r="A8" s="3627"/>
      <c r="B8" s="3628" t="s">
        <v>2465</v>
      </c>
      <c r="C8" s="3628"/>
      <c r="D8" s="2362"/>
      <c r="E8" s="2360"/>
      <c r="F8" s="2363"/>
      <c r="G8" s="2363"/>
      <c r="H8" s="2364"/>
      <c r="I8" s="2365">
        <f t="shared" si="0"/>
        <v>0</v>
      </c>
    </row>
    <row r="9" spans="1:9">
      <c r="A9" s="3627"/>
      <c r="B9" s="3628" t="s">
        <v>2466</v>
      </c>
      <c r="C9" s="3628"/>
      <c r="D9" s="2362"/>
      <c r="E9" s="2360"/>
      <c r="F9" s="2363"/>
      <c r="G9" s="2363"/>
      <c r="H9" s="2364"/>
      <c r="I9" s="2365">
        <f t="shared" si="0"/>
        <v>0</v>
      </c>
    </row>
    <row r="10" spans="1:9">
      <c r="A10" s="3627"/>
      <c r="B10" s="3629" t="s">
        <v>2467</v>
      </c>
      <c r="C10" s="3629"/>
      <c r="D10" s="2366">
        <v>527</v>
      </c>
      <c r="E10" s="2366" t="e">
        <f>ROUND(D1*10000/D10/H9,0)</f>
        <v>#DIV/0!</v>
      </c>
      <c r="F10" s="2367"/>
      <c r="G10" s="2367"/>
      <c r="H10" s="2368"/>
      <c r="I10" s="2369">
        <f>SUM(I3:I9)</f>
        <v>0</v>
      </c>
    </row>
    <row r="11" spans="1:9" ht="14.25">
      <c r="A11" s="3627" t="s">
        <v>2468</v>
      </c>
      <c r="B11" s="3628" t="s">
        <v>2469</v>
      </c>
      <c r="C11" s="3628"/>
      <c r="D11" s="2362" t="s">
        <v>2470</v>
      </c>
      <c r="E11" s="2362" t="s">
        <v>2471</v>
      </c>
      <c r="F11" s="2363" t="s">
        <v>2472</v>
      </c>
      <c r="G11" s="2363" t="s">
        <v>2473</v>
      </c>
      <c r="H11" s="2370" t="s">
        <v>2474</v>
      </c>
      <c r="I11" s="2361" t="s">
        <v>2475</v>
      </c>
    </row>
    <row r="12" spans="1:9">
      <c r="A12" s="3627"/>
      <c r="B12" s="3628" t="s">
        <v>2476</v>
      </c>
      <c r="C12" s="3628"/>
      <c r="D12" s="2362"/>
      <c r="E12" s="2362"/>
      <c r="F12" s="2363"/>
      <c r="G12" s="2364"/>
      <c r="H12" s="2371"/>
      <c r="I12" s="2361">
        <f>ROUND(D12*E12*F12*G12/10000,0)</f>
        <v>0</v>
      </c>
    </row>
    <row r="13" spans="1:9">
      <c r="A13" s="3627"/>
      <c r="B13" s="3628" t="s">
        <v>2477</v>
      </c>
      <c r="C13" s="3628"/>
      <c r="D13" s="2362"/>
      <c r="E13" s="2362"/>
      <c r="F13" s="2363"/>
      <c r="G13" s="2364"/>
      <c r="H13" s="2371"/>
      <c r="I13" s="2361">
        <f>ROUND(D13*E13*F13*G13/10000,0)</f>
        <v>0</v>
      </c>
    </row>
    <row r="14" spans="1:9">
      <c r="A14" s="3627"/>
      <c r="B14" s="3628" t="s">
        <v>2478</v>
      </c>
      <c r="C14" s="3628"/>
      <c r="D14" s="2362"/>
      <c r="E14" s="2362"/>
      <c r="F14" s="2363"/>
      <c r="G14" s="2364"/>
      <c r="H14" s="2371"/>
      <c r="I14" s="2361">
        <f>ROUND(D14*E14*F14*G14/10000,0)</f>
        <v>0</v>
      </c>
    </row>
    <row r="15" spans="1:9">
      <c r="A15" s="3627"/>
      <c r="B15" s="3629" t="s">
        <v>2467</v>
      </c>
      <c r="C15" s="3629"/>
      <c r="D15" s="2366"/>
      <c r="E15" s="2366">
        <f>SUM(E12:E14)</f>
        <v>0</v>
      </c>
      <c r="F15" s="2367"/>
      <c r="G15" s="2364"/>
      <c r="H15" s="2371"/>
      <c r="I15" s="2372">
        <f>SUM(I12:I14)</f>
        <v>0</v>
      </c>
    </row>
    <row r="16" spans="1:9" ht="24">
      <c r="A16" s="3627" t="s">
        <v>2479</v>
      </c>
      <c r="B16" s="3628" t="s">
        <v>2480</v>
      </c>
      <c r="C16" s="3628"/>
      <c r="D16" s="2362" t="s">
        <v>2481</v>
      </c>
      <c r="E16" s="2373" t="s">
        <v>2482</v>
      </c>
      <c r="F16" s="2363" t="s">
        <v>2483</v>
      </c>
      <c r="G16" s="2364" t="s">
        <v>2473</v>
      </c>
      <c r="H16" s="2370" t="s">
        <v>2474</v>
      </c>
      <c r="I16" s="2361" t="s">
        <v>2475</v>
      </c>
    </row>
    <row r="17" spans="1:9" ht="14.25">
      <c r="A17" s="3627"/>
      <c r="B17" s="3628" t="s">
        <v>2484</v>
      </c>
      <c r="C17" s="3628"/>
      <c r="D17" s="2362"/>
      <c r="E17" s="2362"/>
      <c r="F17" s="2363"/>
      <c r="G17" s="2364"/>
      <c r="H17" s="2374"/>
      <c r="I17" s="2375">
        <f>ROUND(D17*E17*F17*G17/10000,0)</f>
        <v>0</v>
      </c>
    </row>
    <row r="18" spans="1:9" ht="14.25">
      <c r="A18" s="3627"/>
      <c r="B18" s="3628" t="s">
        <v>2485</v>
      </c>
      <c r="C18" s="3628"/>
      <c r="D18" s="2362"/>
      <c r="E18" s="2362"/>
      <c r="F18" s="2363"/>
      <c r="G18" s="2364"/>
      <c r="H18" s="2374"/>
      <c r="I18" s="2375">
        <f>ROUND(D18*E18*F18*G18/10000,0)</f>
        <v>0</v>
      </c>
    </row>
    <row r="19" spans="1:9" ht="14.25">
      <c r="A19" s="3627"/>
      <c r="B19" s="3628" t="s">
        <v>2486</v>
      </c>
      <c r="C19" s="3628"/>
      <c r="D19" s="2362"/>
      <c r="E19" s="2362"/>
      <c r="F19" s="2363"/>
      <c r="G19" s="2364"/>
      <c r="H19" s="2374"/>
      <c r="I19" s="2375">
        <f>ROUND(D19*E19*F19*G19/10000,0)</f>
        <v>0</v>
      </c>
    </row>
    <row r="20" spans="1:9">
      <c r="A20" s="3627"/>
      <c r="B20" s="3629" t="s">
        <v>2467</v>
      </c>
      <c r="C20" s="3629"/>
      <c r="D20" s="2366">
        <f>SUM(D17:D19)</f>
        <v>0</v>
      </c>
      <c r="E20" s="2366"/>
      <c r="F20" s="2367"/>
      <c r="G20" s="2364"/>
      <c r="H20" s="2371"/>
      <c r="I20" s="2372">
        <f>SUM(I17:I19)</f>
        <v>0</v>
      </c>
    </row>
    <row r="21" spans="1:9">
      <c r="A21" s="3627" t="s">
        <v>2487</v>
      </c>
      <c r="B21" s="3630"/>
      <c r="C21" s="3630"/>
      <c r="D21" s="3630"/>
      <c r="E21" s="3630"/>
      <c r="F21" s="3630"/>
      <c r="G21" s="3630"/>
      <c r="H21" s="2376">
        <v>0.1</v>
      </c>
      <c r="I21" s="2369">
        <f>ROUND(I10*H21,0)</f>
        <v>0</v>
      </c>
    </row>
    <row r="22" spans="1:9" ht="14.25">
      <c r="A22" s="3631" t="s">
        <v>2488</v>
      </c>
      <c r="B22" s="3632"/>
      <c r="C22" s="3633"/>
      <c r="D22" s="2377" t="s">
        <v>2489</v>
      </c>
      <c r="E22" s="2377" t="s">
        <v>2490</v>
      </c>
      <c r="F22" s="2378" t="s">
        <v>2491</v>
      </c>
      <c r="G22" s="2378" t="s">
        <v>2492</v>
      </c>
      <c r="H22" s="2370" t="s">
        <v>2493</v>
      </c>
      <c r="I22" s="2361" t="s">
        <v>2494</v>
      </c>
    </row>
    <row r="23" spans="1:9" ht="14.25" thickBot="1">
      <c r="A23" s="3634"/>
      <c r="B23" s="3635"/>
      <c r="C23" s="3636"/>
      <c r="D23" s="2379"/>
      <c r="E23" s="2379"/>
      <c r="F23" s="2379"/>
      <c r="G23" s="2380"/>
      <c r="H23" s="2381"/>
      <c r="I23" s="2382">
        <f>ROUND(E23*D23*F23*(1-G23)/10000,0)</f>
        <v>0</v>
      </c>
    </row>
    <row r="26" spans="1:9">
      <c r="A26" s="2383" t="s">
        <v>2495</v>
      </c>
      <c r="B26" s="2383"/>
      <c r="C26" s="2383"/>
      <c r="D26" s="2383"/>
      <c r="E26" s="3624">
        <f>C27-C30-C31-C32</f>
        <v>0</v>
      </c>
      <c r="F26" s="3624"/>
      <c r="G26" s="3624"/>
      <c r="H26" s="2756" t="s">
        <v>2821</v>
      </c>
    </row>
    <row r="27" spans="1:9">
      <c r="A27" s="2384">
        <v>1</v>
      </c>
      <c r="B27" s="2385" t="s">
        <v>2496</v>
      </c>
      <c r="C27" s="2385"/>
      <c r="D27" s="2385"/>
      <c r="E27" s="3625"/>
      <c r="F27" s="3625"/>
      <c r="G27" s="3625"/>
    </row>
    <row r="28" spans="1:9">
      <c r="A28" s="2386" t="s">
        <v>2497</v>
      </c>
      <c r="B28" s="2385" t="s">
        <v>2498</v>
      </c>
      <c r="C28" s="2385"/>
      <c r="D28" s="2385"/>
      <c r="E28" s="3625"/>
      <c r="F28" s="3625"/>
      <c r="G28" s="3625"/>
    </row>
    <row r="29" spans="1:9">
      <c r="A29" s="2386" t="s">
        <v>2499</v>
      </c>
      <c r="B29" s="2385" t="s">
        <v>2440</v>
      </c>
      <c r="C29" s="2385"/>
      <c r="D29" s="2385"/>
      <c r="E29" s="2385" t="s">
        <v>2500</v>
      </c>
      <c r="F29" s="2385"/>
      <c r="G29" s="2385"/>
    </row>
    <row r="30" spans="1:9">
      <c r="A30" s="2384">
        <v>2</v>
      </c>
      <c r="B30" s="2385" t="s">
        <v>2501</v>
      </c>
      <c r="C30" s="2385">
        <f>C27*D30</f>
        <v>0</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0</v>
      </c>
      <c r="D32" s="2387">
        <v>0.05</v>
      </c>
      <c r="E32" s="3626"/>
      <c r="F32" s="3626"/>
      <c r="G32" s="3626"/>
    </row>
    <row r="33" spans="1:7" hidden="1">
      <c r="A33" s="3621" t="s">
        <v>2506</v>
      </c>
      <c r="B33" s="3622"/>
      <c r="C33" s="3622"/>
      <c r="D33" s="3623"/>
      <c r="E33" s="3624"/>
      <c r="F33" s="3624"/>
      <c r="G33" s="3624"/>
    </row>
    <row r="34" spans="1:7" hidden="1">
      <c r="A34" s="2388">
        <v>1</v>
      </c>
      <c r="B34" s="2385" t="s">
        <v>2507</v>
      </c>
      <c r="C34" s="2385"/>
      <c r="D34" s="2385"/>
      <c r="E34" s="3625"/>
      <c r="F34" s="3625"/>
      <c r="G34" s="3625"/>
    </row>
    <row r="35" spans="1:7" hidden="1">
      <c r="A35" s="2388">
        <v>2</v>
      </c>
      <c r="B35" s="2385" t="s">
        <v>2508</v>
      </c>
      <c r="C35" s="2385"/>
      <c r="D35" s="2385"/>
      <c r="E35" s="3625"/>
      <c r="F35" s="3625"/>
      <c r="G35" s="3625"/>
    </row>
    <row r="36" spans="1:7" hidden="1">
      <c r="A36" s="2388">
        <v>3</v>
      </c>
      <c r="B36" s="2385" t="s">
        <v>2509</v>
      </c>
      <c r="C36" s="2385"/>
      <c r="D36" s="2385"/>
      <c r="E36" s="3625"/>
      <c r="F36" s="3625"/>
      <c r="G36" s="3625"/>
    </row>
    <row r="37" spans="1:7" hidden="1">
      <c r="A37" s="2388">
        <v>4</v>
      </c>
      <c r="B37" s="2385" t="s">
        <v>2510</v>
      </c>
      <c r="C37" s="2385"/>
      <c r="D37" s="2385"/>
      <c r="E37" s="3625"/>
      <c r="F37" s="3625"/>
      <c r="G37" s="3625"/>
    </row>
    <row r="38" spans="1:7" hidden="1">
      <c r="A38" s="3621" t="s">
        <v>2511</v>
      </c>
      <c r="B38" s="3622"/>
      <c r="C38" s="3622"/>
      <c r="D38" s="3623"/>
      <c r="E38" s="3624"/>
      <c r="F38" s="3624"/>
      <c r="G38" s="36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2991</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2993</v>
      </c>
      <c r="D12" s="3271">
        <f>'数据-汇总表'!E5</f>
        <v>136066.92000000001</v>
      </c>
      <c r="E12" s="3271">
        <f>'数据-取费表'!B27</f>
        <v>220</v>
      </c>
      <c r="F12" s="746"/>
      <c r="G12" s="749"/>
    </row>
    <row r="13" spans="1:25" s="2064" customFormat="1" ht="13.5" customHeight="1">
      <c r="A13" s="2329" t="s">
        <v>2429</v>
      </c>
      <c r="B13" s="747" t="s">
        <v>606</v>
      </c>
      <c r="C13" s="748">
        <f>ROUND(D13*E13/10000,0)</f>
        <v>0</v>
      </c>
      <c r="D13" s="3271">
        <f>'数据-汇总表'!E6</f>
        <v>0</v>
      </c>
      <c r="E13" s="3271">
        <f>'数据-取费表'!B28</f>
        <v>220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0.95399999999999996</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80" zoomScaleNormal="60" zoomScaleSheetLayoutView="80" workbookViewId="0">
      <selection activeCell="J50" sqref="J50"/>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3161</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129604</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9525</v>
      </c>
      <c r="C3" s="841" t="s">
        <v>716</v>
      </c>
      <c r="D3" s="840">
        <f>SUMIF('数据-汇总表'!$C19:$C33,D1,'数据-汇总表'!$E19:$E33)</f>
        <v>136066.92000000001</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44" t="s">
        <v>516</v>
      </c>
      <c r="D4" s="3545"/>
      <c r="E4" s="3569" t="s">
        <v>517</v>
      </c>
      <c r="F4" s="3570"/>
      <c r="G4" s="3544" t="s">
        <v>518</v>
      </c>
      <c r="H4" s="3545"/>
      <c r="I4" s="3544" t="s">
        <v>519</v>
      </c>
      <c r="J4" s="3545"/>
      <c r="K4" s="842" t="s">
        <v>520</v>
      </c>
      <c r="L4" s="2015"/>
      <c r="M4" s="2016"/>
      <c r="N4" s="2016"/>
      <c r="O4" s="2016"/>
      <c r="P4" s="3546" t="s">
        <v>521</v>
      </c>
      <c r="Q4" s="3547"/>
      <c r="R4" s="3532" t="s">
        <v>517</v>
      </c>
      <c r="S4" s="3533"/>
      <c r="T4" s="3532" t="s">
        <v>518</v>
      </c>
      <c r="U4" s="3533"/>
      <c r="V4" s="3552" t="s">
        <v>519</v>
      </c>
      <c r="W4" s="3552"/>
      <c r="X4" s="1501"/>
      <c r="Y4" s="3532" t="s">
        <v>521</v>
      </c>
      <c r="Z4" s="3533"/>
      <c r="AA4" s="3527" t="s">
        <v>517</v>
      </c>
      <c r="AB4" s="3527" t="s">
        <v>518</v>
      </c>
      <c r="AC4" s="3527" t="s">
        <v>519</v>
      </c>
    </row>
    <row r="5" spans="1:29" ht="15">
      <c r="A5" s="509"/>
      <c r="B5" s="510"/>
      <c r="C5" s="3555" t="s">
        <v>2891</v>
      </c>
      <c r="D5" s="3556"/>
      <c r="E5" s="3642" t="s">
        <v>3140</v>
      </c>
      <c r="F5" s="3572"/>
      <c r="G5" s="3643" t="s">
        <v>3141</v>
      </c>
      <c r="H5" s="3556"/>
      <c r="I5" s="3643" t="s">
        <v>3142</v>
      </c>
      <c r="J5" s="3556"/>
      <c r="K5" s="843"/>
      <c r="L5" s="2015"/>
      <c r="M5" s="2016"/>
      <c r="N5" s="2016"/>
      <c r="O5" s="2016"/>
      <c r="P5" s="3548"/>
      <c r="Q5" s="3549"/>
      <c r="R5" s="3534"/>
      <c r="S5" s="3535"/>
      <c r="T5" s="3534"/>
      <c r="U5" s="3535"/>
      <c r="V5" s="3552"/>
      <c r="W5" s="3552"/>
      <c r="X5" s="1501"/>
      <c r="Y5" s="3534"/>
      <c r="Z5" s="3535"/>
      <c r="AA5" s="3528"/>
      <c r="AB5" s="3528"/>
      <c r="AC5" s="3528"/>
    </row>
    <row r="6" spans="1:29" ht="15.75" thickBot="1">
      <c r="A6" s="511"/>
      <c r="B6" s="512"/>
      <c r="C6" s="3553" t="s">
        <v>2895</v>
      </c>
      <c r="D6" s="3554"/>
      <c r="E6" s="3573" t="s">
        <v>2895</v>
      </c>
      <c r="F6" s="3574"/>
      <c r="G6" s="3553" t="s">
        <v>2895</v>
      </c>
      <c r="H6" s="3554"/>
      <c r="I6" s="3553" t="s">
        <v>2895</v>
      </c>
      <c r="J6" s="3554"/>
      <c r="K6" s="843" t="s">
        <v>522</v>
      </c>
      <c r="L6" s="2015"/>
      <c r="M6" s="2016"/>
      <c r="N6" s="2016"/>
      <c r="O6" s="2016"/>
      <c r="P6" s="3550"/>
      <c r="Q6" s="3551"/>
      <c r="R6" s="3534"/>
      <c r="S6" s="3535"/>
      <c r="T6" s="3536"/>
      <c r="U6" s="3537"/>
      <c r="V6" s="3552"/>
      <c r="W6" s="3552"/>
      <c r="X6" s="1501"/>
      <c r="Y6" s="3536"/>
      <c r="Z6" s="3537"/>
      <c r="AA6" s="3529"/>
      <c r="AB6" s="3529"/>
      <c r="AC6" s="3529"/>
    </row>
    <row r="7" spans="1:29" s="1202" customFormat="1" ht="15.75" thickBot="1">
      <c r="A7" s="2629"/>
      <c r="B7" s="2636" t="s">
        <v>523</v>
      </c>
      <c r="C7" s="513">
        <f>'数据-取费表'!B2</f>
        <v>44258</v>
      </c>
      <c r="D7" s="514">
        <v>100</v>
      </c>
      <c r="E7" s="515">
        <v>44256</v>
      </c>
      <c r="F7" s="516">
        <f>SUMIF(58:58,YEAR(E7)&amp;"-"&amp;MONTH(E7),59:59)</f>
        <v>100</v>
      </c>
      <c r="G7" s="517">
        <v>44256</v>
      </c>
      <c r="H7" s="514">
        <f>SUMIF(58:58,YEAR(G7)&amp;"-"&amp;MONTH(G7),59:59)</f>
        <v>100</v>
      </c>
      <c r="I7" s="517">
        <v>44256</v>
      </c>
      <c r="J7" s="514">
        <f>SUMIF(58:58,YEAR(I7)&amp;"-"&amp;MONTH(I7),59:59)</f>
        <v>100</v>
      </c>
      <c r="K7" s="844"/>
      <c r="L7" s="2017"/>
      <c r="M7" s="2018"/>
      <c r="N7" s="2018"/>
      <c r="O7" s="2018"/>
      <c r="P7" s="3530" t="s">
        <v>524</v>
      </c>
      <c r="Q7" s="3539"/>
      <c r="R7" s="1502" t="s">
        <v>13</v>
      </c>
      <c r="S7" s="1503">
        <f t="shared" ref="S7:S15" si="0">F7</f>
        <v>100</v>
      </c>
      <c r="T7" s="1502" t="s">
        <v>13</v>
      </c>
      <c r="U7" s="1503">
        <f t="shared" ref="U7:U15" si="1">H7</f>
        <v>100</v>
      </c>
      <c r="V7" s="1502" t="s">
        <v>13</v>
      </c>
      <c r="W7" s="1503">
        <f t="shared" ref="W7:W15" si="2">J7</f>
        <v>100</v>
      </c>
      <c r="X7" s="1504"/>
      <c r="Y7" s="3530" t="s">
        <v>524</v>
      </c>
      <c r="Z7" s="3531"/>
      <c r="AA7" s="1505">
        <f>D7/F7</f>
        <v>1</v>
      </c>
      <c r="AB7" s="1505">
        <f>D7/H7</f>
        <v>1</v>
      </c>
      <c r="AC7" s="1505">
        <f>D7/J7</f>
        <v>1</v>
      </c>
    </row>
    <row r="8" spans="1:29" s="1202" customFormat="1" ht="15.75" thickBot="1">
      <c r="A8" s="2630"/>
      <c r="B8" s="2637" t="s">
        <v>525</v>
      </c>
      <c r="C8" s="519" t="s">
        <v>570</v>
      </c>
      <c r="D8" s="514">
        <v>100</v>
      </c>
      <c r="E8" s="3329" t="s">
        <v>3143</v>
      </c>
      <c r="F8" s="516">
        <f>SUMIF(61:61,E8,62:62)-SUMIF(61:61,C8,62:62)+100</f>
        <v>100</v>
      </c>
      <c r="G8" s="3317" t="s">
        <v>3143</v>
      </c>
      <c r="H8" s="514">
        <f>SUMIF(61:61,G8,62:62)-SUMIF(61:61,C8,62:62)+100</f>
        <v>100</v>
      </c>
      <c r="I8" s="3329" t="s">
        <v>3143</v>
      </c>
      <c r="J8" s="514">
        <f>SUMIF(61:61,I8,62:62)-SUMIF(61:61,C8,62:62)+100</f>
        <v>100</v>
      </c>
      <c r="K8" s="844"/>
      <c r="L8" s="2017"/>
      <c r="M8" s="2018"/>
      <c r="N8" s="2018"/>
      <c r="O8" s="2018"/>
      <c r="P8" s="3530" t="s">
        <v>527</v>
      </c>
      <c r="Q8" s="3531"/>
      <c r="R8" s="1502" t="s">
        <v>13</v>
      </c>
      <c r="S8" s="1503">
        <f t="shared" si="0"/>
        <v>100</v>
      </c>
      <c r="T8" s="1502" t="s">
        <v>13</v>
      </c>
      <c r="U8" s="1503">
        <f t="shared" si="1"/>
        <v>100</v>
      </c>
      <c r="V8" s="1502" t="s">
        <v>13</v>
      </c>
      <c r="W8" s="1503">
        <f t="shared" si="2"/>
        <v>100</v>
      </c>
      <c r="X8" s="1504"/>
      <c r="Y8" s="3530" t="s">
        <v>527</v>
      </c>
      <c r="Z8" s="3531"/>
      <c r="AA8" s="1505">
        <f t="shared" ref="AA8:AA46" si="3">D8/F8</f>
        <v>1</v>
      </c>
      <c r="AB8" s="1505">
        <f t="shared" ref="AB8:AB46" si="4">D8/H8</f>
        <v>1</v>
      </c>
      <c r="AC8" s="1505">
        <f t="shared" ref="AC8:AC46" si="5">D8/J8</f>
        <v>1</v>
      </c>
    </row>
    <row r="9" spans="1:29" s="1202" customFormat="1" ht="15">
      <c r="A9" s="2631"/>
      <c r="B9" s="2638" t="s">
        <v>2735</v>
      </c>
      <c r="C9" s="3330" t="s">
        <v>3144</v>
      </c>
      <c r="D9" s="252">
        <v>100</v>
      </c>
      <c r="E9" s="3331" t="s">
        <v>3144</v>
      </c>
      <c r="F9" s="848">
        <f>SUMIF(63:63,E9,64:64)-SUMIF(63:63,C9,64:64)+100</f>
        <v>100</v>
      </c>
      <c r="G9" s="3332" t="s">
        <v>3144</v>
      </c>
      <c r="H9" s="252">
        <f>SUMIF(63:63,G9,64:64)-SUMIF(63:63,C9,64:64)+100</f>
        <v>100</v>
      </c>
      <c r="I9" s="3332" t="s">
        <v>3144</v>
      </c>
      <c r="J9" s="252">
        <f>SUMIF(63:63,I9,64:64)-SUMIF(63:63,C9,64:64)+100</f>
        <v>100</v>
      </c>
      <c r="K9" s="844"/>
      <c r="L9" s="2017"/>
      <c r="M9" s="2018"/>
      <c r="N9" s="2018"/>
      <c r="O9" s="2019"/>
      <c r="P9" s="3538" t="s">
        <v>529</v>
      </c>
      <c r="Q9" s="1133" t="str">
        <f t="shared" ref="Q9:Q15" si="6">B9</f>
        <v>用途</v>
      </c>
      <c r="R9" s="1502" t="s">
        <v>8</v>
      </c>
      <c r="S9" s="1503">
        <f t="shared" si="0"/>
        <v>100</v>
      </c>
      <c r="T9" s="1502" t="s">
        <v>8</v>
      </c>
      <c r="U9" s="1503">
        <f t="shared" si="1"/>
        <v>100</v>
      </c>
      <c r="V9" s="1502" t="s">
        <v>8</v>
      </c>
      <c r="W9" s="1503">
        <f t="shared" si="2"/>
        <v>100</v>
      </c>
      <c r="X9" s="1504"/>
      <c r="Y9" s="3489" t="s">
        <v>530</v>
      </c>
      <c r="Z9" s="1132" t="str">
        <f t="shared" ref="Z9:Z15" si="7">Q9</f>
        <v>用途</v>
      </c>
      <c r="AA9" s="1505">
        <f t="shared" si="3"/>
        <v>1</v>
      </c>
      <c r="AB9" s="1505">
        <f t="shared" si="4"/>
        <v>1</v>
      </c>
      <c r="AC9" s="1505">
        <f t="shared" si="5"/>
        <v>1</v>
      </c>
    </row>
    <row r="10" spans="1:29" s="1291" customFormat="1" ht="27">
      <c r="A10" s="2632"/>
      <c r="B10" s="2637" t="s">
        <v>2736</v>
      </c>
      <c r="C10" s="850" t="s">
        <v>3145</v>
      </c>
      <c r="D10" s="253">
        <v>100</v>
      </c>
      <c r="E10" s="851" t="s">
        <v>3145</v>
      </c>
      <c r="F10" s="852">
        <f>SUMIF(65:65,E10,66:66)-SUMIF(65:65,C10,66:66)+100</f>
        <v>100</v>
      </c>
      <c r="G10" s="850" t="s">
        <v>3145</v>
      </c>
      <c r="H10" s="253">
        <f>SUMIF(65:65,G10,66:66)-SUMIF(65:65,C10,66:66)+100</f>
        <v>100</v>
      </c>
      <c r="I10" s="850" t="s">
        <v>3145</v>
      </c>
      <c r="J10" s="253">
        <f>SUMIF(65:65,I10,66:66)-SUMIF(65:65,C10,66:66)+100</f>
        <v>100</v>
      </c>
      <c r="K10" s="853"/>
      <c r="L10" s="2020"/>
      <c r="M10" s="2059"/>
      <c r="N10" s="2059"/>
      <c r="O10" s="2021"/>
      <c r="P10" s="3538"/>
      <c r="Q10" s="1133" t="str">
        <f t="shared" si="6"/>
        <v>土地使用年限（年）</v>
      </c>
      <c r="R10" s="1502" t="s">
        <v>8</v>
      </c>
      <c r="S10" s="1503">
        <f t="shared" si="0"/>
        <v>100</v>
      </c>
      <c r="T10" s="1502" t="s">
        <v>8</v>
      </c>
      <c r="U10" s="1503">
        <f t="shared" si="1"/>
        <v>100</v>
      </c>
      <c r="V10" s="1502" t="s">
        <v>8</v>
      </c>
      <c r="W10" s="1503">
        <f t="shared" si="2"/>
        <v>100</v>
      </c>
      <c r="X10" s="1504"/>
      <c r="Y10" s="3489"/>
      <c r="Z10" s="1132" t="str">
        <f t="shared" si="7"/>
        <v>土地使用年限（年）</v>
      </c>
      <c r="AA10" s="1505">
        <f t="shared" si="3"/>
        <v>1</v>
      </c>
      <c r="AB10" s="1505">
        <f t="shared" si="4"/>
        <v>1</v>
      </c>
      <c r="AC10" s="1505">
        <f t="shared" si="5"/>
        <v>1</v>
      </c>
    </row>
    <row r="11" spans="1:29" ht="15">
      <c r="A11" s="2633"/>
      <c r="B11" s="2637" t="s">
        <v>2737</v>
      </c>
      <c r="C11" s="527">
        <v>2.5</v>
      </c>
      <c r="D11" s="253">
        <v>100</v>
      </c>
      <c r="E11" s="528">
        <v>2.5</v>
      </c>
      <c r="F11" s="852">
        <f>LOOKUP(E11,68:68,69:69)-LOOKUP(C11,68:68,69:69)+100</f>
        <v>100</v>
      </c>
      <c r="G11" s="527">
        <v>2</v>
      </c>
      <c r="H11" s="253">
        <f>LOOKUP(G11,68:68,69:69)-LOOKUP(C11,68:68,69:69)+100</f>
        <v>101</v>
      </c>
      <c r="I11" s="527">
        <v>1.6</v>
      </c>
      <c r="J11" s="253">
        <f>LOOKUP(I11,68:68,69:69)-LOOKUP(C11,68:68,69:69)+100</f>
        <v>102</v>
      </c>
      <c r="K11" s="853">
        <v>1</v>
      </c>
      <c r="L11" s="2022"/>
      <c r="M11" s="2016"/>
      <c r="N11" s="2016"/>
      <c r="O11" s="2023"/>
      <c r="P11" s="3538"/>
      <c r="Q11" s="1133" t="str">
        <f t="shared" si="6"/>
        <v>容积率</v>
      </c>
      <c r="R11" s="1502" t="s">
        <v>11</v>
      </c>
      <c r="S11" s="1503">
        <f t="shared" si="0"/>
        <v>100</v>
      </c>
      <c r="T11" s="1502" t="s">
        <v>11</v>
      </c>
      <c r="U11" s="1503">
        <f t="shared" si="1"/>
        <v>101</v>
      </c>
      <c r="V11" s="1502" t="s">
        <v>11</v>
      </c>
      <c r="W11" s="1503">
        <f t="shared" si="2"/>
        <v>102</v>
      </c>
      <c r="X11" s="1504"/>
      <c r="Y11" s="3489"/>
      <c r="Z11" s="1132" t="str">
        <f t="shared" si="7"/>
        <v>容积率</v>
      </c>
      <c r="AA11" s="1505">
        <f t="shared" si="3"/>
        <v>1</v>
      </c>
      <c r="AB11" s="1505">
        <f t="shared" si="4"/>
        <v>0.99009900990099009</v>
      </c>
      <c r="AC11" s="1505">
        <f t="shared" si="5"/>
        <v>0.98039215686274506</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38"/>
      <c r="Q12" s="1133">
        <f t="shared" si="6"/>
        <v>111</v>
      </c>
      <c r="R12" s="1502" t="s">
        <v>11</v>
      </c>
      <c r="S12" s="1503">
        <f t="shared" si="0"/>
        <v>100</v>
      </c>
      <c r="T12" s="1502" t="s">
        <v>11</v>
      </c>
      <c r="U12" s="1503">
        <f t="shared" si="1"/>
        <v>100</v>
      </c>
      <c r="V12" s="1502" t="s">
        <v>11</v>
      </c>
      <c r="W12" s="1503">
        <f t="shared" si="2"/>
        <v>100</v>
      </c>
      <c r="X12" s="1504"/>
      <c r="Y12" s="3489"/>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38"/>
      <c r="Q13" s="1133">
        <f t="shared" si="6"/>
        <v>111</v>
      </c>
      <c r="R13" s="1502" t="s">
        <v>11</v>
      </c>
      <c r="S13" s="1503">
        <f t="shared" si="0"/>
        <v>100</v>
      </c>
      <c r="T13" s="1502" t="s">
        <v>11</v>
      </c>
      <c r="U13" s="1503">
        <f t="shared" si="1"/>
        <v>100</v>
      </c>
      <c r="V13" s="1502" t="s">
        <v>11</v>
      </c>
      <c r="W13" s="1503">
        <f t="shared" si="2"/>
        <v>100</v>
      </c>
      <c r="X13" s="1504"/>
      <c r="Y13" s="3489"/>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38"/>
      <c r="Q14" s="1133">
        <f t="shared" si="6"/>
        <v>111</v>
      </c>
      <c r="R14" s="1502" t="s">
        <v>11</v>
      </c>
      <c r="S14" s="1503">
        <f t="shared" si="0"/>
        <v>100</v>
      </c>
      <c r="T14" s="1502" t="s">
        <v>11</v>
      </c>
      <c r="U14" s="1503">
        <f t="shared" si="1"/>
        <v>100</v>
      </c>
      <c r="V14" s="1502" t="s">
        <v>11</v>
      </c>
      <c r="W14" s="1503">
        <f t="shared" si="2"/>
        <v>100</v>
      </c>
      <c r="X14" s="1504"/>
      <c r="Y14" s="3489"/>
      <c r="Z14" s="1132">
        <f t="shared" si="7"/>
        <v>111</v>
      </c>
      <c r="AA14" s="1505">
        <f t="shared" si="3"/>
        <v>1</v>
      </c>
      <c r="AB14" s="1505">
        <f t="shared" si="4"/>
        <v>1</v>
      </c>
      <c r="AC14" s="1505">
        <f t="shared" si="5"/>
        <v>1</v>
      </c>
    </row>
    <row r="15" spans="1:29" ht="99.75">
      <c r="A15" s="2627"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0" t="s">
        <v>534</v>
      </c>
      <c r="Q15" s="1506" t="str">
        <f t="shared" si="6"/>
        <v>居住社区成熟度</v>
      </c>
      <c r="R15" s="1507" t="s">
        <v>11</v>
      </c>
      <c r="S15" s="1508">
        <f t="shared" si="0"/>
        <v>100</v>
      </c>
      <c r="T15" s="1507" t="s">
        <v>11</v>
      </c>
      <c r="U15" s="1508">
        <f t="shared" si="1"/>
        <v>100</v>
      </c>
      <c r="V15" s="1507" t="s">
        <v>11</v>
      </c>
      <c r="W15" s="1508">
        <f t="shared" si="2"/>
        <v>100</v>
      </c>
      <c r="X15" s="1501"/>
      <c r="Y15" s="3540" t="s">
        <v>534</v>
      </c>
      <c r="Z15" s="1509" t="str">
        <f t="shared" si="7"/>
        <v>居住社区成熟度</v>
      </c>
      <c r="AA15" s="1510">
        <f t="shared" si="3"/>
        <v>1</v>
      </c>
      <c r="AB15" s="1510">
        <f t="shared" si="4"/>
        <v>1</v>
      </c>
      <c r="AC15" s="1510">
        <f t="shared" si="5"/>
        <v>1</v>
      </c>
    </row>
    <row r="16" spans="1:29" ht="15">
      <c r="A16" s="526"/>
      <c r="B16" s="858"/>
      <c r="C16" s="3324" t="s">
        <v>3146</v>
      </c>
      <c r="D16" s="549"/>
      <c r="E16" s="3320" t="s">
        <v>3146</v>
      </c>
      <c r="F16" s="551"/>
      <c r="G16" s="3319" t="s">
        <v>3146</v>
      </c>
      <c r="H16" s="553"/>
      <c r="I16" s="3320" t="s">
        <v>3146</v>
      </c>
      <c r="J16" s="549"/>
      <c r="K16" s="859"/>
      <c r="L16" s="2024"/>
      <c r="M16" s="2016"/>
      <c r="N16" s="2016"/>
      <c r="O16" s="2023"/>
      <c r="P16" s="3541"/>
      <c r="Q16" s="1506"/>
      <c r="R16" s="1507"/>
      <c r="S16" s="1508"/>
      <c r="T16" s="1507"/>
      <c r="U16" s="1508"/>
      <c r="V16" s="1507"/>
      <c r="W16" s="1508"/>
      <c r="X16" s="1501"/>
      <c r="Y16" s="3541"/>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1"/>
      <c r="Q17" s="1506" t="str">
        <f>B17</f>
        <v>交通便捷度</v>
      </c>
      <c r="R17" s="1507" t="s">
        <v>11</v>
      </c>
      <c r="S17" s="1508">
        <f>F17</f>
        <v>100</v>
      </c>
      <c r="T17" s="1507" t="s">
        <v>11</v>
      </c>
      <c r="U17" s="1508">
        <f>H17</f>
        <v>100</v>
      </c>
      <c r="V17" s="1507" t="s">
        <v>11</v>
      </c>
      <c r="W17" s="1508">
        <f>J17</f>
        <v>100</v>
      </c>
      <c r="X17" s="1501"/>
      <c r="Y17" s="3541"/>
      <c r="Z17" s="1509" t="str">
        <f>Q17</f>
        <v>交通便捷度</v>
      </c>
      <c r="AA17" s="1510">
        <f t="shared" si="3"/>
        <v>1</v>
      </c>
      <c r="AB17" s="1510">
        <f t="shared" si="4"/>
        <v>1</v>
      </c>
      <c r="AC17" s="1510">
        <f t="shared" si="5"/>
        <v>1</v>
      </c>
    </row>
    <row r="18" spans="1:29" ht="15">
      <c r="A18" s="526"/>
      <c r="B18" s="589"/>
      <c r="C18" s="3333" t="s">
        <v>3146</v>
      </c>
      <c r="D18" s="553"/>
      <c r="E18" s="3323" t="s">
        <v>3146</v>
      </c>
      <c r="F18" s="557"/>
      <c r="G18" s="3322" t="s">
        <v>3146</v>
      </c>
      <c r="H18" s="549"/>
      <c r="I18" s="3323" t="s">
        <v>3146</v>
      </c>
      <c r="J18" s="549"/>
      <c r="K18" s="859"/>
      <c r="L18" s="2024"/>
      <c r="M18" s="2016"/>
      <c r="N18" s="2016"/>
      <c r="O18" s="2023"/>
      <c r="P18" s="3541"/>
      <c r="Q18" s="1506"/>
      <c r="R18" s="1507"/>
      <c r="S18" s="1508"/>
      <c r="T18" s="1507"/>
      <c r="U18" s="1508"/>
      <c r="V18" s="1507"/>
      <c r="W18" s="1508"/>
      <c r="X18" s="1501"/>
      <c r="Y18" s="3541"/>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1"/>
      <c r="Q19" s="1506" t="str">
        <f>B19</f>
        <v>公共配套设施</v>
      </c>
      <c r="R19" s="1507" t="s">
        <v>11</v>
      </c>
      <c r="S19" s="1508">
        <f>F19</f>
        <v>100</v>
      </c>
      <c r="T19" s="1507" t="s">
        <v>11</v>
      </c>
      <c r="U19" s="1508">
        <f>H19</f>
        <v>100</v>
      </c>
      <c r="V19" s="1507" t="s">
        <v>11</v>
      </c>
      <c r="W19" s="1508">
        <f>J19</f>
        <v>100</v>
      </c>
      <c r="X19" s="1501"/>
      <c r="Y19" s="3541"/>
      <c r="Z19" s="1509" t="str">
        <f>Q19</f>
        <v>公共配套设施</v>
      </c>
      <c r="AA19" s="1510">
        <f t="shared" si="3"/>
        <v>1</v>
      </c>
      <c r="AB19" s="1510">
        <f t="shared" si="4"/>
        <v>1</v>
      </c>
      <c r="AC19" s="1510">
        <f t="shared" si="5"/>
        <v>1</v>
      </c>
    </row>
    <row r="20" spans="1:29" ht="15">
      <c r="A20" s="526"/>
      <c r="B20" s="589"/>
      <c r="C20" s="3324" t="s">
        <v>3146</v>
      </c>
      <c r="D20" s="549"/>
      <c r="E20" s="3320" t="s">
        <v>3146</v>
      </c>
      <c r="F20" s="551"/>
      <c r="G20" s="3319" t="s">
        <v>3146</v>
      </c>
      <c r="H20" s="549"/>
      <c r="I20" s="3320" t="s">
        <v>3146</v>
      </c>
      <c r="J20" s="549"/>
      <c r="K20" s="859"/>
      <c r="L20" s="2024"/>
      <c r="M20" s="2016"/>
      <c r="N20" s="2016"/>
      <c r="O20" s="2023"/>
      <c r="P20" s="3541"/>
      <c r="Q20" s="1506"/>
      <c r="R20" s="1507"/>
      <c r="S20" s="1508"/>
      <c r="T20" s="1507"/>
      <c r="U20" s="1508"/>
      <c r="V20" s="1507"/>
      <c r="W20" s="1508"/>
      <c r="X20" s="1501"/>
      <c r="Y20" s="3541"/>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1"/>
      <c r="Q21" s="2429" t="str">
        <f>B21</f>
        <v>基础设施水平</v>
      </c>
      <c r="R21" s="1507" t="s">
        <v>11</v>
      </c>
      <c r="S21" s="1508">
        <f>F21</f>
        <v>100</v>
      </c>
      <c r="T21" s="1507" t="s">
        <v>11</v>
      </c>
      <c r="U21" s="1508">
        <f>H21</f>
        <v>100</v>
      </c>
      <c r="V21" s="1507" t="s">
        <v>11</v>
      </c>
      <c r="W21" s="1508">
        <f>J21</f>
        <v>100</v>
      </c>
      <c r="X21" s="2431"/>
      <c r="Y21" s="3541"/>
      <c r="Z21" s="2430" t="str">
        <f>Q21</f>
        <v>基础设施水平</v>
      </c>
      <c r="AA21" s="1510">
        <f t="shared" ref="AA21" si="8">D21/F21</f>
        <v>1</v>
      </c>
      <c r="AB21" s="1510">
        <f t="shared" ref="AB21" si="9">D21/H21</f>
        <v>1</v>
      </c>
      <c r="AC21" s="1510">
        <f t="shared" ref="AC21" si="10">D21/J21</f>
        <v>1</v>
      </c>
    </row>
    <row r="22" spans="1:29" ht="15">
      <c r="A22" s="526"/>
      <c r="B22" s="910"/>
      <c r="C22" s="3333" t="s">
        <v>3147</v>
      </c>
      <c r="D22" s="549"/>
      <c r="E22" s="3324" t="s">
        <v>3147</v>
      </c>
      <c r="F22" s="551"/>
      <c r="G22" s="3324" t="s">
        <v>3147</v>
      </c>
      <c r="H22" s="549"/>
      <c r="I22" s="3324" t="s">
        <v>3147</v>
      </c>
      <c r="J22" s="549"/>
      <c r="K22" s="2443"/>
      <c r="L22" s="2024"/>
      <c r="M22" s="2016"/>
      <c r="N22" s="2016"/>
      <c r="O22" s="2023"/>
      <c r="P22" s="3541"/>
      <c r="Q22" s="2429"/>
      <c r="R22" s="1507"/>
      <c r="S22" s="1508"/>
      <c r="T22" s="1507"/>
      <c r="U22" s="1508"/>
      <c r="V22" s="1507"/>
      <c r="W22" s="1508"/>
      <c r="X22" s="2431"/>
      <c r="Y22" s="3541"/>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1"/>
      <c r="Q23" s="1506" t="str">
        <f>B23</f>
        <v>自然及人文环境</v>
      </c>
      <c r="R23" s="1507" t="s">
        <v>11</v>
      </c>
      <c r="S23" s="1508">
        <f>F23</f>
        <v>100</v>
      </c>
      <c r="T23" s="1507" t="s">
        <v>11</v>
      </c>
      <c r="U23" s="1508">
        <f>H23</f>
        <v>100</v>
      </c>
      <c r="V23" s="1507" t="s">
        <v>11</v>
      </c>
      <c r="W23" s="1508">
        <f>J23</f>
        <v>100</v>
      </c>
      <c r="X23" s="1501"/>
      <c r="Y23" s="3541"/>
      <c r="Z23" s="1509" t="str">
        <f>Q23</f>
        <v>自然及人文环境</v>
      </c>
      <c r="AA23" s="1510">
        <f t="shared" si="3"/>
        <v>1</v>
      </c>
      <c r="AB23" s="1510">
        <f t="shared" si="4"/>
        <v>1</v>
      </c>
      <c r="AC23" s="1510">
        <f t="shared" si="5"/>
        <v>1</v>
      </c>
    </row>
    <row r="24" spans="1:29" ht="15">
      <c r="A24" s="526"/>
      <c r="B24" s="589"/>
      <c r="C24" s="3324" t="s">
        <v>3146</v>
      </c>
      <c r="D24" s="549"/>
      <c r="E24" s="3320" t="s">
        <v>3146</v>
      </c>
      <c r="F24" s="551"/>
      <c r="G24" s="3319" t="s">
        <v>3146</v>
      </c>
      <c r="H24" s="549"/>
      <c r="I24" s="3320" t="s">
        <v>3146</v>
      </c>
      <c r="J24" s="549"/>
      <c r="K24" s="859"/>
      <c r="L24" s="2024"/>
      <c r="M24" s="2016"/>
      <c r="N24" s="2016"/>
      <c r="O24" s="2023"/>
      <c r="P24" s="3541"/>
      <c r="Q24" s="1506"/>
      <c r="R24" s="1507"/>
      <c r="S24" s="1508"/>
      <c r="T24" s="1507"/>
      <c r="U24" s="1508"/>
      <c r="V24" s="1507"/>
      <c r="W24" s="1508"/>
      <c r="X24" s="1501"/>
      <c r="Y24" s="3541"/>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1"/>
      <c r="Q25" s="1506" t="str">
        <f t="shared" ref="Q25:Q46" si="11">B25</f>
        <v>楼层-1</v>
      </c>
      <c r="R25" s="1507" t="s">
        <v>11</v>
      </c>
      <c r="S25" s="1508">
        <f>F25</f>
        <v>100</v>
      </c>
      <c r="T25" s="1507" t="s">
        <v>11</v>
      </c>
      <c r="U25" s="1508">
        <f>H25</f>
        <v>100</v>
      </c>
      <c r="V25" s="1507" t="s">
        <v>11</v>
      </c>
      <c r="W25" s="1508">
        <f>J25</f>
        <v>100</v>
      </c>
      <c r="X25" s="1501"/>
      <c r="Y25" s="3541"/>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1"/>
      <c r="Q26" s="1506" t="str">
        <f t="shared" si="11"/>
        <v>朝向</v>
      </c>
      <c r="R26" s="1507" t="s">
        <v>11</v>
      </c>
      <c r="S26" s="1508">
        <f>F26</f>
        <v>100</v>
      </c>
      <c r="T26" s="1507" t="s">
        <v>11</v>
      </c>
      <c r="U26" s="1508">
        <f>H26</f>
        <v>100</v>
      </c>
      <c r="V26" s="1507" t="s">
        <v>11</v>
      </c>
      <c r="W26" s="1508">
        <f>J26</f>
        <v>100</v>
      </c>
      <c r="X26" s="1501"/>
      <c r="Y26" s="3541"/>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1"/>
      <c r="Q27" s="1133" t="str">
        <f t="shared" si="11"/>
        <v>道路级别</v>
      </c>
      <c r="R27" s="1502" t="s">
        <v>11</v>
      </c>
      <c r="S27" s="1503">
        <f>F27</f>
        <v>100</v>
      </c>
      <c r="T27" s="1502" t="s">
        <v>11</v>
      </c>
      <c r="U27" s="1503">
        <f>H27</f>
        <v>100</v>
      </c>
      <c r="V27" s="1502" t="s">
        <v>11</v>
      </c>
      <c r="W27" s="1503">
        <f>J27</f>
        <v>100</v>
      </c>
      <c r="X27" s="1504"/>
      <c r="Y27" s="3541"/>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1"/>
      <c r="Q28" s="1506">
        <f t="shared" si="11"/>
        <v>111</v>
      </c>
      <c r="R28" s="1507" t="s">
        <v>11</v>
      </c>
      <c r="S28" s="1508">
        <f t="shared" ref="S28:S46" si="12">F28</f>
        <v>100</v>
      </c>
      <c r="T28" s="1507" t="s">
        <v>11</v>
      </c>
      <c r="U28" s="1508">
        <f t="shared" ref="U28:U46" si="13">H28</f>
        <v>100</v>
      </c>
      <c r="V28" s="1507" t="s">
        <v>11</v>
      </c>
      <c r="W28" s="1508">
        <f t="shared" ref="W28:W46" si="14">J28</f>
        <v>100</v>
      </c>
      <c r="X28" s="1501"/>
      <c r="Y28" s="3541"/>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1"/>
      <c r="Q29" s="1506">
        <f t="shared" si="11"/>
        <v>111</v>
      </c>
      <c r="R29" s="1507" t="s">
        <v>11</v>
      </c>
      <c r="S29" s="1508">
        <f t="shared" si="12"/>
        <v>100</v>
      </c>
      <c r="T29" s="1507" t="s">
        <v>11</v>
      </c>
      <c r="U29" s="1508">
        <f t="shared" si="13"/>
        <v>100</v>
      </c>
      <c r="V29" s="1507" t="s">
        <v>11</v>
      </c>
      <c r="W29" s="1508">
        <f t="shared" si="14"/>
        <v>100</v>
      </c>
      <c r="X29" s="1501"/>
      <c r="Y29" s="3541"/>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1"/>
      <c r="Q30" s="1506">
        <f t="shared" si="11"/>
        <v>111</v>
      </c>
      <c r="R30" s="1507" t="s">
        <v>11</v>
      </c>
      <c r="S30" s="1508">
        <f t="shared" si="12"/>
        <v>100</v>
      </c>
      <c r="T30" s="1507" t="s">
        <v>11</v>
      </c>
      <c r="U30" s="1508">
        <f t="shared" si="13"/>
        <v>100</v>
      </c>
      <c r="V30" s="1507" t="s">
        <v>11</v>
      </c>
      <c r="W30" s="1508">
        <f t="shared" si="14"/>
        <v>100</v>
      </c>
      <c r="X30" s="1501"/>
      <c r="Y30" s="3541"/>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1"/>
      <c r="Q31" s="1506">
        <f t="shared" si="11"/>
        <v>111</v>
      </c>
      <c r="R31" s="1507" t="s">
        <v>11</v>
      </c>
      <c r="S31" s="1508">
        <f t="shared" si="12"/>
        <v>100</v>
      </c>
      <c r="T31" s="1507" t="s">
        <v>11</v>
      </c>
      <c r="U31" s="1508">
        <f t="shared" si="13"/>
        <v>100</v>
      </c>
      <c r="V31" s="1507" t="s">
        <v>11</v>
      </c>
      <c r="W31" s="1508">
        <f t="shared" si="14"/>
        <v>100</v>
      </c>
      <c r="X31" s="1501"/>
      <c r="Y31" s="3541"/>
      <c r="Z31" s="1509">
        <f t="shared" si="15"/>
        <v>111</v>
      </c>
      <c r="AA31" s="1510">
        <f t="shared" si="3"/>
        <v>1</v>
      </c>
      <c r="AB31" s="1510">
        <f t="shared" si="4"/>
        <v>1</v>
      </c>
      <c r="AC31" s="1510">
        <f t="shared" si="5"/>
        <v>1</v>
      </c>
    </row>
    <row r="32" spans="1:29" ht="15">
      <c r="A32" s="2624" t="s">
        <v>2734</v>
      </c>
      <c r="B32" s="170" t="s">
        <v>719</v>
      </c>
      <c r="C32" s="3334" t="s">
        <v>3148</v>
      </c>
      <c r="D32" s="591">
        <v>100</v>
      </c>
      <c r="E32" s="3335" t="s">
        <v>3149</v>
      </c>
      <c r="F32" s="569">
        <f>SUMIF(100:100,E32,101:101)-SUMIF(100:100,C32,101:101)+100</f>
        <v>100</v>
      </c>
      <c r="G32" s="3334" t="s">
        <v>3149</v>
      </c>
      <c r="H32" s="591">
        <f>SUMIF(100:100,G32,101:101)-SUMIF(100:100,C32,101:101)+100</f>
        <v>100</v>
      </c>
      <c r="I32" s="3335" t="s">
        <v>3148</v>
      </c>
      <c r="J32" s="534">
        <f>SUMIF(100:100,I32,101:101)-SUMIF(100:100,C32,101:101)+100</f>
        <v>100</v>
      </c>
      <c r="K32" s="853"/>
      <c r="L32" s="2024"/>
      <c r="M32" s="2016"/>
      <c r="N32" s="2016"/>
      <c r="O32" s="2023"/>
      <c r="P32" s="3542" t="s">
        <v>544</v>
      </c>
      <c r="Q32" s="1506" t="str">
        <f t="shared" si="11"/>
        <v>建筑类型</v>
      </c>
      <c r="R32" s="1507" t="s">
        <v>11</v>
      </c>
      <c r="S32" s="1508">
        <f t="shared" si="12"/>
        <v>100</v>
      </c>
      <c r="T32" s="1507" t="s">
        <v>11</v>
      </c>
      <c r="U32" s="1508">
        <f t="shared" si="13"/>
        <v>100</v>
      </c>
      <c r="V32" s="1507" t="s">
        <v>11</v>
      </c>
      <c r="W32" s="1508">
        <f t="shared" si="14"/>
        <v>100</v>
      </c>
      <c r="X32" s="1501"/>
      <c r="Y32" s="3543" t="s">
        <v>544</v>
      </c>
      <c r="Z32" s="1509" t="str">
        <f t="shared" si="15"/>
        <v>建筑类型</v>
      </c>
      <c r="AA32" s="1510">
        <f t="shared" si="3"/>
        <v>1</v>
      </c>
      <c r="AB32" s="1510">
        <f t="shared" si="4"/>
        <v>1</v>
      </c>
      <c r="AC32" s="1510">
        <f t="shared" si="5"/>
        <v>1</v>
      </c>
    </row>
    <row r="33" spans="1:29" s="1292" customFormat="1" ht="15">
      <c r="A33" s="597"/>
      <c r="B33" s="521" t="s">
        <v>720</v>
      </c>
      <c r="C33" s="868">
        <f>'数据-基础表'!I13</f>
        <v>136066.92000000001</v>
      </c>
      <c r="D33" s="253">
        <v>100</v>
      </c>
      <c r="E33" s="528">
        <v>214503</v>
      </c>
      <c r="F33" s="852">
        <f>LOOKUP(E33,103:103,104:104)-LOOKUP(C33,103:103,104:104)+100</f>
        <v>100</v>
      </c>
      <c r="G33" s="527">
        <v>1305647.18</v>
      </c>
      <c r="H33" s="253">
        <f>LOOKUP(G33,103:103,104:104)-LOOKUP(C33,103:103,104:104)+100</f>
        <v>102</v>
      </c>
      <c r="I33" s="528">
        <v>3096588</v>
      </c>
      <c r="J33" s="253">
        <f>LOOKUP(I33,103:103,104:104)-LOOKUP(C33,103:103,104:104)+100</f>
        <v>103</v>
      </c>
      <c r="K33" s="854"/>
      <c r="L33" s="2022"/>
      <c r="M33" s="2052"/>
      <c r="N33" s="2052"/>
      <c r="O33" s="2025"/>
      <c r="P33" s="3543"/>
      <c r="Q33" s="1535" t="str">
        <f t="shared" si="11"/>
        <v>项目建筑规模</v>
      </c>
      <c r="R33" s="1511" t="s">
        <v>11</v>
      </c>
      <c r="S33" s="1512">
        <f t="shared" si="12"/>
        <v>100</v>
      </c>
      <c r="T33" s="1511" t="s">
        <v>11</v>
      </c>
      <c r="U33" s="1512">
        <f t="shared" si="13"/>
        <v>102</v>
      </c>
      <c r="V33" s="1511" t="s">
        <v>11</v>
      </c>
      <c r="W33" s="1512">
        <f t="shared" si="14"/>
        <v>103</v>
      </c>
      <c r="X33" s="1513"/>
      <c r="Y33" s="3543"/>
      <c r="Z33" s="1514" t="str">
        <f t="shared" si="15"/>
        <v>项目建筑规模</v>
      </c>
      <c r="AA33" s="1510">
        <f t="shared" si="3"/>
        <v>1</v>
      </c>
      <c r="AB33" s="1510">
        <f t="shared" si="4"/>
        <v>0.98039215686274506</v>
      </c>
      <c r="AC33" s="1510">
        <f t="shared" si="5"/>
        <v>0.970873786407767</v>
      </c>
    </row>
    <row r="34" spans="1:29" ht="15">
      <c r="A34" s="588"/>
      <c r="B34" s="521" t="s">
        <v>721</v>
      </c>
      <c r="C34" s="3336" t="s">
        <v>3150</v>
      </c>
      <c r="D34" s="534">
        <v>100</v>
      </c>
      <c r="E34" s="3337" t="s">
        <v>3150</v>
      </c>
      <c r="F34" s="569">
        <f>SUMIF(105:105,E34,106:106)-SUMIF(105:105,C34,106:106)+100</f>
        <v>100</v>
      </c>
      <c r="G34" s="3336" t="s">
        <v>3150</v>
      </c>
      <c r="H34" s="534">
        <f>SUMIF(105:105,G34,106:106)-SUMIF(105:105,C34,106:106)+100</f>
        <v>100</v>
      </c>
      <c r="I34" s="3337" t="s">
        <v>3151</v>
      </c>
      <c r="J34" s="534">
        <f>SUMIF(105:105,I34,106:106)-SUMIF(105:105,C34,106:106)+100</f>
        <v>100</v>
      </c>
      <c r="K34" s="853"/>
      <c r="L34" s="2024"/>
      <c r="M34" s="2016"/>
      <c r="N34" s="2016"/>
      <c r="O34" s="2023"/>
      <c r="P34" s="3543"/>
      <c r="Q34" s="1506" t="str">
        <f t="shared" si="11"/>
        <v>建筑结构</v>
      </c>
      <c r="R34" s="1507" t="s">
        <v>11</v>
      </c>
      <c r="S34" s="1508">
        <f t="shared" si="12"/>
        <v>100</v>
      </c>
      <c r="T34" s="1507" t="s">
        <v>11</v>
      </c>
      <c r="U34" s="1508">
        <f t="shared" si="13"/>
        <v>100</v>
      </c>
      <c r="V34" s="1507" t="s">
        <v>11</v>
      </c>
      <c r="W34" s="1508">
        <f t="shared" si="14"/>
        <v>100</v>
      </c>
      <c r="X34" s="1501"/>
      <c r="Y34" s="3543"/>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43"/>
      <c r="Q35" s="1506" t="str">
        <f t="shared" si="11"/>
        <v>建筑品质</v>
      </c>
      <c r="R35" s="1507" t="s">
        <v>11</v>
      </c>
      <c r="S35" s="1508">
        <f t="shared" si="12"/>
        <v>100</v>
      </c>
      <c r="T35" s="1507" t="s">
        <v>11</v>
      </c>
      <c r="U35" s="1508">
        <f t="shared" si="13"/>
        <v>100</v>
      </c>
      <c r="V35" s="1507" t="s">
        <v>11</v>
      </c>
      <c r="W35" s="1508">
        <f t="shared" si="14"/>
        <v>100</v>
      </c>
      <c r="X35" s="1501"/>
      <c r="Y35" s="3543"/>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43"/>
      <c r="Q36" s="1506" t="str">
        <f t="shared" si="11"/>
        <v>公共部分装修</v>
      </c>
      <c r="R36" s="1507" t="s">
        <v>11</v>
      </c>
      <c r="S36" s="1508">
        <f t="shared" si="12"/>
        <v>100</v>
      </c>
      <c r="T36" s="1507" t="s">
        <v>11</v>
      </c>
      <c r="U36" s="1508">
        <f t="shared" si="13"/>
        <v>100</v>
      </c>
      <c r="V36" s="1507" t="s">
        <v>11</v>
      </c>
      <c r="W36" s="1508">
        <f t="shared" si="14"/>
        <v>100</v>
      </c>
      <c r="X36" s="1501"/>
      <c r="Y36" s="3543"/>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7"/>
      <c r="M37" s="2018"/>
      <c r="N37" s="2018"/>
      <c r="O37" s="2019"/>
      <c r="P37" s="3543"/>
      <c r="Q37" s="1133" t="str">
        <f t="shared" si="11"/>
        <v>成新度</v>
      </c>
      <c r="R37" s="1502" t="s">
        <v>11</v>
      </c>
      <c r="S37" s="1503">
        <f t="shared" si="12"/>
        <v>100</v>
      </c>
      <c r="T37" s="1502" t="s">
        <v>11</v>
      </c>
      <c r="U37" s="1503">
        <f t="shared" si="13"/>
        <v>100</v>
      </c>
      <c r="V37" s="1502" t="s">
        <v>11</v>
      </c>
      <c r="W37" s="1503">
        <f t="shared" si="14"/>
        <v>100</v>
      </c>
      <c r="X37" s="1504"/>
      <c r="Y37" s="3543"/>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43" t="s">
        <v>544</v>
      </c>
      <c r="Q38" s="1506" t="str">
        <f t="shared" si="11"/>
        <v>物业管理</v>
      </c>
      <c r="R38" s="1507" t="s">
        <v>11</v>
      </c>
      <c r="S38" s="1508">
        <f t="shared" si="12"/>
        <v>100</v>
      </c>
      <c r="T38" s="1507" t="s">
        <v>11</v>
      </c>
      <c r="U38" s="1508">
        <f t="shared" si="13"/>
        <v>100</v>
      </c>
      <c r="V38" s="1507" t="s">
        <v>11</v>
      </c>
      <c r="W38" s="1508">
        <f t="shared" si="14"/>
        <v>100</v>
      </c>
      <c r="X38" s="1501"/>
      <c r="Y38" s="3543" t="s">
        <v>544</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43"/>
      <c r="Q39" s="1506" t="str">
        <f t="shared" si="11"/>
        <v>市政基础设施</v>
      </c>
      <c r="R39" s="1507" t="s">
        <v>11</v>
      </c>
      <c r="S39" s="1508">
        <f t="shared" si="12"/>
        <v>100</v>
      </c>
      <c r="T39" s="1507" t="s">
        <v>11</v>
      </c>
      <c r="U39" s="1508">
        <f t="shared" si="13"/>
        <v>100</v>
      </c>
      <c r="V39" s="1507" t="s">
        <v>11</v>
      </c>
      <c r="W39" s="1508">
        <f t="shared" si="14"/>
        <v>100</v>
      </c>
      <c r="X39" s="1501"/>
      <c r="Y39" s="3543"/>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43"/>
      <c r="Q40" s="1506" t="str">
        <f t="shared" si="11"/>
        <v>房型</v>
      </c>
      <c r="R40" s="1507" t="s">
        <v>11</v>
      </c>
      <c r="S40" s="1508">
        <f t="shared" si="12"/>
        <v>100</v>
      </c>
      <c r="T40" s="1507" t="s">
        <v>11</v>
      </c>
      <c r="U40" s="1508">
        <f t="shared" si="13"/>
        <v>100</v>
      </c>
      <c r="V40" s="1507" t="s">
        <v>11</v>
      </c>
      <c r="W40" s="1508">
        <f t="shared" si="14"/>
        <v>100</v>
      </c>
      <c r="X40" s="1501"/>
      <c r="Y40" s="3543"/>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3"/>
      <c r="Q41" s="1535" t="str">
        <f t="shared" si="11"/>
        <v>单套/主力户型建筑面积</v>
      </c>
      <c r="R41" s="1511" t="s">
        <v>11</v>
      </c>
      <c r="S41" s="1512">
        <f t="shared" si="12"/>
        <v>100</v>
      </c>
      <c r="T41" s="1511" t="s">
        <v>11</v>
      </c>
      <c r="U41" s="1512">
        <f t="shared" si="13"/>
        <v>100</v>
      </c>
      <c r="V41" s="1511" t="s">
        <v>11</v>
      </c>
      <c r="W41" s="1512">
        <f t="shared" si="14"/>
        <v>100</v>
      </c>
      <c r="X41" s="1513"/>
      <c r="Y41" s="3543"/>
      <c r="Z41" s="1514" t="str">
        <f t="shared" si="15"/>
        <v>单套/主力户型建筑面积</v>
      </c>
      <c r="AA41" s="1510">
        <f t="shared" si="3"/>
        <v>1</v>
      </c>
      <c r="AB41" s="1510">
        <f t="shared" si="4"/>
        <v>1</v>
      </c>
      <c r="AC41" s="1510">
        <f t="shared" si="5"/>
        <v>1</v>
      </c>
    </row>
    <row r="42" spans="1:29" ht="15">
      <c r="A42" s="588"/>
      <c r="B42" s="521" t="s">
        <v>728</v>
      </c>
      <c r="C42" s="3327" t="s">
        <v>3152</v>
      </c>
      <c r="D42" s="534">
        <v>100</v>
      </c>
      <c r="E42" s="3338" t="s">
        <v>3153</v>
      </c>
      <c r="F42" s="569">
        <f>SUMIF(122:122,E42,123:123)-SUMIF(122:122,C42,123:123)+100</f>
        <v>91</v>
      </c>
      <c r="G42" s="3327" t="s">
        <v>3153</v>
      </c>
      <c r="H42" s="534">
        <f>SUMIF(122:122,G42,123:123)-SUMIF(122:122,C42,123:123)+100</f>
        <v>91</v>
      </c>
      <c r="I42" s="3338" t="s">
        <v>3152</v>
      </c>
      <c r="J42" s="534">
        <f>SUMIF(122:122,I42,123:123)-SUMIF(122:122,C42,123:123)+100</f>
        <v>100</v>
      </c>
      <c r="K42" s="853">
        <v>3</v>
      </c>
      <c r="L42" s="2024"/>
      <c r="M42" s="2016"/>
      <c r="N42" s="2016"/>
      <c r="O42" s="2023"/>
      <c r="P42" s="3543"/>
      <c r="Q42" s="1506" t="str">
        <f t="shared" si="11"/>
        <v>内部装修</v>
      </c>
      <c r="R42" s="1507" t="s">
        <v>11</v>
      </c>
      <c r="S42" s="1508">
        <f t="shared" si="12"/>
        <v>91</v>
      </c>
      <c r="T42" s="1507" t="s">
        <v>11</v>
      </c>
      <c r="U42" s="1508">
        <f t="shared" si="13"/>
        <v>91</v>
      </c>
      <c r="V42" s="1507" t="s">
        <v>11</v>
      </c>
      <c r="W42" s="1508">
        <f t="shared" si="14"/>
        <v>100</v>
      </c>
      <c r="X42" s="1501"/>
      <c r="Y42" s="3543"/>
      <c r="Z42" s="1509" t="str">
        <f t="shared" si="15"/>
        <v>内部装修</v>
      </c>
      <c r="AA42" s="1510">
        <f t="shared" si="3"/>
        <v>1.098901098901099</v>
      </c>
      <c r="AB42" s="1510">
        <f t="shared" si="4"/>
        <v>1.098901098901099</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3"/>
      <c r="Q43" s="1506" t="str">
        <f t="shared" si="11"/>
        <v>内部装修维护情况</v>
      </c>
      <c r="R43" s="1507" t="s">
        <v>11</v>
      </c>
      <c r="S43" s="1508">
        <f t="shared" si="12"/>
        <v>100</v>
      </c>
      <c r="T43" s="1507" t="s">
        <v>11</v>
      </c>
      <c r="U43" s="1508">
        <f t="shared" si="13"/>
        <v>100</v>
      </c>
      <c r="V43" s="1507" t="s">
        <v>11</v>
      </c>
      <c r="W43" s="1508">
        <f t="shared" si="14"/>
        <v>100</v>
      </c>
      <c r="X43" s="1501"/>
      <c r="Y43" s="3543"/>
      <c r="Z43" s="1509" t="str">
        <f t="shared" si="15"/>
        <v>内部装修维护情况</v>
      </c>
      <c r="AA43" s="1510">
        <f t="shared" si="3"/>
        <v>1</v>
      </c>
      <c r="AB43" s="1510">
        <f t="shared" si="4"/>
        <v>1</v>
      </c>
      <c r="AC43" s="1510">
        <f t="shared" si="5"/>
        <v>1</v>
      </c>
    </row>
    <row r="44" spans="1:29" s="1202" customFormat="1" ht="15">
      <c r="A44" s="594"/>
      <c r="B44" s="3339" t="s">
        <v>3154</v>
      </c>
      <c r="C44" s="3340" t="s">
        <v>3155</v>
      </c>
      <c r="D44" s="253">
        <v>100</v>
      </c>
      <c r="E44" s="3340" t="s">
        <v>3155</v>
      </c>
      <c r="F44" s="852">
        <f>SUMIF(126:126,E44,127:127)-SUMIF(126:126,C44,127:127)+100</f>
        <v>100</v>
      </c>
      <c r="G44" s="3340" t="s">
        <v>3156</v>
      </c>
      <c r="H44" s="253">
        <f>SUMIF(126:126,G44,127:127)-SUMIF(126:126,C44,127:127)+100</f>
        <v>120</v>
      </c>
      <c r="I44" s="3340" t="s">
        <v>3155</v>
      </c>
      <c r="J44" s="253">
        <f>SUMIF(126:126,I44,127:127)-SUMIF(126:126,C44,127:127)+100</f>
        <v>100</v>
      </c>
      <c r="K44" s="854"/>
      <c r="L44" s="2017"/>
      <c r="M44" s="2018"/>
      <c r="N44" s="2018"/>
      <c r="O44" s="2019"/>
      <c r="P44" s="3543"/>
      <c r="Q44" s="1133" t="str">
        <f t="shared" si="11"/>
        <v>赠送面积</v>
      </c>
      <c r="R44" s="1502" t="s">
        <v>11</v>
      </c>
      <c r="S44" s="1503">
        <f t="shared" si="12"/>
        <v>100</v>
      </c>
      <c r="T44" s="1502" t="s">
        <v>11</v>
      </c>
      <c r="U44" s="1503">
        <f t="shared" si="13"/>
        <v>120</v>
      </c>
      <c r="V44" s="1502" t="s">
        <v>11</v>
      </c>
      <c r="W44" s="1503">
        <f t="shared" si="14"/>
        <v>100</v>
      </c>
      <c r="X44" s="1504"/>
      <c r="Y44" s="3543"/>
      <c r="Z44" s="1132" t="str">
        <f t="shared" si="15"/>
        <v>赠送面积</v>
      </c>
      <c r="AA44" s="1505">
        <f t="shared" si="3"/>
        <v>1</v>
      </c>
      <c r="AB44" s="1505">
        <f t="shared" si="4"/>
        <v>0.83333333333333337</v>
      </c>
      <c r="AC44" s="1505">
        <f t="shared" si="5"/>
        <v>1</v>
      </c>
    </row>
    <row r="45" spans="1:29" ht="15">
      <c r="A45" s="588"/>
      <c r="B45" s="3339"/>
      <c r="C45" s="3341"/>
      <c r="D45" s="534">
        <v>100</v>
      </c>
      <c r="E45" s="3341"/>
      <c r="F45" s="569">
        <f>SUMIF(128:128,E45,129:129)-SUMIF(128:128,C45,129:129)+100</f>
        <v>100</v>
      </c>
      <c r="G45" s="3341"/>
      <c r="H45" s="534">
        <f>SUMIF(128:128,G45,129:129)-SUMIF(128:128,C45,129:129)+100</f>
        <v>100</v>
      </c>
      <c r="I45" s="3341"/>
      <c r="J45" s="534">
        <f>SUMIF(128:128,I45,129:129)-SUMIF(128:128,C45,129:129)+100</f>
        <v>100</v>
      </c>
      <c r="K45" s="854"/>
      <c r="L45" s="2024"/>
      <c r="M45" s="2016"/>
      <c r="N45" s="2016"/>
      <c r="O45" s="2023"/>
      <c r="P45" s="3543"/>
      <c r="Q45" s="1506">
        <f t="shared" si="11"/>
        <v>0</v>
      </c>
      <c r="R45" s="1507" t="s">
        <v>11</v>
      </c>
      <c r="S45" s="1508">
        <f t="shared" si="12"/>
        <v>100</v>
      </c>
      <c r="T45" s="1507" t="s">
        <v>11</v>
      </c>
      <c r="U45" s="1508">
        <f t="shared" si="13"/>
        <v>100</v>
      </c>
      <c r="V45" s="1507" t="s">
        <v>11</v>
      </c>
      <c r="W45" s="1508">
        <f t="shared" si="14"/>
        <v>100</v>
      </c>
      <c r="X45" s="1501"/>
      <c r="Y45" s="3543"/>
      <c r="Z45" s="1509">
        <f t="shared" si="15"/>
        <v>0</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6"/>
      <c r="Q46" s="1506">
        <f t="shared" si="11"/>
        <v>111</v>
      </c>
      <c r="R46" s="1507" t="s">
        <v>10</v>
      </c>
      <c r="S46" s="1508">
        <f t="shared" si="12"/>
        <v>100</v>
      </c>
      <c r="T46" s="1507" t="s">
        <v>10</v>
      </c>
      <c r="U46" s="1508">
        <f t="shared" si="13"/>
        <v>100</v>
      </c>
      <c r="V46" s="1507" t="s">
        <v>10</v>
      </c>
      <c r="W46" s="1508">
        <f t="shared" si="14"/>
        <v>100</v>
      </c>
      <c r="X46" s="1501"/>
      <c r="Y46" s="3646"/>
      <c r="Z46" s="1509">
        <f t="shared" si="15"/>
        <v>111</v>
      </c>
      <c r="AA46" s="1510">
        <f t="shared" si="3"/>
        <v>1</v>
      </c>
      <c r="AB46" s="1510">
        <f t="shared" si="4"/>
        <v>1</v>
      </c>
      <c r="AC46" s="1510">
        <f t="shared" si="5"/>
        <v>1</v>
      </c>
    </row>
    <row r="47" spans="1:29" ht="15">
      <c r="A47" s="601" t="s">
        <v>730</v>
      </c>
      <c r="B47" s="875"/>
      <c r="C47" s="2470" t="s">
        <v>9</v>
      </c>
      <c r="D47" s="2471"/>
      <c r="E47" s="2472">
        <v>8500</v>
      </c>
      <c r="F47" s="2473"/>
      <c r="G47" s="2474">
        <v>12000</v>
      </c>
      <c r="H47" s="2475"/>
      <c r="I47" s="2472">
        <v>9000</v>
      </c>
      <c r="J47" s="2475"/>
      <c r="K47" s="1536"/>
      <c r="L47" s="2026"/>
      <c r="M47" s="2027"/>
      <c r="N47" s="2016"/>
      <c r="O47" s="2027"/>
      <c r="P47" s="3538" t="str">
        <f>A47</f>
        <v>成交单价（元/平方米）</v>
      </c>
      <c r="Q47" s="3538"/>
      <c r="R47" s="3645">
        <f>E47</f>
        <v>8500</v>
      </c>
      <c r="S47" s="3645"/>
      <c r="T47" s="3645">
        <f>G47</f>
        <v>12000</v>
      </c>
      <c r="U47" s="3645"/>
      <c r="V47" s="3645">
        <f>I47</f>
        <v>9000</v>
      </c>
      <c r="W47" s="3645"/>
      <c r="X47" s="1496"/>
      <c r="Y47" s="1515"/>
      <c r="Z47" s="1496"/>
      <c r="AA47" s="1496"/>
      <c r="AB47" s="1496"/>
      <c r="AC47" s="1496"/>
    </row>
    <row r="48" spans="1:29" ht="15.75" thickBot="1">
      <c r="A48" s="609" t="s">
        <v>2739</v>
      </c>
      <c r="B48" s="876"/>
      <c r="C48" s="2476">
        <f>R49</f>
        <v>9525</v>
      </c>
      <c r="D48" s="3014" t="s">
        <v>2965</v>
      </c>
      <c r="E48" s="2477">
        <f>R48</f>
        <v>9341</v>
      </c>
      <c r="F48" s="3015"/>
      <c r="G48" s="2476">
        <f>T48</f>
        <v>10667</v>
      </c>
      <c r="H48" s="3015"/>
      <c r="I48" s="2477">
        <f>V48</f>
        <v>8567</v>
      </c>
      <c r="J48" s="3015"/>
      <c r="K48" s="3023">
        <f>F48+H48+J48</f>
        <v>0</v>
      </c>
      <c r="L48" s="2026"/>
      <c r="M48" s="2027"/>
      <c r="N48" s="2027"/>
      <c r="O48" s="2027"/>
      <c r="P48" s="3538" t="str">
        <f>A48</f>
        <v>比较价格（元/平方米）</v>
      </c>
      <c r="Q48" s="3538"/>
      <c r="R48" s="3645">
        <f>IF(F1="售价",ROUND(PRODUCT(R47,AA7:AA46),0),ROUND(PRODUCT(R47,AA7:AA46),1))</f>
        <v>9341</v>
      </c>
      <c r="S48" s="3645"/>
      <c r="T48" s="3645">
        <f>IF(F1="售价",ROUND(PRODUCT(T47,AB7:AB46),0),ROUND(PRODUCT(T47,AB7:AB46),1))</f>
        <v>10667</v>
      </c>
      <c r="U48" s="3645"/>
      <c r="V48" s="3645">
        <f>IF(F1="售价",ROUND(PRODUCT(V47,AC7:AC46),0),ROUND(PRODUCT(V47,AC7:AC46),1))</f>
        <v>8567</v>
      </c>
      <c r="W48" s="3645"/>
      <c r="X48" s="1496"/>
      <c r="Y48" s="1496"/>
      <c r="Z48" s="1496"/>
      <c r="AA48" s="1496"/>
      <c r="AB48" s="1496"/>
      <c r="AC48" s="1496"/>
    </row>
    <row r="49" spans="1:29" ht="15.75" thickBot="1">
      <c r="A49" s="613" t="s">
        <v>2897</v>
      </c>
      <c r="B49" s="614"/>
      <c r="C49" s="2478">
        <f>R49</f>
        <v>9525</v>
      </c>
      <c r="D49" s="2478"/>
      <c r="E49" s="2478"/>
      <c r="F49" s="2478"/>
      <c r="G49" s="2478"/>
      <c r="H49" s="2478"/>
      <c r="I49" s="2478"/>
      <c r="J49" s="2478"/>
      <c r="K49" s="1537"/>
      <c r="L49" s="2026"/>
      <c r="M49" s="2027"/>
      <c r="N49" s="2027"/>
      <c r="O49" s="2027"/>
      <c r="P49" s="3559" t="str">
        <f>A49</f>
        <v>估价对象XX用房的比较价格（楼面单价，元/平方米）</v>
      </c>
      <c r="Q49" s="3560"/>
      <c r="R49" s="3644">
        <f>IF(F1="售价",ROUND(IF(D48="简单平均",AVERAGE(R48:V48),R48*F48+T48*H48+V48*J48),0),ROUND(IF(D48="简单平均",AVERAGE(R48:V48),R48*F48+T48*H48+V48*J48),1))</f>
        <v>9525</v>
      </c>
      <c r="S49" s="3644"/>
      <c r="T49" s="3644"/>
      <c r="U49" s="3644"/>
      <c r="V49" s="3644"/>
      <c r="W49" s="3644"/>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9.894117647058831E-2</v>
      </c>
      <c r="F52" s="619" t="str">
        <f>IF(OR(E52&gt;=0.3,E52&lt;=-0.3),"超过30%","")</f>
        <v/>
      </c>
      <c r="G52" s="618">
        <f>IF(G47&lt;G48,G48/G47-1,G47/G48-1)</f>
        <v>0.12496484484859849</v>
      </c>
      <c r="H52" s="619" t="str">
        <f>IF(OR(G52&gt;=0.3,G52&lt;=-0.3),"超过30%","")</f>
        <v/>
      </c>
      <c r="I52" s="618">
        <f>IF(I47&lt;I48,I48/I47-1,I47/I48-1)</f>
        <v>5.0542780436558798E-2</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0.14195482282410876</v>
      </c>
      <c r="F53" s="619" t="str">
        <f>IF(OR(E53&gt;=0.2,E53&lt;=-0.2),"超过20%","")</f>
        <v/>
      </c>
      <c r="G53" s="618">
        <f>IF(G48&lt;I48,I48/G48-1,G48/I48-1)</f>
        <v>0.24512664876853041</v>
      </c>
      <c r="H53" s="619" t="str">
        <f>IF(OR(G53&gt;=0.2,G53&lt;=-0.2),"超过20%","")</f>
        <v>超过20%</v>
      </c>
      <c r="I53" s="618">
        <f>IF(I48&lt;E48,E48/I48-1,I48/E48-1)</f>
        <v>9.0346679117544015E-2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f>IF(E47&lt;G47,G47/E47-1,E47/G47-1)</f>
        <v>0.41176470588235303</v>
      </c>
      <c r="F54" s="619" t="str">
        <f>IF(OR(E54&gt;=0.3,E54&lt;=-0.3),"超过30%","")</f>
        <v>超过30%</v>
      </c>
      <c r="G54" s="618">
        <f>IF(G47&lt;I47,I47/G47-1,G47/I47-1)</f>
        <v>0.33333333333333326</v>
      </c>
      <c r="H54" s="619" t="str">
        <f>IF(OR(G54&gt;=0.3,G54&lt;=-0.3),"超过30%","")</f>
        <v>超过30%</v>
      </c>
      <c r="I54" s="618">
        <f>IF(I47&lt;E47,E47/I47-1,I47/E47-1)</f>
        <v>5.8823529411764719E-2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3（含）-3.5</v>
      </c>
      <c r="J67" s="674" t="str">
        <f t="shared" si="18"/>
        <v>3.5（含）-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v>3</v>
      </c>
      <c r="J68" s="535">
        <v>3.5</v>
      </c>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v>
      </c>
      <c r="E69" s="671">
        <f t="shared" si="19"/>
        <v>98</v>
      </c>
      <c r="F69" s="671">
        <f t="shared" si="19"/>
        <v>97</v>
      </c>
      <c r="G69" s="671">
        <f t="shared" si="19"/>
        <v>96</v>
      </c>
      <c r="H69" s="671">
        <f t="shared" si="19"/>
        <v>95</v>
      </c>
      <c r="I69" s="671">
        <f t="shared" si="19"/>
        <v>94</v>
      </c>
      <c r="J69" s="671">
        <f t="shared" si="19"/>
        <v>93</v>
      </c>
      <c r="K69" s="671">
        <f t="shared" si="19"/>
        <v>92</v>
      </c>
      <c r="L69" s="671">
        <f t="shared" si="19"/>
        <v>91</v>
      </c>
      <c r="M69" s="672">
        <f t="shared" si="19"/>
        <v>90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500000</v>
      </c>
      <c r="E103" s="722">
        <v>1000000</v>
      </c>
      <c r="F103" s="722">
        <v>1500000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42" t="s">
        <v>3152</v>
      </c>
      <c r="D122" s="3342" t="s">
        <v>3162</v>
      </c>
      <c r="E122" s="3342" t="s">
        <v>3163</v>
      </c>
      <c r="F122" s="3343" t="s">
        <v>3164</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97</v>
      </c>
      <c r="E123" s="671">
        <f t="shared" si="29"/>
        <v>94</v>
      </c>
      <c r="F123" s="671">
        <f t="shared" si="29"/>
        <v>91</v>
      </c>
      <c r="G123" s="671">
        <f t="shared" si="29"/>
        <v>88</v>
      </c>
      <c r="H123" s="671">
        <f t="shared" si="29"/>
        <v>85</v>
      </c>
      <c r="I123" s="671">
        <f t="shared" si="29"/>
        <v>82</v>
      </c>
      <c r="J123" s="671">
        <f t="shared" si="29"/>
        <v>79</v>
      </c>
      <c r="K123" s="671">
        <f t="shared" si="29"/>
        <v>76</v>
      </c>
      <c r="L123" s="671">
        <f t="shared" si="29"/>
        <v>73</v>
      </c>
      <c r="M123" s="671">
        <f t="shared" si="29"/>
        <v>70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赠送面积</v>
      </c>
      <c r="C126" s="3342" t="s">
        <v>3157</v>
      </c>
      <c r="D126" s="3342" t="s">
        <v>3158</v>
      </c>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120</v>
      </c>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0</v>
      </c>
      <c r="C128" s="3342" t="s">
        <v>3159</v>
      </c>
      <c r="D128" s="3342" t="s">
        <v>3160</v>
      </c>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v>100</v>
      </c>
      <c r="D129" s="684">
        <v>115</v>
      </c>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44" t="s">
        <v>516</v>
      </c>
      <c r="D4" s="3545"/>
      <c r="E4" s="3569" t="s">
        <v>517</v>
      </c>
      <c r="F4" s="3570"/>
      <c r="G4" s="3544" t="s">
        <v>518</v>
      </c>
      <c r="H4" s="3545"/>
      <c r="I4" s="3544" t="s">
        <v>519</v>
      </c>
      <c r="J4" s="3545"/>
      <c r="K4" s="508" t="s">
        <v>520</v>
      </c>
      <c r="L4" s="2015"/>
      <c r="M4" s="2016"/>
      <c r="N4" s="2016"/>
      <c r="O4" s="2016"/>
      <c r="P4" s="3546" t="s">
        <v>521</v>
      </c>
      <c r="Q4" s="3547"/>
      <c r="R4" s="3532" t="s">
        <v>517</v>
      </c>
      <c r="S4" s="3533"/>
      <c r="T4" s="3532" t="s">
        <v>518</v>
      </c>
      <c r="U4" s="3533"/>
      <c r="V4" s="3552" t="s">
        <v>519</v>
      </c>
      <c r="W4" s="3552"/>
      <c r="X4" s="1501"/>
      <c r="Y4" s="3532" t="s">
        <v>521</v>
      </c>
      <c r="Z4" s="3533"/>
      <c r="AA4" s="3527" t="s">
        <v>517</v>
      </c>
      <c r="AB4" s="3552" t="s">
        <v>518</v>
      </c>
      <c r="AC4" s="3527" t="s">
        <v>519</v>
      </c>
    </row>
    <row r="5" spans="1:29" ht="15">
      <c r="A5" s="509"/>
      <c r="B5" s="510"/>
      <c r="C5" s="3555" t="s">
        <v>2891</v>
      </c>
      <c r="D5" s="3556"/>
      <c r="E5" s="3571" t="s">
        <v>2892</v>
      </c>
      <c r="F5" s="3572"/>
      <c r="G5" s="3555" t="s">
        <v>2893</v>
      </c>
      <c r="H5" s="3556"/>
      <c r="I5" s="3555" t="s">
        <v>2894</v>
      </c>
      <c r="J5" s="3556"/>
      <c r="K5" s="508"/>
      <c r="L5" s="2015"/>
      <c r="M5" s="2016"/>
      <c r="N5" s="2016"/>
      <c r="O5" s="2016"/>
      <c r="P5" s="3548"/>
      <c r="Q5" s="3549"/>
      <c r="R5" s="3534"/>
      <c r="S5" s="3535"/>
      <c r="T5" s="3534"/>
      <c r="U5" s="3535"/>
      <c r="V5" s="3552"/>
      <c r="W5" s="3552"/>
      <c r="X5" s="1501"/>
      <c r="Y5" s="3534"/>
      <c r="Z5" s="3535"/>
      <c r="AA5" s="3528"/>
      <c r="AB5" s="3552"/>
      <c r="AC5" s="3528"/>
    </row>
    <row r="6" spans="1:29" ht="15.75" thickBot="1">
      <c r="A6" s="511"/>
      <c r="B6" s="512"/>
      <c r="C6" s="3553" t="s">
        <v>2895</v>
      </c>
      <c r="D6" s="3554"/>
      <c r="E6" s="3573" t="s">
        <v>2895</v>
      </c>
      <c r="F6" s="3574"/>
      <c r="G6" s="3553" t="s">
        <v>2895</v>
      </c>
      <c r="H6" s="3554"/>
      <c r="I6" s="3553" t="s">
        <v>2895</v>
      </c>
      <c r="J6" s="3554"/>
      <c r="K6" s="508" t="s">
        <v>522</v>
      </c>
      <c r="L6" s="2015"/>
      <c r="M6" s="2016"/>
      <c r="N6" s="2016"/>
      <c r="O6" s="2016"/>
      <c r="P6" s="3550"/>
      <c r="Q6" s="3551"/>
      <c r="R6" s="3534"/>
      <c r="S6" s="3535"/>
      <c r="T6" s="3536"/>
      <c r="U6" s="3537"/>
      <c r="V6" s="3552"/>
      <c r="W6" s="3552"/>
      <c r="X6" s="1501"/>
      <c r="Y6" s="3536"/>
      <c r="Z6" s="3537"/>
      <c r="AA6" s="3529"/>
      <c r="AB6" s="3552"/>
      <c r="AC6" s="3529"/>
    </row>
    <row r="7" spans="1:29" s="1202" customFormat="1" ht="15.75" thickBot="1">
      <c r="A7" s="2629"/>
      <c r="B7" s="2636" t="s">
        <v>523</v>
      </c>
      <c r="C7" s="513">
        <f>'数据-取费表'!B2</f>
        <v>44258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30" t="s">
        <v>524</v>
      </c>
      <c r="Q7" s="3539"/>
      <c r="R7" s="1502" t="s">
        <v>8</v>
      </c>
      <c r="S7" s="1503">
        <f t="shared" ref="S7:S15" si="0">F7</f>
        <v>0</v>
      </c>
      <c r="T7" s="1502" t="s">
        <v>8</v>
      </c>
      <c r="U7" s="1503">
        <f t="shared" ref="U7:U15" si="1">H7</f>
        <v>0</v>
      </c>
      <c r="V7" s="1502" t="s">
        <v>8</v>
      </c>
      <c r="W7" s="1503">
        <f t="shared" ref="W7:W15" si="2">J7</f>
        <v>0</v>
      </c>
      <c r="X7" s="1504"/>
      <c r="Y7" s="3530" t="s">
        <v>524</v>
      </c>
      <c r="Z7" s="3531"/>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30" t="s">
        <v>527</v>
      </c>
      <c r="Q8" s="3531"/>
      <c r="R8" s="1502" t="s">
        <v>8</v>
      </c>
      <c r="S8" s="1503">
        <f t="shared" si="0"/>
        <v>0</v>
      </c>
      <c r="T8" s="1502" t="s">
        <v>8</v>
      </c>
      <c r="U8" s="1503">
        <f t="shared" si="1"/>
        <v>0</v>
      </c>
      <c r="V8" s="1502" t="s">
        <v>8</v>
      </c>
      <c r="W8" s="1503">
        <f t="shared" si="2"/>
        <v>0</v>
      </c>
      <c r="X8" s="1504"/>
      <c r="Y8" s="3530" t="s">
        <v>527</v>
      </c>
      <c r="Z8" s="3531"/>
      <c r="AA8" s="1505" t="e">
        <f t="shared" ref="AA8:AA46" si="3">D8/F8</f>
        <v>#DIV/0!</v>
      </c>
      <c r="AB8" s="1505" t="e">
        <f t="shared" ref="AB8:AB46" si="4">D8/H8</f>
        <v>#DIV/0!</v>
      </c>
      <c r="AC8" s="1505" t="e">
        <f t="shared" ref="AC8:AC46" si="5">D8/J8</f>
        <v>#DIV/0!</v>
      </c>
    </row>
    <row r="9" spans="1:29" s="1202"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38" t="s">
        <v>529</v>
      </c>
      <c r="Q9" s="1133" t="str">
        <f t="shared" ref="Q9:Q15" si="6">B9</f>
        <v>用途</v>
      </c>
      <c r="R9" s="1502" t="s">
        <v>8</v>
      </c>
      <c r="S9" s="1503">
        <f t="shared" si="0"/>
        <v>100</v>
      </c>
      <c r="T9" s="1502" t="s">
        <v>8</v>
      </c>
      <c r="U9" s="1503">
        <f t="shared" si="1"/>
        <v>100</v>
      </c>
      <c r="V9" s="1502" t="s">
        <v>8</v>
      </c>
      <c r="W9" s="1503">
        <f t="shared" si="2"/>
        <v>100</v>
      </c>
      <c r="X9" s="1504"/>
      <c r="Y9" s="3489"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38"/>
      <c r="Q10" s="1133" t="str">
        <f t="shared" si="6"/>
        <v>土地使用年限（年）</v>
      </c>
      <c r="R10" s="1502" t="s">
        <v>8</v>
      </c>
      <c r="S10" s="1503">
        <f t="shared" si="0"/>
        <v>100</v>
      </c>
      <c r="T10" s="1502" t="s">
        <v>8</v>
      </c>
      <c r="U10" s="1503">
        <f t="shared" si="1"/>
        <v>100</v>
      </c>
      <c r="V10" s="1502" t="s">
        <v>8</v>
      </c>
      <c r="W10" s="1503">
        <f t="shared" si="2"/>
        <v>100</v>
      </c>
      <c r="X10" s="1504"/>
      <c r="Y10" s="3489"/>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38"/>
      <c r="Q11" s="1133" t="str">
        <f t="shared" si="6"/>
        <v>容积率</v>
      </c>
      <c r="R11" s="1502" t="s">
        <v>8</v>
      </c>
      <c r="S11" s="1503" t="e">
        <f t="shared" si="0"/>
        <v>#N/A</v>
      </c>
      <c r="T11" s="1502" t="s">
        <v>8</v>
      </c>
      <c r="U11" s="1503" t="e">
        <f t="shared" si="1"/>
        <v>#N/A</v>
      </c>
      <c r="V11" s="1502" t="s">
        <v>8</v>
      </c>
      <c r="W11" s="1503" t="e">
        <f t="shared" si="2"/>
        <v>#N/A</v>
      </c>
      <c r="X11" s="1504"/>
      <c r="Y11" s="3489"/>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38"/>
      <c r="Q12" s="1133">
        <f t="shared" si="6"/>
        <v>111</v>
      </c>
      <c r="R12" s="1502" t="s">
        <v>8</v>
      </c>
      <c r="S12" s="1503">
        <f t="shared" si="0"/>
        <v>100</v>
      </c>
      <c r="T12" s="1502" t="s">
        <v>8</v>
      </c>
      <c r="U12" s="1503">
        <f t="shared" si="1"/>
        <v>100</v>
      </c>
      <c r="V12" s="1502" t="s">
        <v>8</v>
      </c>
      <c r="W12" s="1503">
        <f t="shared" si="2"/>
        <v>100</v>
      </c>
      <c r="X12" s="1504"/>
      <c r="Y12" s="3489"/>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38"/>
      <c r="Q13" s="1133">
        <f t="shared" si="6"/>
        <v>111</v>
      </c>
      <c r="R13" s="1502" t="s">
        <v>8</v>
      </c>
      <c r="S13" s="1503">
        <f t="shared" si="0"/>
        <v>100</v>
      </c>
      <c r="T13" s="1502" t="s">
        <v>8</v>
      </c>
      <c r="U13" s="1503">
        <f t="shared" si="1"/>
        <v>100</v>
      </c>
      <c r="V13" s="1502" t="s">
        <v>8</v>
      </c>
      <c r="W13" s="1503">
        <f t="shared" si="2"/>
        <v>100</v>
      </c>
      <c r="X13" s="1504"/>
      <c r="Y13" s="3489"/>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38"/>
      <c r="Q14" s="1133">
        <f t="shared" si="6"/>
        <v>111</v>
      </c>
      <c r="R14" s="1502" t="s">
        <v>8</v>
      </c>
      <c r="S14" s="1503">
        <f t="shared" si="0"/>
        <v>100</v>
      </c>
      <c r="T14" s="1502" t="s">
        <v>8</v>
      </c>
      <c r="U14" s="1503">
        <f t="shared" si="1"/>
        <v>100</v>
      </c>
      <c r="V14" s="1502" t="s">
        <v>8</v>
      </c>
      <c r="W14" s="1503">
        <f t="shared" si="2"/>
        <v>100</v>
      </c>
      <c r="X14" s="1504"/>
      <c r="Y14" s="3489"/>
      <c r="Z14" s="1132">
        <f t="shared" si="7"/>
        <v>111</v>
      </c>
      <c r="AA14" s="1505">
        <f t="shared" si="3"/>
        <v>1</v>
      </c>
      <c r="AB14" s="1505">
        <f t="shared" si="4"/>
        <v>1</v>
      </c>
      <c r="AC14" s="1505">
        <f t="shared" si="5"/>
        <v>1</v>
      </c>
    </row>
    <row r="15" spans="1:29" ht="71.25">
      <c r="A15" s="2627"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40" t="s">
        <v>534</v>
      </c>
      <c r="Q15" s="1506" t="str">
        <f t="shared" si="6"/>
        <v>商业繁华度</v>
      </c>
      <c r="R15" s="1507" t="s">
        <v>8</v>
      </c>
      <c r="S15" s="1508">
        <f t="shared" si="0"/>
        <v>100</v>
      </c>
      <c r="T15" s="1507" t="s">
        <v>8</v>
      </c>
      <c r="U15" s="1508">
        <f t="shared" si="1"/>
        <v>100</v>
      </c>
      <c r="V15" s="1507" t="s">
        <v>8</v>
      </c>
      <c r="W15" s="1508">
        <f t="shared" si="2"/>
        <v>100</v>
      </c>
      <c r="X15" s="1501"/>
      <c r="Y15" s="3540"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41"/>
      <c r="Q16" s="1506"/>
      <c r="R16" s="1507"/>
      <c r="S16" s="1508"/>
      <c r="T16" s="1507"/>
      <c r="U16" s="1508"/>
      <c r="V16" s="1507"/>
      <c r="W16" s="1508"/>
      <c r="X16" s="1501"/>
      <c r="Y16" s="3541"/>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41"/>
      <c r="Q17" s="1506" t="str">
        <f>B17</f>
        <v>交通便捷度</v>
      </c>
      <c r="R17" s="1507" t="s">
        <v>8</v>
      </c>
      <c r="S17" s="1508">
        <f>F17</f>
        <v>100</v>
      </c>
      <c r="T17" s="1507" t="s">
        <v>8</v>
      </c>
      <c r="U17" s="1508">
        <f>H17</f>
        <v>100</v>
      </c>
      <c r="V17" s="1507" t="s">
        <v>8</v>
      </c>
      <c r="W17" s="1508">
        <f>J17</f>
        <v>100</v>
      </c>
      <c r="X17" s="1501"/>
      <c r="Y17" s="3541"/>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41"/>
      <c r="Q18" s="1506"/>
      <c r="R18" s="1507"/>
      <c r="S18" s="1508"/>
      <c r="T18" s="1507"/>
      <c r="U18" s="1508"/>
      <c r="V18" s="1507"/>
      <c r="W18" s="1508"/>
      <c r="X18" s="1501"/>
      <c r="Y18" s="3541"/>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41"/>
      <c r="Q19" s="1506" t="str">
        <f>B19</f>
        <v>公共配套设施</v>
      </c>
      <c r="R19" s="1507" t="s">
        <v>8</v>
      </c>
      <c r="S19" s="1508">
        <f>F19</f>
        <v>100</v>
      </c>
      <c r="T19" s="1507" t="s">
        <v>8</v>
      </c>
      <c r="U19" s="1508">
        <f>H19</f>
        <v>100</v>
      </c>
      <c r="V19" s="1507" t="s">
        <v>8</v>
      </c>
      <c r="W19" s="1508">
        <f>J19</f>
        <v>100</v>
      </c>
      <c r="X19" s="1501"/>
      <c r="Y19" s="3541"/>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41"/>
      <c r="Q20" s="1506"/>
      <c r="R20" s="1507"/>
      <c r="S20" s="1508"/>
      <c r="T20" s="1507"/>
      <c r="U20" s="1508"/>
      <c r="V20" s="1507"/>
      <c r="W20" s="1508"/>
      <c r="X20" s="1501"/>
      <c r="Y20" s="3541"/>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41"/>
      <c r="Q21" s="2429" t="str">
        <f>B21</f>
        <v>基础设施水平</v>
      </c>
      <c r="R21" s="1507" t="s">
        <v>8</v>
      </c>
      <c r="S21" s="1508">
        <f>F21</f>
        <v>100</v>
      </c>
      <c r="T21" s="1507" t="s">
        <v>8</v>
      </c>
      <c r="U21" s="1508">
        <f>H21</f>
        <v>100</v>
      </c>
      <c r="V21" s="1507" t="s">
        <v>8</v>
      </c>
      <c r="W21" s="1508">
        <f>J21</f>
        <v>100</v>
      </c>
      <c r="X21" s="2431"/>
      <c r="Y21" s="3541"/>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41"/>
      <c r="Q22" s="2429"/>
      <c r="R22" s="1507"/>
      <c r="S22" s="1508"/>
      <c r="T22" s="1507"/>
      <c r="U22" s="1508"/>
      <c r="V22" s="1507"/>
      <c r="W22" s="1508"/>
      <c r="X22" s="2431"/>
      <c r="Y22" s="3541"/>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41"/>
      <c r="Q23" s="1506" t="str">
        <f>B23</f>
        <v>自然及人文环境</v>
      </c>
      <c r="R23" s="1507" t="s">
        <v>8</v>
      </c>
      <c r="S23" s="1508">
        <f>F23</f>
        <v>100</v>
      </c>
      <c r="T23" s="1507" t="s">
        <v>8</v>
      </c>
      <c r="U23" s="1508">
        <f>H23</f>
        <v>100</v>
      </c>
      <c r="V23" s="1507" t="s">
        <v>8</v>
      </c>
      <c r="W23" s="1508">
        <f>J23</f>
        <v>100</v>
      </c>
      <c r="X23" s="1501"/>
      <c r="Y23" s="3541"/>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41"/>
      <c r="Q24" s="1506"/>
      <c r="R24" s="1507"/>
      <c r="S24" s="1508"/>
      <c r="T24" s="1507"/>
      <c r="U24" s="1508"/>
      <c r="V24" s="1507"/>
      <c r="W24" s="1508"/>
      <c r="X24" s="1501"/>
      <c r="Y24" s="3541"/>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1"/>
      <c r="Q25" s="1506" t="str">
        <f t="shared" ref="Q25:Q46" si="11">B25</f>
        <v>临街状况</v>
      </c>
      <c r="R25" s="1507" t="s">
        <v>8</v>
      </c>
      <c r="S25" s="1508">
        <f>F25</f>
        <v>100</v>
      </c>
      <c r="T25" s="1507" t="s">
        <v>8</v>
      </c>
      <c r="U25" s="1508">
        <f>H25</f>
        <v>100</v>
      </c>
      <c r="V25" s="1507" t="s">
        <v>8</v>
      </c>
      <c r="W25" s="1508">
        <f>J25</f>
        <v>100</v>
      </c>
      <c r="X25" s="1501"/>
      <c r="Y25" s="3541"/>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1"/>
      <c r="Q26" s="1506" t="str">
        <f t="shared" si="11"/>
        <v>平面位置/可视性</v>
      </c>
      <c r="R26" s="1507" t="s">
        <v>8</v>
      </c>
      <c r="S26" s="1508">
        <f>F26</f>
        <v>100</v>
      </c>
      <c r="T26" s="1507" t="s">
        <v>8</v>
      </c>
      <c r="U26" s="1508">
        <f>H26</f>
        <v>100</v>
      </c>
      <c r="V26" s="1507" t="s">
        <v>8</v>
      </c>
      <c r="W26" s="1508">
        <f>J26</f>
        <v>100</v>
      </c>
      <c r="X26" s="1501"/>
      <c r="Y26" s="3541"/>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41"/>
      <c r="Q27" s="1133" t="str">
        <f t="shared" si="11"/>
        <v>人流量</v>
      </c>
      <c r="R27" s="1502" t="s">
        <v>8</v>
      </c>
      <c r="S27" s="1503">
        <f>F27</f>
        <v>100</v>
      </c>
      <c r="T27" s="1502" t="s">
        <v>8</v>
      </c>
      <c r="U27" s="1503">
        <f>H27</f>
        <v>100</v>
      </c>
      <c r="V27" s="1502" t="s">
        <v>8</v>
      </c>
      <c r="W27" s="1503">
        <f>J27</f>
        <v>100</v>
      </c>
      <c r="X27" s="1504"/>
      <c r="Y27" s="3541"/>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1"/>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41"/>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1"/>
      <c r="Q29" s="1506">
        <f t="shared" si="11"/>
        <v>111</v>
      </c>
      <c r="R29" s="1507" t="s">
        <v>8</v>
      </c>
      <c r="S29" s="1508">
        <f t="shared" si="12"/>
        <v>100</v>
      </c>
      <c r="T29" s="1507" t="s">
        <v>8</v>
      </c>
      <c r="U29" s="1508">
        <f t="shared" si="13"/>
        <v>100</v>
      </c>
      <c r="V29" s="1507" t="s">
        <v>8</v>
      </c>
      <c r="W29" s="1508">
        <f t="shared" si="14"/>
        <v>100</v>
      </c>
      <c r="X29" s="1501"/>
      <c r="Y29" s="3541"/>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1"/>
      <c r="Q30" s="1506">
        <f t="shared" si="11"/>
        <v>111</v>
      </c>
      <c r="R30" s="1507" t="s">
        <v>8</v>
      </c>
      <c r="S30" s="1508">
        <f t="shared" si="12"/>
        <v>100</v>
      </c>
      <c r="T30" s="1507" t="s">
        <v>8</v>
      </c>
      <c r="U30" s="1508">
        <f t="shared" si="13"/>
        <v>100</v>
      </c>
      <c r="V30" s="1507" t="s">
        <v>8</v>
      </c>
      <c r="W30" s="1508">
        <f t="shared" si="14"/>
        <v>100</v>
      </c>
      <c r="X30" s="1501"/>
      <c r="Y30" s="3541"/>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1"/>
      <c r="Q31" s="1506">
        <f t="shared" si="11"/>
        <v>111</v>
      </c>
      <c r="R31" s="1507" t="s">
        <v>8</v>
      </c>
      <c r="S31" s="1508">
        <f t="shared" si="12"/>
        <v>100</v>
      </c>
      <c r="T31" s="1507" t="s">
        <v>8</v>
      </c>
      <c r="U31" s="1508">
        <f t="shared" si="13"/>
        <v>100</v>
      </c>
      <c r="V31" s="1507" t="s">
        <v>8</v>
      </c>
      <c r="W31" s="1508">
        <f t="shared" si="14"/>
        <v>100</v>
      </c>
      <c r="X31" s="1501"/>
      <c r="Y31" s="3541"/>
      <c r="Z31" s="1509">
        <f t="shared" si="15"/>
        <v>111</v>
      </c>
      <c r="AA31" s="1510">
        <f t="shared" si="3"/>
        <v>1</v>
      </c>
      <c r="AB31" s="1510">
        <f t="shared" si="4"/>
        <v>1</v>
      </c>
      <c r="AC31" s="1510">
        <f t="shared" si="5"/>
        <v>1</v>
      </c>
    </row>
    <row r="32" spans="1:29" ht="15">
      <c r="A32" s="2624"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2" t="s">
        <v>544</v>
      </c>
      <c r="Q32" s="1506" t="str">
        <f t="shared" si="11"/>
        <v>商业类型</v>
      </c>
      <c r="R32" s="1507" t="s">
        <v>8</v>
      </c>
      <c r="S32" s="1508">
        <f t="shared" si="12"/>
        <v>100</v>
      </c>
      <c r="T32" s="1507" t="s">
        <v>8</v>
      </c>
      <c r="U32" s="1508">
        <f t="shared" si="13"/>
        <v>100</v>
      </c>
      <c r="V32" s="1507" t="s">
        <v>8</v>
      </c>
      <c r="W32" s="1508">
        <f t="shared" si="14"/>
        <v>100</v>
      </c>
      <c r="X32" s="1501"/>
      <c r="Y32" s="3543"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3"/>
      <c r="Q33" s="1535" t="str">
        <f t="shared" si="11"/>
        <v>项目建筑规模</v>
      </c>
      <c r="R33" s="1511" t="s">
        <v>8</v>
      </c>
      <c r="S33" s="1512" t="e">
        <f t="shared" si="12"/>
        <v>#N/A</v>
      </c>
      <c r="T33" s="1511" t="s">
        <v>8</v>
      </c>
      <c r="U33" s="1512" t="e">
        <f t="shared" si="13"/>
        <v>#N/A</v>
      </c>
      <c r="V33" s="1511" t="s">
        <v>8</v>
      </c>
      <c r="W33" s="1512" t="e">
        <f t="shared" si="14"/>
        <v>#N/A</v>
      </c>
      <c r="X33" s="1513"/>
      <c r="Y33" s="3543"/>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43"/>
      <c r="Q34" s="1506" t="str">
        <f t="shared" si="11"/>
        <v>建筑结构</v>
      </c>
      <c r="R34" s="1507" t="s">
        <v>8</v>
      </c>
      <c r="S34" s="1508">
        <f t="shared" si="12"/>
        <v>100</v>
      </c>
      <c r="T34" s="1507" t="s">
        <v>8</v>
      </c>
      <c r="U34" s="1508">
        <f t="shared" si="13"/>
        <v>100</v>
      </c>
      <c r="V34" s="1507" t="s">
        <v>8</v>
      </c>
      <c r="W34" s="1508">
        <f t="shared" si="14"/>
        <v>100</v>
      </c>
      <c r="X34" s="1501"/>
      <c r="Y34" s="3543"/>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3"/>
      <c r="Q35" s="1506" t="str">
        <f t="shared" si="11"/>
        <v>公共部分装修</v>
      </c>
      <c r="R35" s="1507" t="s">
        <v>8</v>
      </c>
      <c r="S35" s="1508">
        <f t="shared" si="12"/>
        <v>100</v>
      </c>
      <c r="T35" s="1507" t="s">
        <v>8</v>
      </c>
      <c r="U35" s="1508">
        <f t="shared" si="13"/>
        <v>100</v>
      </c>
      <c r="V35" s="1507" t="s">
        <v>8</v>
      </c>
      <c r="W35" s="1508">
        <f t="shared" si="14"/>
        <v>100</v>
      </c>
      <c r="X35" s="1501"/>
      <c r="Y35" s="3543"/>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43"/>
      <c r="Q36" s="1506" t="str">
        <f t="shared" si="11"/>
        <v>成新度</v>
      </c>
      <c r="R36" s="1507" t="s">
        <v>8</v>
      </c>
      <c r="S36" s="1508" t="e">
        <f t="shared" si="12"/>
        <v>#N/A</v>
      </c>
      <c r="T36" s="1507" t="s">
        <v>8</v>
      </c>
      <c r="U36" s="1508" t="e">
        <f t="shared" si="13"/>
        <v>#N/A</v>
      </c>
      <c r="V36" s="1507" t="s">
        <v>8</v>
      </c>
      <c r="W36" s="1508" t="e">
        <f t="shared" si="14"/>
        <v>#N/A</v>
      </c>
      <c r="X36" s="1501"/>
      <c r="Y36" s="3543"/>
      <c r="Z36" s="1509" t="str">
        <f t="shared" si="15"/>
        <v>成新度</v>
      </c>
      <c r="AA36" s="1510" t="e">
        <f t="shared" si="3"/>
        <v>#N/A</v>
      </c>
      <c r="AB36" s="1510" t="e">
        <f t="shared" si="4"/>
        <v>#N/A</v>
      </c>
      <c r="AC36" s="1510" t="e">
        <f t="shared" si="5"/>
        <v>#N/A</v>
      </c>
    </row>
    <row r="37" spans="1:29" s="1202"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3"/>
      <c r="Q37" s="1133" t="str">
        <f t="shared" si="11"/>
        <v>市政基础设施</v>
      </c>
      <c r="R37" s="1502" t="s">
        <v>8</v>
      </c>
      <c r="S37" s="1503">
        <f t="shared" si="12"/>
        <v>100</v>
      </c>
      <c r="T37" s="1502" t="s">
        <v>8</v>
      </c>
      <c r="U37" s="1503">
        <f t="shared" si="13"/>
        <v>100</v>
      </c>
      <c r="V37" s="1502" t="s">
        <v>8</v>
      </c>
      <c r="W37" s="1503">
        <f t="shared" si="14"/>
        <v>100</v>
      </c>
      <c r="X37" s="1504"/>
      <c r="Y37" s="3543"/>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3" t="s">
        <v>760</v>
      </c>
      <c r="Q38" s="1506" t="str">
        <f t="shared" si="11"/>
        <v>业态</v>
      </c>
      <c r="R38" s="1507" t="s">
        <v>8</v>
      </c>
      <c r="S38" s="1508">
        <f t="shared" si="12"/>
        <v>100</v>
      </c>
      <c r="T38" s="1507" t="s">
        <v>8</v>
      </c>
      <c r="U38" s="1508">
        <f t="shared" si="13"/>
        <v>100</v>
      </c>
      <c r="V38" s="1507" t="s">
        <v>8</v>
      </c>
      <c r="W38" s="1508">
        <f t="shared" si="14"/>
        <v>100</v>
      </c>
      <c r="X38" s="1501"/>
      <c r="Y38" s="3543"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3"/>
      <c r="Q39" s="1506" t="str">
        <f t="shared" si="11"/>
        <v>层高</v>
      </c>
      <c r="R39" s="1507" t="s">
        <v>8</v>
      </c>
      <c r="S39" s="1508">
        <f t="shared" si="12"/>
        <v>100</v>
      </c>
      <c r="T39" s="1507" t="s">
        <v>8</v>
      </c>
      <c r="U39" s="1508">
        <f t="shared" si="13"/>
        <v>100</v>
      </c>
      <c r="V39" s="1507" t="s">
        <v>8</v>
      </c>
      <c r="W39" s="1508">
        <f t="shared" si="14"/>
        <v>100</v>
      </c>
      <c r="X39" s="1501"/>
      <c r="Y39" s="3543"/>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43"/>
      <c r="Q40" s="1506" t="str">
        <f t="shared" si="11"/>
        <v>单套建筑面积</v>
      </c>
      <c r="R40" s="1507" t="s">
        <v>8</v>
      </c>
      <c r="S40" s="1508">
        <f t="shared" si="12"/>
        <v>100</v>
      </c>
      <c r="T40" s="1507" t="s">
        <v>8</v>
      </c>
      <c r="U40" s="1508">
        <f t="shared" si="13"/>
        <v>100</v>
      </c>
      <c r="V40" s="1507" t="s">
        <v>8</v>
      </c>
      <c r="W40" s="1508">
        <f t="shared" si="14"/>
        <v>100</v>
      </c>
      <c r="X40" s="1501"/>
      <c r="Y40" s="3543"/>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3"/>
      <c r="Q41" s="1535" t="str">
        <f t="shared" si="11"/>
        <v>进深比</v>
      </c>
      <c r="R41" s="1511" t="s">
        <v>8</v>
      </c>
      <c r="S41" s="1512">
        <f t="shared" si="12"/>
        <v>100</v>
      </c>
      <c r="T41" s="1511" t="s">
        <v>8</v>
      </c>
      <c r="U41" s="1512">
        <f t="shared" si="13"/>
        <v>100</v>
      </c>
      <c r="V41" s="1511" t="s">
        <v>8</v>
      </c>
      <c r="W41" s="1512">
        <f t="shared" si="14"/>
        <v>100</v>
      </c>
      <c r="X41" s="1513"/>
      <c r="Y41" s="3543"/>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3"/>
      <c r="Q42" s="1506" t="str">
        <f t="shared" si="11"/>
        <v>内部装修</v>
      </c>
      <c r="R42" s="1507" t="s">
        <v>8</v>
      </c>
      <c r="S42" s="1508">
        <f t="shared" si="12"/>
        <v>100</v>
      </c>
      <c r="T42" s="1507" t="s">
        <v>8</v>
      </c>
      <c r="U42" s="1508">
        <f t="shared" si="13"/>
        <v>100</v>
      </c>
      <c r="V42" s="1507" t="s">
        <v>8</v>
      </c>
      <c r="W42" s="1508">
        <f t="shared" si="14"/>
        <v>100</v>
      </c>
      <c r="X42" s="1501"/>
      <c r="Y42" s="3543"/>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3"/>
      <c r="Q43" s="1506" t="str">
        <f t="shared" si="11"/>
        <v>内部装修维护情况</v>
      </c>
      <c r="R43" s="1507" t="s">
        <v>8</v>
      </c>
      <c r="S43" s="1508">
        <f t="shared" si="12"/>
        <v>100</v>
      </c>
      <c r="T43" s="1507" t="s">
        <v>8</v>
      </c>
      <c r="U43" s="1508">
        <f t="shared" si="13"/>
        <v>100</v>
      </c>
      <c r="V43" s="1507" t="s">
        <v>8</v>
      </c>
      <c r="W43" s="1508">
        <f t="shared" si="14"/>
        <v>100</v>
      </c>
      <c r="X43" s="1501"/>
      <c r="Y43" s="3543"/>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3"/>
      <c r="Q44" s="1133">
        <f t="shared" si="11"/>
        <v>111</v>
      </c>
      <c r="R44" s="1502" t="s">
        <v>8</v>
      </c>
      <c r="S44" s="1503">
        <f t="shared" si="12"/>
        <v>100</v>
      </c>
      <c r="T44" s="1502" t="s">
        <v>8</v>
      </c>
      <c r="U44" s="1503">
        <f t="shared" si="13"/>
        <v>100</v>
      </c>
      <c r="V44" s="1502" t="s">
        <v>8</v>
      </c>
      <c r="W44" s="1503">
        <f t="shared" si="14"/>
        <v>100</v>
      </c>
      <c r="X44" s="1504"/>
      <c r="Y44" s="3543"/>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3"/>
      <c r="Q45" s="1506">
        <f t="shared" si="11"/>
        <v>111</v>
      </c>
      <c r="R45" s="1507" t="s">
        <v>8</v>
      </c>
      <c r="S45" s="1508">
        <f t="shared" si="12"/>
        <v>100</v>
      </c>
      <c r="T45" s="1507" t="s">
        <v>8</v>
      </c>
      <c r="U45" s="1508">
        <f t="shared" si="13"/>
        <v>100</v>
      </c>
      <c r="V45" s="1507" t="s">
        <v>8</v>
      </c>
      <c r="W45" s="1508">
        <f t="shared" si="14"/>
        <v>100</v>
      </c>
      <c r="X45" s="1501"/>
      <c r="Y45" s="3543"/>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6"/>
      <c r="Q46" s="1506">
        <f t="shared" si="11"/>
        <v>111</v>
      </c>
      <c r="R46" s="1507" t="s">
        <v>8</v>
      </c>
      <c r="S46" s="1508">
        <f t="shared" si="12"/>
        <v>100</v>
      </c>
      <c r="T46" s="1507" t="s">
        <v>8</v>
      </c>
      <c r="U46" s="1508">
        <f t="shared" si="13"/>
        <v>100</v>
      </c>
      <c r="V46" s="1507" t="s">
        <v>8</v>
      </c>
      <c r="W46" s="1508">
        <f t="shared" si="14"/>
        <v>100</v>
      </c>
      <c r="X46" s="1501"/>
      <c r="Y46" s="3646"/>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38" t="str">
        <f>A47</f>
        <v>成交单价（元/平方米）</v>
      </c>
      <c r="Q47" s="3538"/>
      <c r="R47" s="3645">
        <f>E47</f>
        <v>0</v>
      </c>
      <c r="S47" s="3645"/>
      <c r="T47" s="3645">
        <f>G47</f>
        <v>0</v>
      </c>
      <c r="U47" s="3645"/>
      <c r="V47" s="3645">
        <f>I47</f>
        <v>0</v>
      </c>
      <c r="W47" s="3645"/>
      <c r="X47" s="1496"/>
      <c r="Y47" s="1515"/>
      <c r="Z47" s="1496"/>
      <c r="AA47" s="1496"/>
      <c r="AB47" s="1496"/>
      <c r="AC47" s="1496"/>
    </row>
    <row r="48" spans="1:29" ht="15.75" thickBot="1">
      <c r="A48" s="609" t="s">
        <v>2739</v>
      </c>
      <c r="B48" s="876"/>
      <c r="C48" s="2476" t="e">
        <f>R49</f>
        <v>#DIV/0!</v>
      </c>
      <c r="D48" s="3014" t="s">
        <v>2965</v>
      </c>
      <c r="E48" s="2477" t="e">
        <f>R48</f>
        <v>#DIV/0!</v>
      </c>
      <c r="F48" s="3015"/>
      <c r="G48" s="2476" t="e">
        <f>T48</f>
        <v>#DIV/0!</v>
      </c>
      <c r="H48" s="3015"/>
      <c r="I48" s="2477" t="e">
        <f>V48</f>
        <v>#DIV/0!</v>
      </c>
      <c r="J48" s="3015"/>
      <c r="K48" s="3023">
        <f>F48+H48+J48</f>
        <v>0</v>
      </c>
      <c r="L48" s="2026"/>
      <c r="M48" s="2027"/>
      <c r="N48" s="2016"/>
      <c r="O48" s="2027"/>
      <c r="P48" s="3538" t="str">
        <f>A48</f>
        <v>比较价格（元/平方米）</v>
      </c>
      <c r="Q48" s="3538"/>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59" t="str">
        <f>A49</f>
        <v>估价对象XX用房的比较价格（楼面单价，元/平方米）</v>
      </c>
      <c r="Q49" s="3560"/>
      <c r="R49" s="3644" t="e">
        <f>IF(F1="售价",ROUND(IF(D48="简单平均",AVERAGE(R48:V48),R48*F48+T48*H48+V48*J48),0),ROUND(IF(D48="简单平均",AVERAGE(R48:V48),R48*F48+T48*H48+V48*J48),1))</f>
        <v>#DIV/0!</v>
      </c>
      <c r="S49" s="3644"/>
      <c r="T49" s="3644"/>
      <c r="U49" s="3644"/>
      <c r="V49" s="3644"/>
      <c r="W49" s="3644"/>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44" t="s">
        <v>516</v>
      </c>
      <c r="D4" s="3545"/>
      <c r="E4" s="3569" t="s">
        <v>517</v>
      </c>
      <c r="F4" s="3570"/>
      <c r="G4" s="3544" t="s">
        <v>518</v>
      </c>
      <c r="H4" s="3545"/>
      <c r="I4" s="3544" t="s">
        <v>519</v>
      </c>
      <c r="J4" s="3545"/>
      <c r="K4" s="508" t="s">
        <v>520</v>
      </c>
      <c r="L4" s="2015"/>
      <c r="M4" s="2016"/>
      <c r="N4" s="2016"/>
      <c r="O4" s="2016"/>
      <c r="P4" s="3647" t="s">
        <v>521</v>
      </c>
      <c r="Q4" s="3547"/>
      <c r="R4" s="3532" t="s">
        <v>517</v>
      </c>
      <c r="S4" s="3533"/>
      <c r="T4" s="3532" t="s">
        <v>518</v>
      </c>
      <c r="U4" s="3533"/>
      <c r="V4" s="3552" t="s">
        <v>519</v>
      </c>
      <c r="W4" s="3552"/>
      <c r="X4" s="1501"/>
      <c r="Y4" s="3532" t="s">
        <v>521</v>
      </c>
      <c r="Z4" s="3533"/>
      <c r="AA4" s="3527" t="s">
        <v>517</v>
      </c>
      <c r="AB4" s="3527" t="s">
        <v>518</v>
      </c>
      <c r="AC4" s="3527" t="s">
        <v>519</v>
      </c>
    </row>
    <row r="5" spans="1:29" ht="15">
      <c r="A5" s="509"/>
      <c r="B5" s="510"/>
      <c r="C5" s="3555" t="s">
        <v>2891</v>
      </c>
      <c r="D5" s="3556"/>
      <c r="E5" s="3571" t="s">
        <v>2892</v>
      </c>
      <c r="F5" s="3572"/>
      <c r="G5" s="3555" t="s">
        <v>2893</v>
      </c>
      <c r="H5" s="3556"/>
      <c r="I5" s="3555" t="s">
        <v>2894</v>
      </c>
      <c r="J5" s="3556"/>
      <c r="K5" s="508"/>
      <c r="L5" s="2015"/>
      <c r="M5" s="2016"/>
      <c r="N5" s="2016"/>
      <c r="O5" s="2016"/>
      <c r="P5" s="3648"/>
      <c r="Q5" s="3549"/>
      <c r="R5" s="3534"/>
      <c r="S5" s="3535"/>
      <c r="T5" s="3534"/>
      <c r="U5" s="3535"/>
      <c r="V5" s="3552"/>
      <c r="W5" s="3552"/>
      <c r="X5" s="1501"/>
      <c r="Y5" s="3534"/>
      <c r="Z5" s="3535"/>
      <c r="AA5" s="3528"/>
      <c r="AB5" s="3528"/>
      <c r="AC5" s="3528"/>
    </row>
    <row r="6" spans="1:29" ht="15.75" thickBot="1">
      <c r="A6" s="511"/>
      <c r="B6" s="512"/>
      <c r="C6" s="3553" t="s">
        <v>2895</v>
      </c>
      <c r="D6" s="3554"/>
      <c r="E6" s="3573" t="s">
        <v>2895</v>
      </c>
      <c r="F6" s="3574"/>
      <c r="G6" s="3553" t="s">
        <v>2895</v>
      </c>
      <c r="H6" s="3554"/>
      <c r="I6" s="3553" t="s">
        <v>2895</v>
      </c>
      <c r="J6" s="3554"/>
      <c r="K6" s="508" t="s">
        <v>522</v>
      </c>
      <c r="L6" s="2015"/>
      <c r="M6" s="2016"/>
      <c r="N6" s="2016"/>
      <c r="O6" s="2016"/>
      <c r="P6" s="3649"/>
      <c r="Q6" s="3551"/>
      <c r="R6" s="3534"/>
      <c r="S6" s="3535"/>
      <c r="T6" s="3536"/>
      <c r="U6" s="3537"/>
      <c r="V6" s="3552"/>
      <c r="W6" s="3552"/>
      <c r="X6" s="1501"/>
      <c r="Y6" s="3536"/>
      <c r="Z6" s="3537"/>
      <c r="AA6" s="3529"/>
      <c r="AB6" s="3529"/>
      <c r="AC6" s="3529"/>
    </row>
    <row r="7" spans="1:29" s="1202" customFormat="1" ht="15.75" thickBot="1">
      <c r="A7" s="2629"/>
      <c r="B7" s="2636" t="s">
        <v>523</v>
      </c>
      <c r="C7" s="513">
        <f>'数据-取费表'!B2</f>
        <v>44258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39" t="s">
        <v>524</v>
      </c>
      <c r="Q7" s="3539"/>
      <c r="R7" s="1502" t="s">
        <v>8</v>
      </c>
      <c r="S7" s="1503">
        <f t="shared" ref="S7:S15" si="0">F7</f>
        <v>0</v>
      </c>
      <c r="T7" s="1502" t="s">
        <v>8</v>
      </c>
      <c r="U7" s="1503">
        <f t="shared" ref="U7:U15" si="1">H7</f>
        <v>0</v>
      </c>
      <c r="V7" s="1502" t="s">
        <v>8</v>
      </c>
      <c r="W7" s="1503">
        <f t="shared" ref="W7:W15" si="2">J7</f>
        <v>0</v>
      </c>
      <c r="X7" s="1504"/>
      <c r="Y7" s="3530" t="s">
        <v>524</v>
      </c>
      <c r="Z7" s="3531"/>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39" t="s">
        <v>527</v>
      </c>
      <c r="Q8" s="3531"/>
      <c r="R8" s="1502" t="s">
        <v>8</v>
      </c>
      <c r="S8" s="1503">
        <f t="shared" si="0"/>
        <v>0</v>
      </c>
      <c r="T8" s="1502" t="s">
        <v>8</v>
      </c>
      <c r="U8" s="1503">
        <f t="shared" si="1"/>
        <v>0</v>
      </c>
      <c r="V8" s="1502" t="s">
        <v>8</v>
      </c>
      <c r="W8" s="1503">
        <f t="shared" si="2"/>
        <v>0</v>
      </c>
      <c r="X8" s="1504"/>
      <c r="Y8" s="3530" t="s">
        <v>527</v>
      </c>
      <c r="Z8" s="3531"/>
      <c r="AA8" s="1505" t="e">
        <f t="shared" ref="AA8:AA47" si="3">D8/F8</f>
        <v>#DIV/0!</v>
      </c>
      <c r="AB8" s="1505" t="e">
        <f t="shared" ref="AB8:AB47" si="4">D8/H8</f>
        <v>#DIV/0!</v>
      </c>
      <c r="AC8" s="1505" t="e">
        <f t="shared" ref="AC8:AC47" si="5">D8/J8</f>
        <v>#DIV/0!</v>
      </c>
    </row>
    <row r="9" spans="1:29" s="1202"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38" t="s">
        <v>529</v>
      </c>
      <c r="Q9" s="1133" t="str">
        <f t="shared" ref="Q9:Q15" si="6">B9</f>
        <v>用途</v>
      </c>
      <c r="R9" s="1502" t="s">
        <v>8</v>
      </c>
      <c r="S9" s="1503">
        <f t="shared" si="0"/>
        <v>100</v>
      </c>
      <c r="T9" s="1502" t="s">
        <v>8</v>
      </c>
      <c r="U9" s="1503">
        <f t="shared" si="1"/>
        <v>100</v>
      </c>
      <c r="V9" s="1502" t="s">
        <v>8</v>
      </c>
      <c r="W9" s="1503">
        <f t="shared" si="2"/>
        <v>100</v>
      </c>
      <c r="X9" s="1504"/>
      <c r="Y9" s="3489"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38"/>
      <c r="Q10" s="1133" t="str">
        <f t="shared" si="6"/>
        <v>土地使用年限（年）</v>
      </c>
      <c r="R10" s="1502" t="s">
        <v>8</v>
      </c>
      <c r="S10" s="1503">
        <f t="shared" si="0"/>
        <v>100</v>
      </c>
      <c r="T10" s="1502" t="s">
        <v>8</v>
      </c>
      <c r="U10" s="1503">
        <f t="shared" si="1"/>
        <v>100</v>
      </c>
      <c r="V10" s="1502" t="s">
        <v>8</v>
      </c>
      <c r="W10" s="1503">
        <f t="shared" si="2"/>
        <v>100</v>
      </c>
      <c r="X10" s="1504"/>
      <c r="Y10" s="3489"/>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38"/>
      <c r="Q11" s="1133" t="str">
        <f t="shared" si="6"/>
        <v>容积率</v>
      </c>
      <c r="R11" s="1502" t="s">
        <v>8</v>
      </c>
      <c r="S11" s="1503" t="e">
        <f t="shared" si="0"/>
        <v>#N/A</v>
      </c>
      <c r="T11" s="1502" t="s">
        <v>8</v>
      </c>
      <c r="U11" s="1503" t="e">
        <f t="shared" si="1"/>
        <v>#N/A</v>
      </c>
      <c r="V11" s="1502" t="s">
        <v>8</v>
      </c>
      <c r="W11" s="1503" t="e">
        <f t="shared" si="2"/>
        <v>#N/A</v>
      </c>
      <c r="X11" s="1504"/>
      <c r="Y11" s="3489"/>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38"/>
      <c r="Q12" s="1133">
        <f t="shared" si="6"/>
        <v>111</v>
      </c>
      <c r="R12" s="1502" t="s">
        <v>8</v>
      </c>
      <c r="S12" s="1503">
        <f t="shared" si="0"/>
        <v>100</v>
      </c>
      <c r="T12" s="1502" t="s">
        <v>8</v>
      </c>
      <c r="U12" s="1503">
        <f t="shared" si="1"/>
        <v>100</v>
      </c>
      <c r="V12" s="1502" t="s">
        <v>8</v>
      </c>
      <c r="W12" s="1503">
        <f t="shared" si="2"/>
        <v>100</v>
      </c>
      <c r="X12" s="1504"/>
      <c r="Y12" s="3489"/>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38"/>
      <c r="Q13" s="1133">
        <f t="shared" si="6"/>
        <v>111</v>
      </c>
      <c r="R13" s="1502" t="s">
        <v>8</v>
      </c>
      <c r="S13" s="1503">
        <f t="shared" si="0"/>
        <v>100</v>
      </c>
      <c r="T13" s="1502" t="s">
        <v>8</v>
      </c>
      <c r="U13" s="1503">
        <f t="shared" si="1"/>
        <v>100</v>
      </c>
      <c r="V13" s="1502" t="s">
        <v>8</v>
      </c>
      <c r="W13" s="1503">
        <f t="shared" si="2"/>
        <v>100</v>
      </c>
      <c r="X13" s="1504"/>
      <c r="Y13" s="3489"/>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38"/>
      <c r="Q14" s="1133">
        <f t="shared" si="6"/>
        <v>111</v>
      </c>
      <c r="R14" s="1502" t="s">
        <v>8</v>
      </c>
      <c r="S14" s="1503">
        <f t="shared" si="0"/>
        <v>100</v>
      </c>
      <c r="T14" s="1502" t="s">
        <v>8</v>
      </c>
      <c r="U14" s="1503">
        <f t="shared" si="1"/>
        <v>100</v>
      </c>
      <c r="V14" s="1502" t="s">
        <v>8</v>
      </c>
      <c r="W14" s="1503">
        <f t="shared" si="2"/>
        <v>100</v>
      </c>
      <c r="X14" s="1504"/>
      <c r="Y14" s="3489"/>
      <c r="Z14" s="1132">
        <f t="shared" si="7"/>
        <v>111</v>
      </c>
      <c r="AA14" s="1505">
        <f t="shared" si="3"/>
        <v>1</v>
      </c>
      <c r="AB14" s="1505">
        <f t="shared" si="4"/>
        <v>1</v>
      </c>
      <c r="AC14" s="1505">
        <f t="shared" si="5"/>
        <v>1</v>
      </c>
    </row>
    <row r="15" spans="1:29" ht="71.25">
      <c r="A15" s="2627"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40" t="s">
        <v>534</v>
      </c>
      <c r="Q15" s="1506" t="str">
        <f t="shared" si="6"/>
        <v>办公集聚程度</v>
      </c>
      <c r="R15" s="1507" t="s">
        <v>8</v>
      </c>
      <c r="S15" s="1508">
        <f t="shared" si="0"/>
        <v>100</v>
      </c>
      <c r="T15" s="1507" t="s">
        <v>8</v>
      </c>
      <c r="U15" s="1508">
        <f t="shared" si="1"/>
        <v>100</v>
      </c>
      <c r="V15" s="1507" t="s">
        <v>8</v>
      </c>
      <c r="W15" s="1508">
        <f t="shared" si="2"/>
        <v>100</v>
      </c>
      <c r="X15" s="1501"/>
      <c r="Y15" s="3540"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41"/>
      <c r="Q16" s="1506"/>
      <c r="R16" s="1507"/>
      <c r="S16" s="1508"/>
      <c r="T16" s="1507"/>
      <c r="U16" s="1508"/>
      <c r="V16" s="1507"/>
      <c r="W16" s="1508"/>
      <c r="X16" s="1501"/>
      <c r="Y16" s="3541"/>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41"/>
      <c r="Q17" s="1506" t="str">
        <f>B17</f>
        <v>交通便捷度</v>
      </c>
      <c r="R17" s="1507" t="s">
        <v>8</v>
      </c>
      <c r="S17" s="1508">
        <f>F17</f>
        <v>100</v>
      </c>
      <c r="T17" s="1507" t="s">
        <v>8</v>
      </c>
      <c r="U17" s="1508">
        <f>H17</f>
        <v>100</v>
      </c>
      <c r="V17" s="1507" t="s">
        <v>8</v>
      </c>
      <c r="W17" s="1508">
        <f>J17</f>
        <v>100</v>
      </c>
      <c r="X17" s="1501"/>
      <c r="Y17" s="3541"/>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41"/>
      <c r="Q18" s="1506"/>
      <c r="R18" s="1507"/>
      <c r="S18" s="1508"/>
      <c r="T18" s="1507"/>
      <c r="U18" s="1508"/>
      <c r="V18" s="1507"/>
      <c r="W18" s="1508"/>
      <c r="X18" s="1501"/>
      <c r="Y18" s="3541"/>
      <c r="Z18" s="1509"/>
      <c r="AA18" s="1510">
        <v>1</v>
      </c>
      <c r="AB18" s="1510">
        <v>1</v>
      </c>
      <c r="AC18" s="1510">
        <v>1</v>
      </c>
    </row>
    <row r="19" spans="1:29" ht="42.75">
      <c r="A19" s="526"/>
      <c r="B19" s="2447"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41"/>
      <c r="Q19" s="1506" t="str">
        <f>B19</f>
        <v>公共配套设施</v>
      </c>
      <c r="R19" s="1507" t="s">
        <v>8</v>
      </c>
      <c r="S19" s="1508">
        <f>F19</f>
        <v>100</v>
      </c>
      <c r="T19" s="1507" t="s">
        <v>8</v>
      </c>
      <c r="U19" s="1508">
        <f>H19</f>
        <v>100</v>
      </c>
      <c r="V19" s="1507" t="s">
        <v>8</v>
      </c>
      <c r="W19" s="1508">
        <f>J19</f>
        <v>100</v>
      </c>
      <c r="X19" s="1501"/>
      <c r="Y19" s="3541"/>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41"/>
      <c r="Q20" s="1506"/>
      <c r="R20" s="1507"/>
      <c r="S20" s="1508"/>
      <c r="T20" s="1507"/>
      <c r="U20" s="1508"/>
      <c r="V20" s="1507"/>
      <c r="W20" s="1508"/>
      <c r="X20" s="1501"/>
      <c r="Y20" s="3541"/>
      <c r="Z20" s="1509"/>
      <c r="AA20" s="1510">
        <v>1</v>
      </c>
      <c r="AB20" s="1510">
        <v>1</v>
      </c>
      <c r="AC20" s="1510">
        <v>1</v>
      </c>
    </row>
    <row r="21" spans="1:29" ht="28.5">
      <c r="A21" s="526"/>
      <c r="B21" s="2435"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41"/>
      <c r="Q21" s="2429" t="str">
        <f>B21</f>
        <v>基础设施水平</v>
      </c>
      <c r="R21" s="1507" t="s">
        <v>8</v>
      </c>
      <c r="S21" s="1508">
        <f>F21</f>
        <v>100</v>
      </c>
      <c r="T21" s="1507" t="s">
        <v>8</v>
      </c>
      <c r="U21" s="1508">
        <f>H21</f>
        <v>100</v>
      </c>
      <c r="V21" s="1507" t="s">
        <v>8</v>
      </c>
      <c r="W21" s="1508">
        <f>J21</f>
        <v>100</v>
      </c>
      <c r="X21" s="2431"/>
      <c r="Y21" s="3541"/>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41"/>
      <c r="Q22" s="2429"/>
      <c r="R22" s="1507"/>
      <c r="S22" s="1508"/>
      <c r="T22" s="1507"/>
      <c r="U22" s="1508"/>
      <c r="V22" s="1507"/>
      <c r="W22" s="1508"/>
      <c r="X22" s="2431"/>
      <c r="Y22" s="3541"/>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41"/>
      <c r="Q23" s="1506" t="str">
        <f>B23</f>
        <v>环境质量</v>
      </c>
      <c r="R23" s="1507" t="s">
        <v>8</v>
      </c>
      <c r="S23" s="1508">
        <f>F23</f>
        <v>100</v>
      </c>
      <c r="T23" s="1507" t="s">
        <v>8</v>
      </c>
      <c r="U23" s="1508">
        <f>H23</f>
        <v>100</v>
      </c>
      <c r="V23" s="1507" t="s">
        <v>8</v>
      </c>
      <c r="W23" s="1508">
        <f>J23</f>
        <v>100</v>
      </c>
      <c r="X23" s="1501"/>
      <c r="Y23" s="3541"/>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41"/>
      <c r="Q24" s="1506"/>
      <c r="R24" s="1507"/>
      <c r="S24" s="1508"/>
      <c r="T24" s="1507"/>
      <c r="U24" s="1508"/>
      <c r="V24" s="1507"/>
      <c r="W24" s="1508"/>
      <c r="X24" s="1501"/>
      <c r="Y24" s="3541"/>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41"/>
      <c r="Q25" s="1506" t="str">
        <f>B25</f>
        <v>毗邻道路的类型与等级</v>
      </c>
      <c r="R25" s="1507" t="s">
        <v>8</v>
      </c>
      <c r="S25" s="1508">
        <f>F25</f>
        <v>100</v>
      </c>
      <c r="T25" s="1507" t="s">
        <v>8</v>
      </c>
      <c r="U25" s="1508">
        <f>H25</f>
        <v>100</v>
      </c>
      <c r="V25" s="1507" t="s">
        <v>8</v>
      </c>
      <c r="W25" s="1508">
        <f>J25</f>
        <v>100</v>
      </c>
      <c r="X25" s="1501"/>
      <c r="Y25" s="3541"/>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41"/>
      <c r="Q26" s="1506"/>
      <c r="R26" s="1507"/>
      <c r="S26" s="1508"/>
      <c r="T26" s="1507"/>
      <c r="U26" s="1508"/>
      <c r="V26" s="1507"/>
      <c r="W26" s="1508"/>
      <c r="X26" s="1501"/>
      <c r="Y26" s="3541"/>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1"/>
      <c r="Q27" s="1506" t="str">
        <f t="shared" ref="Q27:Q47" si="11">B27</f>
        <v>楼层</v>
      </c>
      <c r="R27" s="1507" t="s">
        <v>8</v>
      </c>
      <c r="S27" s="1508">
        <f>F27</f>
        <v>100</v>
      </c>
      <c r="T27" s="1507" t="s">
        <v>8</v>
      </c>
      <c r="U27" s="1508">
        <f>H27</f>
        <v>100</v>
      </c>
      <c r="V27" s="1507" t="s">
        <v>8</v>
      </c>
      <c r="W27" s="1508">
        <f>J27</f>
        <v>100</v>
      </c>
      <c r="X27" s="1501"/>
      <c r="Y27" s="3541"/>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41"/>
      <c r="Q28" s="1133" t="str">
        <f t="shared" si="11"/>
        <v>朝向</v>
      </c>
      <c r="R28" s="1502" t="s">
        <v>8</v>
      </c>
      <c r="S28" s="1503">
        <f>F28</f>
        <v>100</v>
      </c>
      <c r="T28" s="1502" t="s">
        <v>8</v>
      </c>
      <c r="U28" s="1503">
        <f>H28</f>
        <v>100</v>
      </c>
      <c r="V28" s="1502" t="s">
        <v>8</v>
      </c>
      <c r="W28" s="1503">
        <f>J28</f>
        <v>100</v>
      </c>
      <c r="X28" s="1504"/>
      <c r="Y28" s="3541"/>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41"/>
      <c r="Q29" s="1506">
        <f t="shared" si="11"/>
        <v>111</v>
      </c>
      <c r="R29" s="1507" t="s">
        <v>8</v>
      </c>
      <c r="S29" s="1508">
        <f t="shared" ref="S29:S47" si="12">F29</f>
        <v>100</v>
      </c>
      <c r="T29" s="1507" t="s">
        <v>8</v>
      </c>
      <c r="U29" s="1508">
        <f t="shared" ref="U29:U47" si="13">H29</f>
        <v>100</v>
      </c>
      <c r="V29" s="1507" t="s">
        <v>8</v>
      </c>
      <c r="W29" s="1508">
        <f t="shared" ref="W29:W47" si="14">J29</f>
        <v>100</v>
      </c>
      <c r="X29" s="1501"/>
      <c r="Y29" s="3541"/>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41"/>
      <c r="Q30" s="1506">
        <f t="shared" si="11"/>
        <v>111</v>
      </c>
      <c r="R30" s="1507" t="s">
        <v>8</v>
      </c>
      <c r="S30" s="1508">
        <f t="shared" si="12"/>
        <v>100</v>
      </c>
      <c r="T30" s="1507" t="s">
        <v>8</v>
      </c>
      <c r="U30" s="1508">
        <f t="shared" si="13"/>
        <v>100</v>
      </c>
      <c r="V30" s="1507" t="s">
        <v>8</v>
      </c>
      <c r="W30" s="1508">
        <f t="shared" si="14"/>
        <v>100</v>
      </c>
      <c r="X30" s="1501"/>
      <c r="Y30" s="3541"/>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41"/>
      <c r="Q31" s="1506">
        <f t="shared" si="11"/>
        <v>111</v>
      </c>
      <c r="R31" s="1507" t="s">
        <v>8</v>
      </c>
      <c r="S31" s="1508">
        <f t="shared" si="12"/>
        <v>100</v>
      </c>
      <c r="T31" s="1507" t="s">
        <v>8</v>
      </c>
      <c r="U31" s="1508">
        <f t="shared" si="13"/>
        <v>100</v>
      </c>
      <c r="V31" s="1507" t="s">
        <v>8</v>
      </c>
      <c r="W31" s="1508">
        <f t="shared" si="14"/>
        <v>100</v>
      </c>
      <c r="X31" s="1501"/>
      <c r="Y31" s="3541"/>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41"/>
      <c r="Q32" s="1506">
        <f t="shared" si="11"/>
        <v>111</v>
      </c>
      <c r="R32" s="1507" t="s">
        <v>8</v>
      </c>
      <c r="S32" s="1508">
        <f t="shared" si="12"/>
        <v>100</v>
      </c>
      <c r="T32" s="1507" t="s">
        <v>8</v>
      </c>
      <c r="U32" s="1508">
        <f t="shared" si="13"/>
        <v>100</v>
      </c>
      <c r="V32" s="1507" t="s">
        <v>8</v>
      </c>
      <c r="W32" s="1508">
        <f t="shared" si="14"/>
        <v>100</v>
      </c>
      <c r="X32" s="1501"/>
      <c r="Y32" s="3541"/>
      <c r="Z32" s="1509">
        <f t="shared" si="15"/>
        <v>111</v>
      </c>
      <c r="AA32" s="1510">
        <f t="shared" si="3"/>
        <v>1</v>
      </c>
      <c r="AB32" s="1510">
        <f t="shared" si="4"/>
        <v>1</v>
      </c>
      <c r="AC32" s="1510">
        <f t="shared" si="5"/>
        <v>1</v>
      </c>
    </row>
    <row r="33" spans="1:29" ht="15">
      <c r="A33" s="2624" t="s">
        <v>2734</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42" t="s">
        <v>544</v>
      </c>
      <c r="Q33" s="1506" t="str">
        <f t="shared" si="11"/>
        <v>建筑类型</v>
      </c>
      <c r="R33" s="1507" t="s">
        <v>8</v>
      </c>
      <c r="S33" s="1508">
        <f t="shared" si="12"/>
        <v>100</v>
      </c>
      <c r="T33" s="1507" t="s">
        <v>8</v>
      </c>
      <c r="U33" s="1508">
        <f t="shared" si="13"/>
        <v>100</v>
      </c>
      <c r="V33" s="1507" t="s">
        <v>8</v>
      </c>
      <c r="W33" s="1508">
        <f t="shared" si="14"/>
        <v>100</v>
      </c>
      <c r="X33" s="1501"/>
      <c r="Y33" s="3543"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3"/>
      <c r="Q34" s="1535" t="str">
        <f t="shared" si="11"/>
        <v>项目建筑规模</v>
      </c>
      <c r="R34" s="1511" t="s">
        <v>8</v>
      </c>
      <c r="S34" s="1512" t="e">
        <f t="shared" si="12"/>
        <v>#N/A</v>
      </c>
      <c r="T34" s="1511" t="s">
        <v>8</v>
      </c>
      <c r="U34" s="1512" t="e">
        <f t="shared" si="13"/>
        <v>#N/A</v>
      </c>
      <c r="V34" s="1511" t="s">
        <v>8</v>
      </c>
      <c r="W34" s="1512" t="e">
        <f t="shared" si="14"/>
        <v>#N/A</v>
      </c>
      <c r="X34" s="1513"/>
      <c r="Y34" s="3543"/>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3"/>
      <c r="Q35" s="1506" t="str">
        <f t="shared" si="11"/>
        <v>建筑结构</v>
      </c>
      <c r="R35" s="1507" t="s">
        <v>8</v>
      </c>
      <c r="S35" s="1508">
        <f t="shared" si="12"/>
        <v>100</v>
      </c>
      <c r="T35" s="1507" t="s">
        <v>8</v>
      </c>
      <c r="U35" s="1508">
        <f t="shared" si="13"/>
        <v>100</v>
      </c>
      <c r="V35" s="1507" t="s">
        <v>8</v>
      </c>
      <c r="W35" s="1508">
        <f t="shared" si="14"/>
        <v>100</v>
      </c>
      <c r="X35" s="1501"/>
      <c r="Y35" s="3543"/>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3"/>
      <c r="Q36" s="1506" t="str">
        <f t="shared" si="11"/>
        <v>公共部分装修</v>
      </c>
      <c r="R36" s="1507" t="s">
        <v>8</v>
      </c>
      <c r="S36" s="1508">
        <f t="shared" si="12"/>
        <v>100</v>
      </c>
      <c r="T36" s="1507" t="s">
        <v>8</v>
      </c>
      <c r="U36" s="1508">
        <f t="shared" si="13"/>
        <v>100</v>
      </c>
      <c r="V36" s="1507" t="s">
        <v>8</v>
      </c>
      <c r="W36" s="1508">
        <f t="shared" si="14"/>
        <v>100</v>
      </c>
      <c r="X36" s="1501"/>
      <c r="Y36" s="3543"/>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43"/>
      <c r="Q37" s="1506" t="str">
        <f t="shared" si="11"/>
        <v>成新度</v>
      </c>
      <c r="R37" s="1507" t="s">
        <v>8</v>
      </c>
      <c r="S37" s="1508" t="e">
        <f t="shared" si="12"/>
        <v>#N/A</v>
      </c>
      <c r="T37" s="1507" t="s">
        <v>8</v>
      </c>
      <c r="U37" s="1508" t="e">
        <f t="shared" si="13"/>
        <v>#N/A</v>
      </c>
      <c r="V37" s="1507" t="s">
        <v>8</v>
      </c>
      <c r="W37" s="1508" t="e">
        <f t="shared" si="14"/>
        <v>#N/A</v>
      </c>
      <c r="X37" s="1501"/>
      <c r="Y37" s="3543"/>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3"/>
      <c r="Q38" s="1133" t="str">
        <f t="shared" si="11"/>
        <v>写字楼等级</v>
      </c>
      <c r="R38" s="1502" t="s">
        <v>8</v>
      </c>
      <c r="S38" s="1503">
        <f t="shared" si="12"/>
        <v>100</v>
      </c>
      <c r="T38" s="1502" t="s">
        <v>8</v>
      </c>
      <c r="U38" s="1503">
        <f t="shared" si="13"/>
        <v>100</v>
      </c>
      <c r="V38" s="1502" t="s">
        <v>8</v>
      </c>
      <c r="W38" s="1503">
        <f t="shared" si="14"/>
        <v>100</v>
      </c>
      <c r="X38" s="1504"/>
      <c r="Y38" s="3543"/>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3" t="s">
        <v>544</v>
      </c>
      <c r="Q39" s="1506" t="str">
        <f t="shared" si="11"/>
        <v>物业管理</v>
      </c>
      <c r="R39" s="1507" t="s">
        <v>8</v>
      </c>
      <c r="S39" s="1508">
        <f t="shared" si="12"/>
        <v>100</v>
      </c>
      <c r="T39" s="1507" t="s">
        <v>8</v>
      </c>
      <c r="U39" s="1508">
        <f t="shared" si="13"/>
        <v>100</v>
      </c>
      <c r="V39" s="1507" t="s">
        <v>8</v>
      </c>
      <c r="W39" s="1508">
        <f t="shared" si="14"/>
        <v>100</v>
      </c>
      <c r="X39" s="1501"/>
      <c r="Y39" s="3543" t="s">
        <v>544</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3"/>
      <c r="Q40" s="1506" t="str">
        <f t="shared" si="11"/>
        <v>市政基础设施</v>
      </c>
      <c r="R40" s="1507" t="s">
        <v>8</v>
      </c>
      <c r="S40" s="1508">
        <f t="shared" si="12"/>
        <v>100</v>
      </c>
      <c r="T40" s="1507" t="s">
        <v>8</v>
      </c>
      <c r="U40" s="1508">
        <f t="shared" si="13"/>
        <v>100</v>
      </c>
      <c r="V40" s="1507" t="s">
        <v>8</v>
      </c>
      <c r="W40" s="1508">
        <f t="shared" si="14"/>
        <v>100</v>
      </c>
      <c r="X40" s="1501"/>
      <c r="Y40" s="3543"/>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3"/>
      <c r="Q41" s="1506" t="str">
        <f t="shared" si="11"/>
        <v>层高</v>
      </c>
      <c r="R41" s="1507" t="s">
        <v>8</v>
      </c>
      <c r="S41" s="1508">
        <f t="shared" si="12"/>
        <v>100</v>
      </c>
      <c r="T41" s="1507" t="s">
        <v>8</v>
      </c>
      <c r="U41" s="1508">
        <f t="shared" si="13"/>
        <v>100</v>
      </c>
      <c r="V41" s="1507" t="s">
        <v>8</v>
      </c>
      <c r="W41" s="1508">
        <f t="shared" si="14"/>
        <v>100</v>
      </c>
      <c r="X41" s="1501"/>
      <c r="Y41" s="3543"/>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3"/>
      <c r="Q42" s="1535" t="str">
        <f t="shared" si="11"/>
        <v>单套建筑面积</v>
      </c>
      <c r="R42" s="1511" t="s">
        <v>8</v>
      </c>
      <c r="S42" s="1512">
        <f t="shared" si="12"/>
        <v>100</v>
      </c>
      <c r="T42" s="1511" t="s">
        <v>8</v>
      </c>
      <c r="U42" s="1512">
        <f t="shared" si="13"/>
        <v>100</v>
      </c>
      <c r="V42" s="1511" t="s">
        <v>8</v>
      </c>
      <c r="W42" s="1512">
        <f t="shared" si="14"/>
        <v>100</v>
      </c>
      <c r="X42" s="1513"/>
      <c r="Y42" s="3543"/>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3"/>
      <c r="Q43" s="1506" t="str">
        <f t="shared" si="11"/>
        <v>内部装修</v>
      </c>
      <c r="R43" s="1507" t="s">
        <v>8</v>
      </c>
      <c r="S43" s="1508">
        <f t="shared" si="12"/>
        <v>100</v>
      </c>
      <c r="T43" s="1507" t="s">
        <v>8</v>
      </c>
      <c r="U43" s="1508">
        <f t="shared" si="13"/>
        <v>100</v>
      </c>
      <c r="V43" s="1507" t="s">
        <v>8</v>
      </c>
      <c r="W43" s="1508">
        <f t="shared" si="14"/>
        <v>100</v>
      </c>
      <c r="X43" s="1501"/>
      <c r="Y43" s="3543"/>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3"/>
      <c r="Q44" s="1506" t="str">
        <f t="shared" si="11"/>
        <v>内部装修维护情况</v>
      </c>
      <c r="R44" s="1507" t="s">
        <v>8</v>
      </c>
      <c r="S44" s="1508">
        <f t="shared" si="12"/>
        <v>100</v>
      </c>
      <c r="T44" s="1507" t="s">
        <v>8</v>
      </c>
      <c r="U44" s="1508">
        <f t="shared" si="13"/>
        <v>100</v>
      </c>
      <c r="V44" s="1507" t="s">
        <v>8</v>
      </c>
      <c r="W44" s="1508">
        <f t="shared" si="14"/>
        <v>100</v>
      </c>
      <c r="X44" s="1501"/>
      <c r="Y44" s="3543"/>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3"/>
      <c r="Q45" s="1133">
        <f t="shared" si="11"/>
        <v>111</v>
      </c>
      <c r="R45" s="1502" t="s">
        <v>8</v>
      </c>
      <c r="S45" s="1503">
        <f t="shared" si="12"/>
        <v>100</v>
      </c>
      <c r="T45" s="1502" t="s">
        <v>8</v>
      </c>
      <c r="U45" s="1503">
        <f t="shared" si="13"/>
        <v>100</v>
      </c>
      <c r="V45" s="1502" t="s">
        <v>8</v>
      </c>
      <c r="W45" s="1503">
        <f t="shared" si="14"/>
        <v>100</v>
      </c>
      <c r="X45" s="1504"/>
      <c r="Y45" s="3543"/>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3"/>
      <c r="Q46" s="1506">
        <f t="shared" si="11"/>
        <v>111</v>
      </c>
      <c r="R46" s="1507" t="s">
        <v>8</v>
      </c>
      <c r="S46" s="1508">
        <f t="shared" si="12"/>
        <v>100</v>
      </c>
      <c r="T46" s="1507" t="s">
        <v>8</v>
      </c>
      <c r="U46" s="1508">
        <f t="shared" si="13"/>
        <v>100</v>
      </c>
      <c r="V46" s="1507" t="s">
        <v>8</v>
      </c>
      <c r="W46" s="1508">
        <f t="shared" si="14"/>
        <v>100</v>
      </c>
      <c r="X46" s="1501"/>
      <c r="Y46" s="3543"/>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6"/>
      <c r="Q47" s="1506">
        <f t="shared" si="11"/>
        <v>111</v>
      </c>
      <c r="R47" s="1507" t="s">
        <v>8</v>
      </c>
      <c r="S47" s="1508">
        <f t="shared" si="12"/>
        <v>100</v>
      </c>
      <c r="T47" s="1507" t="s">
        <v>8</v>
      </c>
      <c r="U47" s="1508">
        <f t="shared" si="13"/>
        <v>100</v>
      </c>
      <c r="V47" s="1507" t="s">
        <v>8</v>
      </c>
      <c r="W47" s="1508">
        <f t="shared" si="14"/>
        <v>100</v>
      </c>
      <c r="X47" s="1501"/>
      <c r="Y47" s="3646"/>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60" t="str">
        <f>A48</f>
        <v>成交单价（元/平方米）</v>
      </c>
      <c r="Q48" s="3538"/>
      <c r="R48" s="3645">
        <f>E48</f>
        <v>0</v>
      </c>
      <c r="S48" s="3645"/>
      <c r="T48" s="3645">
        <f>G48</f>
        <v>0</v>
      </c>
      <c r="U48" s="3645"/>
      <c r="V48" s="3645">
        <f>I48</f>
        <v>0</v>
      </c>
      <c r="W48" s="3645"/>
      <c r="X48" s="1496"/>
      <c r="Y48" s="1515"/>
      <c r="Z48" s="1496"/>
      <c r="AA48" s="1496"/>
      <c r="AB48" s="1496"/>
      <c r="AC48" s="1496"/>
    </row>
    <row r="49" spans="1:29" ht="15.75" thickBot="1">
      <c r="A49" s="609" t="s">
        <v>2739</v>
      </c>
      <c r="B49" s="876"/>
      <c r="C49" s="2476" t="e">
        <f>R50</f>
        <v>#DIV/0!</v>
      </c>
      <c r="D49" s="3014" t="s">
        <v>2965</v>
      </c>
      <c r="E49" s="2477" t="e">
        <f>R49</f>
        <v>#DIV/0!</v>
      </c>
      <c r="F49" s="3015"/>
      <c r="G49" s="2476" t="e">
        <f>T49</f>
        <v>#DIV/0!</v>
      </c>
      <c r="H49" s="3015"/>
      <c r="I49" s="2477" t="e">
        <f>V49</f>
        <v>#DIV/0!</v>
      </c>
      <c r="J49" s="3015"/>
      <c r="K49" s="3023">
        <f>F49+H49+J49</f>
        <v>0</v>
      </c>
      <c r="L49" s="2026"/>
      <c r="M49" s="2016"/>
      <c r="N49" s="2016"/>
      <c r="O49" s="2016"/>
      <c r="P49" s="3560" t="str">
        <f>A49</f>
        <v>比较价格（元/平方米）</v>
      </c>
      <c r="Q49" s="3538"/>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50" t="str">
        <f>A50</f>
        <v>估价对象XX用房的比较价格（楼面单价，元/平方米）</v>
      </c>
      <c r="Q50" s="3560"/>
      <c r="R50" s="3644" t="e">
        <f>IF(F1="售价",ROUND(IF(D49="简单平均",AVERAGE(R49:V49),R49*F49+T49*H49+V49*J49),0),ROUND(IF(D49="简单平均",AVERAGE(R49:V49),R49*F49+T49*H49+V49*J49),1))</f>
        <v>#DIV/0!</v>
      </c>
      <c r="S50" s="3644"/>
      <c r="T50" s="3644"/>
      <c r="U50" s="3644"/>
      <c r="V50" s="3644"/>
      <c r="W50" s="3644"/>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93.75">
      <c r="A7" s="2590" t="s">
        <v>2727</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44" t="s">
        <v>516</v>
      </c>
      <c r="D4" s="3545"/>
      <c r="E4" s="3569" t="s">
        <v>517</v>
      </c>
      <c r="F4" s="3570"/>
      <c r="G4" s="3544" t="s">
        <v>518</v>
      </c>
      <c r="H4" s="3545"/>
      <c r="I4" s="3544" t="s">
        <v>519</v>
      </c>
      <c r="J4" s="3545"/>
      <c r="K4" s="508" t="s">
        <v>520</v>
      </c>
      <c r="L4" s="2015"/>
      <c r="M4" s="2016"/>
      <c r="N4" s="2016"/>
      <c r="O4" s="2016"/>
      <c r="P4" s="3546" t="s">
        <v>521</v>
      </c>
      <c r="Q4" s="3547"/>
      <c r="R4" s="3532" t="s">
        <v>517</v>
      </c>
      <c r="S4" s="3533"/>
      <c r="T4" s="3532" t="s">
        <v>518</v>
      </c>
      <c r="U4" s="3533"/>
      <c r="V4" s="3552" t="s">
        <v>519</v>
      </c>
      <c r="W4" s="3552"/>
      <c r="X4" s="1501"/>
      <c r="Y4" s="3532" t="s">
        <v>521</v>
      </c>
      <c r="Z4" s="3533"/>
      <c r="AA4" s="3527" t="s">
        <v>517</v>
      </c>
      <c r="AB4" s="3528" t="s">
        <v>518</v>
      </c>
      <c r="AC4" s="3527" t="s">
        <v>519</v>
      </c>
    </row>
    <row r="5" spans="1:29" ht="15">
      <c r="A5" s="509"/>
      <c r="B5" s="510"/>
      <c r="C5" s="3555" t="s">
        <v>2891</v>
      </c>
      <c r="D5" s="3556"/>
      <c r="E5" s="3571" t="s">
        <v>2892</v>
      </c>
      <c r="F5" s="3572"/>
      <c r="G5" s="3555" t="s">
        <v>2893</v>
      </c>
      <c r="H5" s="3556"/>
      <c r="I5" s="3555" t="s">
        <v>2894</v>
      </c>
      <c r="J5" s="3556"/>
      <c r="K5" s="508"/>
      <c r="L5" s="2015"/>
      <c r="M5" s="2016"/>
      <c r="N5" s="2016"/>
      <c r="O5" s="2016"/>
      <c r="P5" s="3548"/>
      <c r="Q5" s="3549"/>
      <c r="R5" s="3534"/>
      <c r="S5" s="3535"/>
      <c r="T5" s="3534"/>
      <c r="U5" s="3535"/>
      <c r="V5" s="3552"/>
      <c r="W5" s="3552"/>
      <c r="X5" s="1501"/>
      <c r="Y5" s="3534"/>
      <c r="Z5" s="3535"/>
      <c r="AA5" s="3528"/>
      <c r="AB5" s="3528"/>
      <c r="AC5" s="3528"/>
    </row>
    <row r="6" spans="1:29" ht="15.75" thickBot="1">
      <c r="A6" s="511"/>
      <c r="B6" s="512"/>
      <c r="C6" s="3553" t="s">
        <v>2895</v>
      </c>
      <c r="D6" s="3554"/>
      <c r="E6" s="3573" t="s">
        <v>2895</v>
      </c>
      <c r="F6" s="3574"/>
      <c r="G6" s="3553" t="s">
        <v>2895</v>
      </c>
      <c r="H6" s="3554"/>
      <c r="I6" s="3553" t="s">
        <v>2895</v>
      </c>
      <c r="J6" s="3554"/>
      <c r="K6" s="508" t="s">
        <v>522</v>
      </c>
      <c r="L6" s="2015"/>
      <c r="M6" s="2016"/>
      <c r="N6" s="2016"/>
      <c r="O6" s="2016"/>
      <c r="P6" s="3550"/>
      <c r="Q6" s="3551"/>
      <c r="R6" s="3534"/>
      <c r="S6" s="3535"/>
      <c r="T6" s="3536"/>
      <c r="U6" s="3537"/>
      <c r="V6" s="3552"/>
      <c r="W6" s="3552"/>
      <c r="X6" s="1501"/>
      <c r="Y6" s="3536"/>
      <c r="Z6" s="3537"/>
      <c r="AA6" s="3529"/>
      <c r="AB6" s="3529"/>
      <c r="AC6" s="3529"/>
    </row>
    <row r="7" spans="1:29" s="1202" customFormat="1" ht="15.75" thickBot="1">
      <c r="A7" s="2629"/>
      <c r="B7" s="2636" t="s">
        <v>523</v>
      </c>
      <c r="C7" s="513">
        <f>'数据-取费表'!B2</f>
        <v>44258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30" t="s">
        <v>524</v>
      </c>
      <c r="Q7" s="3539"/>
      <c r="R7" s="1502" t="s">
        <v>8</v>
      </c>
      <c r="S7" s="1503">
        <f t="shared" ref="S7:S15" si="0">F7</f>
        <v>0</v>
      </c>
      <c r="T7" s="1502" t="s">
        <v>8</v>
      </c>
      <c r="U7" s="1503">
        <f t="shared" ref="U7:U15" si="1">H7</f>
        <v>0</v>
      </c>
      <c r="V7" s="1502" t="s">
        <v>8</v>
      </c>
      <c r="W7" s="1503">
        <f t="shared" ref="W7:W15" si="2">J7</f>
        <v>0</v>
      </c>
      <c r="X7" s="1504"/>
      <c r="Y7" s="3530" t="s">
        <v>524</v>
      </c>
      <c r="Z7" s="3531"/>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30" t="s">
        <v>527</v>
      </c>
      <c r="Q8" s="3531"/>
      <c r="R8" s="1502" t="s">
        <v>8</v>
      </c>
      <c r="S8" s="1503">
        <f t="shared" si="0"/>
        <v>0</v>
      </c>
      <c r="T8" s="1502" t="s">
        <v>8</v>
      </c>
      <c r="U8" s="1503">
        <f t="shared" si="1"/>
        <v>0</v>
      </c>
      <c r="V8" s="1502" t="s">
        <v>8</v>
      </c>
      <c r="W8" s="1503">
        <f t="shared" si="2"/>
        <v>0</v>
      </c>
      <c r="X8" s="1504"/>
      <c r="Y8" s="3530" t="s">
        <v>527</v>
      </c>
      <c r="Z8" s="3531"/>
      <c r="AA8" s="1505" t="e">
        <f t="shared" ref="AA8:AA40" si="3">D8/F8</f>
        <v>#DIV/0!</v>
      </c>
      <c r="AB8" s="1505" t="e">
        <f t="shared" ref="AB8:AB40" si="4">D8/H8</f>
        <v>#DIV/0!</v>
      </c>
      <c r="AC8" s="1505" t="e">
        <f t="shared" ref="AC8:AC40" si="5">D8/J8</f>
        <v>#DIV/0!</v>
      </c>
    </row>
    <row r="9" spans="1:29" s="1202"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38" t="s">
        <v>529</v>
      </c>
      <c r="Q9" s="1133" t="str">
        <f t="shared" ref="Q9:Q15" si="6">B9</f>
        <v>用途</v>
      </c>
      <c r="R9" s="1502" t="s">
        <v>8</v>
      </c>
      <c r="S9" s="1503">
        <f t="shared" si="0"/>
        <v>100</v>
      </c>
      <c r="T9" s="1502" t="s">
        <v>8</v>
      </c>
      <c r="U9" s="1503">
        <f t="shared" si="1"/>
        <v>100</v>
      </c>
      <c r="V9" s="1502" t="s">
        <v>8</v>
      </c>
      <c r="W9" s="1503">
        <f t="shared" si="2"/>
        <v>100</v>
      </c>
      <c r="X9" s="1504"/>
      <c r="Y9" s="3489"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38"/>
      <c r="Q10" s="1133" t="str">
        <f t="shared" si="6"/>
        <v>土地使用年限（年）</v>
      </c>
      <c r="R10" s="1502" t="s">
        <v>8</v>
      </c>
      <c r="S10" s="1503">
        <f t="shared" si="0"/>
        <v>100</v>
      </c>
      <c r="T10" s="1502" t="s">
        <v>8</v>
      </c>
      <c r="U10" s="1503">
        <f t="shared" si="1"/>
        <v>100</v>
      </c>
      <c r="V10" s="1502" t="s">
        <v>8</v>
      </c>
      <c r="W10" s="1503">
        <f t="shared" si="2"/>
        <v>100</v>
      </c>
      <c r="X10" s="1504"/>
      <c r="Y10" s="3489"/>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38"/>
      <c r="Q11" s="1133" t="str">
        <f t="shared" si="6"/>
        <v>容积率</v>
      </c>
      <c r="R11" s="1502" t="s">
        <v>8</v>
      </c>
      <c r="S11" s="1503" t="e">
        <f t="shared" si="0"/>
        <v>#N/A</v>
      </c>
      <c r="T11" s="1502" t="s">
        <v>8</v>
      </c>
      <c r="U11" s="1503" t="e">
        <f t="shared" si="1"/>
        <v>#N/A</v>
      </c>
      <c r="V11" s="1502" t="s">
        <v>8</v>
      </c>
      <c r="W11" s="1503" t="e">
        <f t="shared" si="2"/>
        <v>#N/A</v>
      </c>
      <c r="X11" s="1504"/>
      <c r="Y11" s="3489"/>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38"/>
      <c r="Q12" s="1133">
        <f t="shared" si="6"/>
        <v>111</v>
      </c>
      <c r="R12" s="1502" t="s">
        <v>8</v>
      </c>
      <c r="S12" s="1503">
        <f t="shared" si="0"/>
        <v>100</v>
      </c>
      <c r="T12" s="1502" t="s">
        <v>8</v>
      </c>
      <c r="U12" s="1503">
        <f t="shared" si="1"/>
        <v>100</v>
      </c>
      <c r="V12" s="1502" t="s">
        <v>8</v>
      </c>
      <c r="W12" s="1503">
        <f t="shared" si="2"/>
        <v>100</v>
      </c>
      <c r="X12" s="1504"/>
      <c r="Y12" s="3489"/>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38"/>
      <c r="Q13" s="1133">
        <f t="shared" si="6"/>
        <v>111</v>
      </c>
      <c r="R13" s="1502" t="s">
        <v>8</v>
      </c>
      <c r="S13" s="1503">
        <f t="shared" si="0"/>
        <v>100</v>
      </c>
      <c r="T13" s="1502" t="s">
        <v>8</v>
      </c>
      <c r="U13" s="1503">
        <f t="shared" si="1"/>
        <v>100</v>
      </c>
      <c r="V13" s="1502" t="s">
        <v>8</v>
      </c>
      <c r="W13" s="1503">
        <f t="shared" si="2"/>
        <v>100</v>
      </c>
      <c r="X13" s="1504"/>
      <c r="Y13" s="3489"/>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38"/>
      <c r="Q14" s="1133">
        <f t="shared" si="6"/>
        <v>111</v>
      </c>
      <c r="R14" s="1502" t="s">
        <v>8</v>
      </c>
      <c r="S14" s="1503">
        <f t="shared" si="0"/>
        <v>100</v>
      </c>
      <c r="T14" s="1502" t="s">
        <v>8</v>
      </c>
      <c r="U14" s="1503">
        <f t="shared" si="1"/>
        <v>100</v>
      </c>
      <c r="V14" s="1502" t="s">
        <v>8</v>
      </c>
      <c r="W14" s="1503">
        <f t="shared" si="2"/>
        <v>100</v>
      </c>
      <c r="X14" s="1504"/>
      <c r="Y14" s="3489"/>
      <c r="Z14" s="1132">
        <f t="shared" si="7"/>
        <v>111</v>
      </c>
      <c r="AA14" s="1505">
        <f t="shared" si="3"/>
        <v>1</v>
      </c>
      <c r="AB14" s="1505">
        <f t="shared" si="4"/>
        <v>1</v>
      </c>
      <c r="AC14" s="1505">
        <f t="shared" si="5"/>
        <v>1</v>
      </c>
    </row>
    <row r="15" spans="1:29" ht="57">
      <c r="A15" s="2627" t="s">
        <v>2733</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40" t="s">
        <v>534</v>
      </c>
      <c r="Q15" s="1506" t="str">
        <f t="shared" si="6"/>
        <v>产业集聚程度</v>
      </c>
      <c r="R15" s="1507" t="s">
        <v>8</v>
      </c>
      <c r="S15" s="1508">
        <f t="shared" si="0"/>
        <v>100</v>
      </c>
      <c r="T15" s="1507" t="s">
        <v>8</v>
      </c>
      <c r="U15" s="1508">
        <f t="shared" si="1"/>
        <v>100</v>
      </c>
      <c r="V15" s="1507" t="s">
        <v>8</v>
      </c>
      <c r="W15" s="1508">
        <f t="shared" si="2"/>
        <v>100</v>
      </c>
      <c r="X15" s="1501"/>
      <c r="Y15" s="3540"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41"/>
      <c r="Q16" s="1506"/>
      <c r="R16" s="1507"/>
      <c r="S16" s="1508"/>
      <c r="T16" s="1507"/>
      <c r="U16" s="1508"/>
      <c r="V16" s="1507"/>
      <c r="W16" s="1508"/>
      <c r="X16" s="1501"/>
      <c r="Y16" s="3541"/>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41"/>
      <c r="Q17" s="1506" t="str">
        <f>B17</f>
        <v>交通便捷度</v>
      </c>
      <c r="R17" s="1507" t="s">
        <v>8</v>
      </c>
      <c r="S17" s="1508">
        <f>F17</f>
        <v>100</v>
      </c>
      <c r="T17" s="1507" t="s">
        <v>8</v>
      </c>
      <c r="U17" s="1508">
        <f>H17</f>
        <v>100</v>
      </c>
      <c r="V17" s="1507" t="s">
        <v>8</v>
      </c>
      <c r="W17" s="1508">
        <f>J17</f>
        <v>100</v>
      </c>
      <c r="X17" s="1501"/>
      <c r="Y17" s="3541"/>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41"/>
      <c r="Q18" s="1506"/>
      <c r="R18" s="1507"/>
      <c r="S18" s="1508"/>
      <c r="T18" s="1507"/>
      <c r="U18" s="1508"/>
      <c r="V18" s="1507"/>
      <c r="W18" s="1508"/>
      <c r="X18" s="1501"/>
      <c r="Y18" s="3541"/>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41"/>
      <c r="Q19" s="1506" t="str">
        <f>B19</f>
        <v>公共配套设施</v>
      </c>
      <c r="R19" s="1507" t="s">
        <v>8</v>
      </c>
      <c r="S19" s="1508">
        <f>F19</f>
        <v>100</v>
      </c>
      <c r="T19" s="1507" t="s">
        <v>8</v>
      </c>
      <c r="U19" s="1508">
        <f>H19</f>
        <v>100</v>
      </c>
      <c r="V19" s="1507" t="s">
        <v>8</v>
      </c>
      <c r="W19" s="1508">
        <f>J19</f>
        <v>100</v>
      </c>
      <c r="X19" s="1501"/>
      <c r="Y19" s="3541"/>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41"/>
      <c r="Q20" s="1506"/>
      <c r="R20" s="1507"/>
      <c r="S20" s="1508"/>
      <c r="T20" s="1507"/>
      <c r="U20" s="1508"/>
      <c r="V20" s="1507"/>
      <c r="W20" s="1508"/>
      <c r="X20" s="1501"/>
      <c r="Y20" s="3541"/>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41"/>
      <c r="Q21" s="2429" t="str">
        <f>B21</f>
        <v>基础设施水平</v>
      </c>
      <c r="R21" s="1507" t="s">
        <v>8</v>
      </c>
      <c r="S21" s="1508">
        <f>F21</f>
        <v>100</v>
      </c>
      <c r="T21" s="1507" t="s">
        <v>8</v>
      </c>
      <c r="U21" s="1508">
        <f>H21</f>
        <v>100</v>
      </c>
      <c r="V21" s="1507" t="s">
        <v>8</v>
      </c>
      <c r="W21" s="1508">
        <f>J21</f>
        <v>100</v>
      </c>
      <c r="X21" s="2431"/>
      <c r="Y21" s="3541"/>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41"/>
      <c r="Q22" s="2429"/>
      <c r="R22" s="1507"/>
      <c r="S22" s="1508"/>
      <c r="T22" s="1507"/>
      <c r="U22" s="1508"/>
      <c r="V22" s="1507"/>
      <c r="W22" s="1508"/>
      <c r="X22" s="2431"/>
      <c r="Y22" s="3541"/>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41"/>
      <c r="Q23" s="1506" t="str">
        <f>B23</f>
        <v>环境质量</v>
      </c>
      <c r="R23" s="1507" t="s">
        <v>8</v>
      </c>
      <c r="S23" s="1508">
        <f>F23</f>
        <v>100</v>
      </c>
      <c r="T23" s="1507" t="s">
        <v>8</v>
      </c>
      <c r="U23" s="1508">
        <f>H23</f>
        <v>100</v>
      </c>
      <c r="V23" s="1507" t="s">
        <v>8</v>
      </c>
      <c r="W23" s="1508">
        <f>J23</f>
        <v>100</v>
      </c>
      <c r="X23" s="1501"/>
      <c r="Y23" s="3541"/>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41"/>
      <c r="Q24" s="1506"/>
      <c r="R24" s="1507"/>
      <c r="S24" s="1508"/>
      <c r="T24" s="1507"/>
      <c r="U24" s="1508"/>
      <c r="V24" s="1507"/>
      <c r="W24" s="1508"/>
      <c r="X24" s="1501"/>
      <c r="Y24" s="3541"/>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1"/>
      <c r="Q25" s="1506">
        <f>B25</f>
        <v>111</v>
      </c>
      <c r="R25" s="1507" t="s">
        <v>8</v>
      </c>
      <c r="S25" s="1508">
        <f>F25</f>
        <v>100</v>
      </c>
      <c r="T25" s="1507" t="s">
        <v>8</v>
      </c>
      <c r="U25" s="1508">
        <f>H25</f>
        <v>100</v>
      </c>
      <c r="V25" s="1507" t="s">
        <v>8</v>
      </c>
      <c r="W25" s="1508">
        <f>J25</f>
        <v>100</v>
      </c>
      <c r="X25" s="1501"/>
      <c r="Y25" s="3541"/>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1"/>
      <c r="Q26" s="1506">
        <f t="shared" ref="Q26:Q40" si="11">B26</f>
        <v>111</v>
      </c>
      <c r="R26" s="1507" t="s">
        <v>8</v>
      </c>
      <c r="S26" s="1508">
        <f>F26</f>
        <v>100</v>
      </c>
      <c r="T26" s="1507" t="s">
        <v>8</v>
      </c>
      <c r="U26" s="1508">
        <f>H26</f>
        <v>100</v>
      </c>
      <c r="V26" s="1507" t="s">
        <v>8</v>
      </c>
      <c r="W26" s="1508">
        <f>J26</f>
        <v>100</v>
      </c>
      <c r="X26" s="1501"/>
      <c r="Y26" s="3541"/>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1"/>
      <c r="Q27" s="1133">
        <f t="shared" si="11"/>
        <v>111</v>
      </c>
      <c r="R27" s="1502" t="s">
        <v>8</v>
      </c>
      <c r="S27" s="1503">
        <f>F27</f>
        <v>100</v>
      </c>
      <c r="T27" s="1502" t="s">
        <v>8</v>
      </c>
      <c r="U27" s="1503">
        <f>H27</f>
        <v>100</v>
      </c>
      <c r="V27" s="1502" t="s">
        <v>8</v>
      </c>
      <c r="W27" s="1503">
        <f>J27</f>
        <v>100</v>
      </c>
      <c r="X27" s="1504"/>
      <c r="Y27" s="3541"/>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41"/>
      <c r="Q28" s="1506">
        <f t="shared" si="11"/>
        <v>111</v>
      </c>
      <c r="R28" s="1507" t="s">
        <v>8</v>
      </c>
      <c r="S28" s="1508">
        <f t="shared" ref="S28:S40" si="12">F28</f>
        <v>100</v>
      </c>
      <c r="T28" s="1507" t="s">
        <v>8</v>
      </c>
      <c r="U28" s="1508">
        <f t="shared" ref="U28:U40" si="13">H28</f>
        <v>100</v>
      </c>
      <c r="V28" s="1507" t="s">
        <v>8</v>
      </c>
      <c r="W28" s="1508">
        <f t="shared" ref="W28:W40" si="14">J28</f>
        <v>100</v>
      </c>
      <c r="X28" s="1501"/>
      <c r="Y28" s="3541"/>
      <c r="Z28" s="1509">
        <f t="shared" ref="Z28:Z40" si="15">Q28</f>
        <v>111</v>
      </c>
      <c r="AA28" s="1510">
        <f t="shared" si="3"/>
        <v>1</v>
      </c>
      <c r="AB28" s="1510">
        <f t="shared" si="4"/>
        <v>1</v>
      </c>
      <c r="AC28" s="1510">
        <f t="shared" si="5"/>
        <v>1</v>
      </c>
    </row>
    <row r="29" spans="1:29" ht="15">
      <c r="A29" s="2624" t="s">
        <v>2734</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42" t="s">
        <v>544</v>
      </c>
      <c r="Q29" s="1506" t="str">
        <f t="shared" si="11"/>
        <v>建筑类型</v>
      </c>
      <c r="R29" s="1507" t="s">
        <v>8</v>
      </c>
      <c r="S29" s="1508">
        <f t="shared" si="12"/>
        <v>100</v>
      </c>
      <c r="T29" s="1507" t="s">
        <v>8</v>
      </c>
      <c r="U29" s="1508">
        <f t="shared" si="13"/>
        <v>100</v>
      </c>
      <c r="V29" s="1507" t="s">
        <v>8</v>
      </c>
      <c r="W29" s="1508">
        <f t="shared" si="14"/>
        <v>100</v>
      </c>
      <c r="X29" s="1501"/>
      <c r="Y29" s="3543"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3"/>
      <c r="Q30" s="1535" t="str">
        <f t="shared" si="11"/>
        <v>项目建筑规模</v>
      </c>
      <c r="R30" s="1511" t="s">
        <v>8</v>
      </c>
      <c r="S30" s="1512" t="e">
        <f t="shared" si="12"/>
        <v>#N/A</v>
      </c>
      <c r="T30" s="1511" t="s">
        <v>8</v>
      </c>
      <c r="U30" s="1512" t="e">
        <f t="shared" si="13"/>
        <v>#N/A</v>
      </c>
      <c r="V30" s="1511" t="s">
        <v>8</v>
      </c>
      <c r="W30" s="1512" t="e">
        <f t="shared" si="14"/>
        <v>#N/A</v>
      </c>
      <c r="X30" s="1513"/>
      <c r="Y30" s="3543"/>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3"/>
      <c r="Q31" s="1506" t="str">
        <f t="shared" si="11"/>
        <v>建筑结构</v>
      </c>
      <c r="R31" s="1507" t="s">
        <v>8</v>
      </c>
      <c r="S31" s="1508">
        <f t="shared" si="12"/>
        <v>100</v>
      </c>
      <c r="T31" s="1507" t="s">
        <v>8</v>
      </c>
      <c r="U31" s="1508">
        <f t="shared" si="13"/>
        <v>100</v>
      </c>
      <c r="V31" s="1507" t="s">
        <v>8</v>
      </c>
      <c r="W31" s="1508">
        <f t="shared" si="14"/>
        <v>100</v>
      </c>
      <c r="X31" s="1501"/>
      <c r="Y31" s="3543"/>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3"/>
      <c r="Q32" s="1506" t="str">
        <f t="shared" si="11"/>
        <v>公共部分装修</v>
      </c>
      <c r="R32" s="1507" t="s">
        <v>8</v>
      </c>
      <c r="S32" s="1508">
        <f t="shared" si="12"/>
        <v>100</v>
      </c>
      <c r="T32" s="1507" t="s">
        <v>8</v>
      </c>
      <c r="U32" s="1508">
        <f t="shared" si="13"/>
        <v>100</v>
      </c>
      <c r="V32" s="1507" t="s">
        <v>8</v>
      </c>
      <c r="W32" s="1508">
        <f t="shared" si="14"/>
        <v>100</v>
      </c>
      <c r="X32" s="1501"/>
      <c r="Y32" s="3543"/>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43"/>
      <c r="Q33" s="1506" t="str">
        <f t="shared" si="11"/>
        <v>成新度</v>
      </c>
      <c r="R33" s="1507" t="s">
        <v>8</v>
      </c>
      <c r="S33" s="1508" t="e">
        <f t="shared" si="12"/>
        <v>#N/A</v>
      </c>
      <c r="T33" s="1507" t="s">
        <v>8</v>
      </c>
      <c r="U33" s="1508" t="e">
        <f t="shared" si="13"/>
        <v>#N/A</v>
      </c>
      <c r="V33" s="1507" t="s">
        <v>8</v>
      </c>
      <c r="W33" s="1508" t="e">
        <f t="shared" si="14"/>
        <v>#N/A</v>
      </c>
      <c r="X33" s="1501"/>
      <c r="Y33" s="3543"/>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3"/>
      <c r="Q34" s="1133" t="str">
        <f t="shared" si="11"/>
        <v>物业管理</v>
      </c>
      <c r="R34" s="1502" t="s">
        <v>8</v>
      </c>
      <c r="S34" s="1503">
        <f t="shared" si="12"/>
        <v>100</v>
      </c>
      <c r="T34" s="1502" t="s">
        <v>8</v>
      </c>
      <c r="U34" s="1503">
        <f t="shared" si="13"/>
        <v>100</v>
      </c>
      <c r="V34" s="1502" t="s">
        <v>8</v>
      </c>
      <c r="W34" s="1503">
        <f t="shared" si="14"/>
        <v>100</v>
      </c>
      <c r="X34" s="1504"/>
      <c r="Y34" s="3543"/>
      <c r="Z34" s="1132"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3" t="s">
        <v>544</v>
      </c>
      <c r="Q35" s="1506" t="str">
        <f t="shared" si="11"/>
        <v>市政基础设施</v>
      </c>
      <c r="R35" s="1507" t="s">
        <v>8</v>
      </c>
      <c r="S35" s="1508">
        <f t="shared" si="12"/>
        <v>100</v>
      </c>
      <c r="T35" s="1507" t="s">
        <v>8</v>
      </c>
      <c r="U35" s="1508">
        <f t="shared" si="13"/>
        <v>100</v>
      </c>
      <c r="V35" s="1507" t="s">
        <v>8</v>
      </c>
      <c r="W35" s="1508">
        <f t="shared" si="14"/>
        <v>100</v>
      </c>
      <c r="X35" s="1501"/>
      <c r="Y35" s="3543"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3"/>
      <c r="Q36" s="1506" t="str">
        <f t="shared" si="11"/>
        <v>内部装修</v>
      </c>
      <c r="R36" s="1507" t="s">
        <v>8</v>
      </c>
      <c r="S36" s="1508">
        <f t="shared" si="12"/>
        <v>100</v>
      </c>
      <c r="T36" s="1507" t="s">
        <v>8</v>
      </c>
      <c r="U36" s="1508">
        <f t="shared" si="13"/>
        <v>100</v>
      </c>
      <c r="V36" s="1507" t="s">
        <v>8</v>
      </c>
      <c r="W36" s="1508">
        <f t="shared" si="14"/>
        <v>100</v>
      </c>
      <c r="X36" s="1501"/>
      <c r="Y36" s="3543"/>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3"/>
      <c r="Q37" s="1506" t="str">
        <f t="shared" si="11"/>
        <v>内部装修状况</v>
      </c>
      <c r="R37" s="1507" t="s">
        <v>8</v>
      </c>
      <c r="S37" s="1508">
        <f t="shared" si="12"/>
        <v>100</v>
      </c>
      <c r="T37" s="1507" t="s">
        <v>8</v>
      </c>
      <c r="U37" s="1508">
        <f t="shared" si="13"/>
        <v>100</v>
      </c>
      <c r="V37" s="1507" t="s">
        <v>8</v>
      </c>
      <c r="W37" s="1508">
        <f t="shared" si="14"/>
        <v>100</v>
      </c>
      <c r="X37" s="1501"/>
      <c r="Y37" s="3543"/>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43"/>
      <c r="Q38" s="1535">
        <f t="shared" si="11"/>
        <v>111</v>
      </c>
      <c r="R38" s="1511" t="s">
        <v>8</v>
      </c>
      <c r="S38" s="1512">
        <f t="shared" si="12"/>
        <v>100</v>
      </c>
      <c r="T38" s="1511" t="s">
        <v>8</v>
      </c>
      <c r="U38" s="1512">
        <f t="shared" si="13"/>
        <v>100</v>
      </c>
      <c r="V38" s="1511" t="s">
        <v>8</v>
      </c>
      <c r="W38" s="1512">
        <f t="shared" si="14"/>
        <v>100</v>
      </c>
      <c r="X38" s="1513"/>
      <c r="Y38" s="3543"/>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43"/>
      <c r="Q39" s="1506">
        <f t="shared" si="11"/>
        <v>111</v>
      </c>
      <c r="R39" s="1507" t="s">
        <v>8</v>
      </c>
      <c r="S39" s="1508">
        <f t="shared" si="12"/>
        <v>100</v>
      </c>
      <c r="T39" s="1507" t="s">
        <v>8</v>
      </c>
      <c r="U39" s="1508">
        <f t="shared" si="13"/>
        <v>100</v>
      </c>
      <c r="V39" s="1507" t="s">
        <v>8</v>
      </c>
      <c r="W39" s="1508">
        <f t="shared" si="14"/>
        <v>100</v>
      </c>
      <c r="X39" s="1501"/>
      <c r="Y39" s="3543"/>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46"/>
      <c r="Q40" s="1506">
        <f t="shared" si="11"/>
        <v>111</v>
      </c>
      <c r="R40" s="1507" t="s">
        <v>8</v>
      </c>
      <c r="S40" s="1508">
        <f t="shared" si="12"/>
        <v>100</v>
      </c>
      <c r="T40" s="1507" t="s">
        <v>8</v>
      </c>
      <c r="U40" s="1508">
        <f t="shared" si="13"/>
        <v>100</v>
      </c>
      <c r="V40" s="1507" t="s">
        <v>8</v>
      </c>
      <c r="W40" s="1508">
        <f t="shared" si="14"/>
        <v>100</v>
      </c>
      <c r="X40" s="1501"/>
      <c r="Y40" s="3646"/>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38" t="str">
        <f>A41</f>
        <v>成交单价（元/平方米）</v>
      </c>
      <c r="Q41" s="3538"/>
      <c r="R41" s="3645">
        <f>E41</f>
        <v>0</v>
      </c>
      <c r="S41" s="3645"/>
      <c r="T41" s="3645">
        <f>G41</f>
        <v>0</v>
      </c>
      <c r="U41" s="3645"/>
      <c r="V41" s="3645">
        <f>I41</f>
        <v>0</v>
      </c>
      <c r="W41" s="3645"/>
      <c r="X41" s="1496"/>
      <c r="Y41" s="1515"/>
      <c r="Z41" s="1496"/>
      <c r="AA41" s="1496"/>
      <c r="AB41" s="1496"/>
      <c r="AC41" s="1496"/>
    </row>
    <row r="42" spans="1:29" ht="15.75" thickBot="1">
      <c r="A42" s="609" t="s">
        <v>2739</v>
      </c>
      <c r="B42" s="876"/>
      <c r="C42" s="2476" t="e">
        <f>R43</f>
        <v>#DIV/0!</v>
      </c>
      <c r="D42" s="3014" t="s">
        <v>2965</v>
      </c>
      <c r="E42" s="2477" t="e">
        <f>R42</f>
        <v>#DIV/0!</v>
      </c>
      <c r="F42" s="3015"/>
      <c r="G42" s="2476" t="e">
        <f>T42</f>
        <v>#DIV/0!</v>
      </c>
      <c r="H42" s="3015"/>
      <c r="I42" s="2477" t="e">
        <f>V42</f>
        <v>#DIV/0!</v>
      </c>
      <c r="J42" s="3015"/>
      <c r="K42" s="3023">
        <f>F42+H42+J42</f>
        <v>0</v>
      </c>
      <c r="L42" s="2026"/>
      <c r="M42" s="2027"/>
      <c r="N42" s="2016"/>
      <c r="O42" s="2027"/>
      <c r="P42" s="3538" t="str">
        <f>A42</f>
        <v>比较价格（元/平方米）</v>
      </c>
      <c r="Q42" s="3538"/>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59" t="str">
        <f>A43</f>
        <v>估价对象XX用房的比较价格（楼面单价，元/平方米）</v>
      </c>
      <c r="Q43" s="3560"/>
      <c r="R43" s="3644" t="e">
        <f>IF(F1="售价",ROUND(IF(D42="简单平均",AVERAGE(R42:V42),R42*F42+T42*H42+V42*J42),0),ROUND(IF(D42="简单平均",AVERAGE(R42:V42),R42*F42+T42*H42+V42*J42),1))</f>
        <v>#DIV/0!</v>
      </c>
      <c r="S43" s="3644"/>
      <c r="T43" s="3644"/>
      <c r="U43" s="3644"/>
      <c r="V43" s="3644"/>
      <c r="W43" s="3644"/>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4" t="s">
        <v>792</v>
      </c>
      <c r="D4" s="3545"/>
      <c r="E4" s="3544" t="s">
        <v>793</v>
      </c>
      <c r="F4" s="3545"/>
      <c r="G4" s="3544" t="s">
        <v>794</v>
      </c>
      <c r="H4" s="3545"/>
      <c r="I4" s="3544" t="s">
        <v>795</v>
      </c>
      <c r="J4" s="3545"/>
      <c r="K4" s="508" t="s">
        <v>796</v>
      </c>
      <c r="L4" s="2015"/>
      <c r="M4" s="2016"/>
      <c r="N4" s="2016"/>
      <c r="O4" s="2016"/>
      <c r="P4" s="3546" t="s">
        <v>797</v>
      </c>
      <c r="Q4" s="3547"/>
      <c r="R4" s="3532" t="s">
        <v>793</v>
      </c>
      <c r="S4" s="3533"/>
      <c r="T4" s="3532" t="s">
        <v>794</v>
      </c>
      <c r="U4" s="3533"/>
      <c r="V4" s="3552" t="s">
        <v>795</v>
      </c>
      <c r="W4" s="3552"/>
      <c r="X4" s="1501"/>
      <c r="Y4" s="3532" t="s">
        <v>797</v>
      </c>
      <c r="Z4" s="3533"/>
      <c r="AA4" s="3527" t="s">
        <v>793</v>
      </c>
      <c r="AB4" s="3528" t="s">
        <v>794</v>
      </c>
      <c r="AC4" s="3527" t="s">
        <v>795</v>
      </c>
    </row>
    <row r="5" spans="1:29" ht="15">
      <c r="A5" s="509"/>
      <c r="B5" s="510"/>
      <c r="C5" s="3555" t="s">
        <v>2891</v>
      </c>
      <c r="D5" s="3556"/>
      <c r="E5" s="3555" t="s">
        <v>2892</v>
      </c>
      <c r="F5" s="3556"/>
      <c r="G5" s="3555" t="s">
        <v>2893</v>
      </c>
      <c r="H5" s="3556"/>
      <c r="I5" s="3555" t="s">
        <v>2894</v>
      </c>
      <c r="J5" s="3556"/>
      <c r="K5" s="508"/>
      <c r="L5" s="2015"/>
      <c r="M5" s="2016"/>
      <c r="N5" s="2016"/>
      <c r="O5" s="2016"/>
      <c r="P5" s="3548"/>
      <c r="Q5" s="3549"/>
      <c r="R5" s="3534"/>
      <c r="S5" s="3535"/>
      <c r="T5" s="3534"/>
      <c r="U5" s="3535"/>
      <c r="V5" s="3552"/>
      <c r="W5" s="3552"/>
      <c r="X5" s="1501"/>
      <c r="Y5" s="3534"/>
      <c r="Z5" s="3535"/>
      <c r="AA5" s="3528"/>
      <c r="AB5" s="3528"/>
      <c r="AC5" s="3528"/>
    </row>
    <row r="6" spans="1:29" ht="15.75" thickBot="1">
      <c r="A6" s="511"/>
      <c r="B6" s="512"/>
      <c r="C6" s="3553" t="s">
        <v>2895</v>
      </c>
      <c r="D6" s="3554"/>
      <c r="E6" s="3557" t="s">
        <v>2895</v>
      </c>
      <c r="F6" s="3558"/>
      <c r="G6" s="3553" t="s">
        <v>2895</v>
      </c>
      <c r="H6" s="3554"/>
      <c r="I6" s="3553" t="s">
        <v>2895</v>
      </c>
      <c r="J6" s="3554"/>
      <c r="K6" s="508" t="s">
        <v>522</v>
      </c>
      <c r="L6" s="2015"/>
      <c r="M6" s="2016"/>
      <c r="N6" s="2016"/>
      <c r="O6" s="2016"/>
      <c r="P6" s="3550"/>
      <c r="Q6" s="3551"/>
      <c r="R6" s="3534"/>
      <c r="S6" s="3535"/>
      <c r="T6" s="3536"/>
      <c r="U6" s="3537"/>
      <c r="V6" s="3552"/>
      <c r="W6" s="3552"/>
      <c r="X6" s="1501"/>
      <c r="Y6" s="3536"/>
      <c r="Z6" s="3537"/>
      <c r="AA6" s="3529"/>
      <c r="AB6" s="3529"/>
      <c r="AC6" s="3529"/>
    </row>
    <row r="7" spans="1:29" s="1202" customFormat="1" ht="15.75" thickBot="1">
      <c r="A7" s="2629"/>
      <c r="B7" s="2636" t="s">
        <v>523</v>
      </c>
      <c r="C7" s="513">
        <f>'数据-取费表'!B2</f>
        <v>44258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30" t="s">
        <v>524</v>
      </c>
      <c r="Q7" s="3539"/>
      <c r="R7" s="1502" t="s">
        <v>8</v>
      </c>
      <c r="S7" s="1503">
        <f t="shared" ref="S7:S14" si="0">F7</f>
        <v>0</v>
      </c>
      <c r="T7" s="1502" t="s">
        <v>8</v>
      </c>
      <c r="U7" s="1503">
        <f t="shared" ref="U7:U14" si="1">H7</f>
        <v>0</v>
      </c>
      <c r="V7" s="1502" t="s">
        <v>8</v>
      </c>
      <c r="W7" s="1503">
        <f t="shared" ref="W7:W14" si="2">J7</f>
        <v>0</v>
      </c>
      <c r="X7" s="1504"/>
      <c r="Y7" s="3530" t="s">
        <v>524</v>
      </c>
      <c r="Z7" s="3531"/>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30" t="s">
        <v>527</v>
      </c>
      <c r="Q8" s="3531"/>
      <c r="R8" s="1502" t="s">
        <v>8</v>
      </c>
      <c r="S8" s="1503">
        <f t="shared" si="0"/>
        <v>0</v>
      </c>
      <c r="T8" s="1502" t="s">
        <v>8</v>
      </c>
      <c r="U8" s="1503">
        <f t="shared" si="1"/>
        <v>0</v>
      </c>
      <c r="V8" s="1502" t="s">
        <v>8</v>
      </c>
      <c r="W8" s="1503">
        <f t="shared" si="2"/>
        <v>0</v>
      </c>
      <c r="X8" s="1504"/>
      <c r="Y8" s="3530" t="s">
        <v>527</v>
      </c>
      <c r="Z8" s="3531"/>
      <c r="AA8" s="1505" t="e">
        <f t="shared" ref="AA8:AA36" si="3">D8/F8</f>
        <v>#DIV/0!</v>
      </c>
      <c r="AB8" s="1505" t="e">
        <f t="shared" ref="AB8:AB36" si="4">D8/H8</f>
        <v>#DIV/0!</v>
      </c>
      <c r="AC8" s="1505" t="e">
        <f t="shared" ref="AC8:AC36" si="5">D8/J8</f>
        <v>#DIV/0!</v>
      </c>
    </row>
    <row r="9" spans="1:29" s="1202"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38" t="s">
        <v>529</v>
      </c>
      <c r="Q9" s="1133" t="str">
        <f t="shared" ref="Q9:Q14" si="6">B9</f>
        <v>用途</v>
      </c>
      <c r="R9" s="1502" t="s">
        <v>8</v>
      </c>
      <c r="S9" s="1503">
        <f t="shared" si="0"/>
        <v>100</v>
      </c>
      <c r="T9" s="1502" t="s">
        <v>8</v>
      </c>
      <c r="U9" s="1503">
        <f t="shared" si="1"/>
        <v>100</v>
      </c>
      <c r="V9" s="1502" t="s">
        <v>8</v>
      </c>
      <c r="W9" s="1503">
        <f t="shared" si="2"/>
        <v>100</v>
      </c>
      <c r="X9" s="1504"/>
      <c r="Y9" s="3489"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38"/>
      <c r="Q10" s="1133" t="str">
        <f t="shared" si="6"/>
        <v>土地使用年限（年）</v>
      </c>
      <c r="R10" s="1502" t="s">
        <v>8</v>
      </c>
      <c r="S10" s="1503">
        <f t="shared" si="0"/>
        <v>100</v>
      </c>
      <c r="T10" s="1502" t="s">
        <v>8</v>
      </c>
      <c r="U10" s="1503">
        <f t="shared" si="1"/>
        <v>100</v>
      </c>
      <c r="V10" s="1502" t="s">
        <v>8</v>
      </c>
      <c r="W10" s="1503">
        <f t="shared" si="2"/>
        <v>100</v>
      </c>
      <c r="X10" s="1504"/>
      <c r="Y10" s="3489"/>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38"/>
      <c r="Q11" s="1133">
        <f t="shared" si="6"/>
        <v>111</v>
      </c>
      <c r="R11" s="1502" t="s">
        <v>8</v>
      </c>
      <c r="S11" s="1503">
        <f t="shared" si="0"/>
        <v>100</v>
      </c>
      <c r="T11" s="1502" t="s">
        <v>8</v>
      </c>
      <c r="U11" s="1503">
        <f t="shared" si="1"/>
        <v>100</v>
      </c>
      <c r="V11" s="1502" t="s">
        <v>8</v>
      </c>
      <c r="W11" s="1503">
        <f t="shared" si="2"/>
        <v>100</v>
      </c>
      <c r="X11" s="1504"/>
      <c r="Y11" s="3489"/>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38"/>
      <c r="Q12" s="1133">
        <f t="shared" si="6"/>
        <v>111</v>
      </c>
      <c r="R12" s="1502" t="s">
        <v>8</v>
      </c>
      <c r="S12" s="1503">
        <f t="shared" si="0"/>
        <v>100</v>
      </c>
      <c r="T12" s="1502" t="s">
        <v>8</v>
      </c>
      <c r="U12" s="1503">
        <f t="shared" si="1"/>
        <v>100</v>
      </c>
      <c r="V12" s="1502" t="s">
        <v>8</v>
      </c>
      <c r="W12" s="1503">
        <f t="shared" si="2"/>
        <v>100</v>
      </c>
      <c r="X12" s="1504"/>
      <c r="Y12" s="3489"/>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38"/>
      <c r="Q13" s="1133">
        <f t="shared" si="6"/>
        <v>111</v>
      </c>
      <c r="R13" s="1502" t="s">
        <v>8</v>
      </c>
      <c r="S13" s="1503">
        <f t="shared" si="0"/>
        <v>100</v>
      </c>
      <c r="T13" s="1502" t="s">
        <v>8</v>
      </c>
      <c r="U13" s="1503">
        <f t="shared" si="1"/>
        <v>100</v>
      </c>
      <c r="V13" s="1502" t="s">
        <v>8</v>
      </c>
      <c r="W13" s="1503">
        <f t="shared" si="2"/>
        <v>100</v>
      </c>
      <c r="X13" s="1504"/>
      <c r="Y13" s="3489"/>
      <c r="Z13" s="1132">
        <f t="shared" si="7"/>
        <v>111</v>
      </c>
      <c r="AA13" s="1505">
        <f t="shared" si="3"/>
        <v>1</v>
      </c>
      <c r="AB13" s="1505">
        <f t="shared" si="4"/>
        <v>1</v>
      </c>
      <c r="AC13" s="1505">
        <f t="shared" si="5"/>
        <v>1</v>
      </c>
    </row>
    <row r="14" spans="1:29" ht="85.5">
      <c r="A14" s="2627" t="s">
        <v>2733</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40" t="s">
        <v>534</v>
      </c>
      <c r="Q14" s="1506" t="str">
        <f t="shared" si="6"/>
        <v>交通便捷度</v>
      </c>
      <c r="R14" s="1507" t="s">
        <v>8</v>
      </c>
      <c r="S14" s="1508">
        <f t="shared" si="0"/>
        <v>100</v>
      </c>
      <c r="T14" s="1507" t="s">
        <v>8</v>
      </c>
      <c r="U14" s="1508">
        <f t="shared" si="1"/>
        <v>100</v>
      </c>
      <c r="V14" s="1507" t="s">
        <v>8</v>
      </c>
      <c r="W14" s="1508">
        <f t="shared" si="2"/>
        <v>100</v>
      </c>
      <c r="X14" s="1501"/>
      <c r="Y14" s="3540"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41"/>
      <c r="Q15" s="1506"/>
      <c r="R15" s="1507"/>
      <c r="S15" s="1508"/>
      <c r="T15" s="1507"/>
      <c r="U15" s="1508"/>
      <c r="V15" s="1507"/>
      <c r="W15" s="1508"/>
      <c r="X15" s="1501"/>
      <c r="Y15" s="3541"/>
      <c r="Z15" s="1509"/>
      <c r="AA15" s="1510">
        <v>1</v>
      </c>
      <c r="AB15" s="1510">
        <v>1</v>
      </c>
      <c r="AC15" s="1510">
        <v>1</v>
      </c>
    </row>
    <row r="16" spans="1:29" ht="42.75">
      <c r="A16" s="509"/>
      <c r="B16" s="2447"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41"/>
      <c r="Q16" s="1506" t="str">
        <f>B16</f>
        <v>公共配套设施</v>
      </c>
      <c r="R16" s="1507" t="s">
        <v>8</v>
      </c>
      <c r="S16" s="1508">
        <f>F16</f>
        <v>100</v>
      </c>
      <c r="T16" s="1507" t="s">
        <v>8</v>
      </c>
      <c r="U16" s="1508">
        <f>H16</f>
        <v>100</v>
      </c>
      <c r="V16" s="1507" t="s">
        <v>8</v>
      </c>
      <c r="W16" s="1508">
        <f>J16</f>
        <v>100</v>
      </c>
      <c r="X16" s="1501"/>
      <c r="Y16" s="3541"/>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41"/>
      <c r="Q17" s="1506"/>
      <c r="R17" s="1507"/>
      <c r="S17" s="1508"/>
      <c r="T17" s="1507"/>
      <c r="U17" s="1508"/>
      <c r="V17" s="1507"/>
      <c r="W17" s="1508"/>
      <c r="X17" s="1501"/>
      <c r="Y17" s="3541"/>
      <c r="Z17" s="1509"/>
      <c r="AA17" s="1510">
        <v>1</v>
      </c>
      <c r="AB17" s="1510">
        <v>1</v>
      </c>
      <c r="AC17" s="1510">
        <v>1</v>
      </c>
    </row>
    <row r="18" spans="1:29" ht="28.5">
      <c r="A18" s="509"/>
      <c r="B18" s="2435"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41"/>
      <c r="Q18" s="2429" t="str">
        <f>B18</f>
        <v>基础设施水平</v>
      </c>
      <c r="R18" s="1507" t="s">
        <v>8</v>
      </c>
      <c r="S18" s="1508">
        <f>F18</f>
        <v>100</v>
      </c>
      <c r="T18" s="1507" t="s">
        <v>8</v>
      </c>
      <c r="U18" s="1508">
        <f>H18</f>
        <v>100</v>
      </c>
      <c r="V18" s="1507" t="s">
        <v>8</v>
      </c>
      <c r="W18" s="1508">
        <f>J18</f>
        <v>100</v>
      </c>
      <c r="X18" s="2431"/>
      <c r="Y18" s="3541"/>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41"/>
      <c r="Q19" s="2429"/>
      <c r="R19" s="1507"/>
      <c r="S19" s="1508"/>
      <c r="T19" s="1507"/>
      <c r="U19" s="1508"/>
      <c r="V19" s="1507"/>
      <c r="W19" s="1508"/>
      <c r="X19" s="2431"/>
      <c r="Y19" s="3541"/>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41"/>
      <c r="Q20" s="1506" t="str">
        <f>B20</f>
        <v>自然及人文环境</v>
      </c>
      <c r="R20" s="1507" t="s">
        <v>8</v>
      </c>
      <c r="S20" s="1508">
        <f>F20</f>
        <v>100</v>
      </c>
      <c r="T20" s="1507" t="s">
        <v>8</v>
      </c>
      <c r="U20" s="1508">
        <f>H20</f>
        <v>100</v>
      </c>
      <c r="V20" s="1507" t="s">
        <v>8</v>
      </c>
      <c r="W20" s="1508">
        <f>J20</f>
        <v>100</v>
      </c>
      <c r="X20" s="1501"/>
      <c r="Y20" s="3541"/>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41"/>
      <c r="Q21" s="1506"/>
      <c r="R21" s="1507"/>
      <c r="S21" s="1508"/>
      <c r="T21" s="1507"/>
      <c r="U21" s="1508"/>
      <c r="V21" s="1507"/>
      <c r="W21" s="1508"/>
      <c r="X21" s="1501"/>
      <c r="Y21" s="3541"/>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1"/>
      <c r="Q22" s="1506" t="str">
        <f>B22</f>
        <v>楼层</v>
      </c>
      <c r="R22" s="1507" t="s">
        <v>8</v>
      </c>
      <c r="S22" s="1508">
        <f>F22</f>
        <v>100</v>
      </c>
      <c r="T22" s="1507" t="s">
        <v>8</v>
      </c>
      <c r="U22" s="1508">
        <f>H22</f>
        <v>100</v>
      </c>
      <c r="V22" s="1507" t="s">
        <v>8</v>
      </c>
      <c r="W22" s="1508">
        <f>J22</f>
        <v>100</v>
      </c>
      <c r="X22" s="1501"/>
      <c r="Y22" s="3541"/>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1"/>
      <c r="Q23" s="1506">
        <f>B23</f>
        <v>111</v>
      </c>
      <c r="R23" s="1507" t="s">
        <v>8</v>
      </c>
      <c r="S23" s="1508">
        <f>F23</f>
        <v>100</v>
      </c>
      <c r="T23" s="1507" t="s">
        <v>8</v>
      </c>
      <c r="U23" s="1508">
        <f>H23</f>
        <v>100</v>
      </c>
      <c r="V23" s="1507" t="s">
        <v>8</v>
      </c>
      <c r="W23" s="1508">
        <f>J23</f>
        <v>100</v>
      </c>
      <c r="X23" s="1501"/>
      <c r="Y23" s="3541"/>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1"/>
      <c r="Q24" s="1506">
        <f t="shared" ref="Q24:Q36" si="11">B24</f>
        <v>111</v>
      </c>
      <c r="R24" s="1507" t="s">
        <v>8</v>
      </c>
      <c r="S24" s="1508">
        <f>F24</f>
        <v>100</v>
      </c>
      <c r="T24" s="1507" t="s">
        <v>8</v>
      </c>
      <c r="U24" s="1508">
        <f>H24</f>
        <v>100</v>
      </c>
      <c r="V24" s="1507" t="s">
        <v>8</v>
      </c>
      <c r="W24" s="1508">
        <f>J24</f>
        <v>100</v>
      </c>
      <c r="X24" s="1501"/>
      <c r="Y24" s="3541"/>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41"/>
      <c r="Q25" s="1133">
        <f t="shared" si="11"/>
        <v>111</v>
      </c>
      <c r="R25" s="1502" t="s">
        <v>8</v>
      </c>
      <c r="S25" s="1503">
        <f>F25</f>
        <v>100</v>
      </c>
      <c r="T25" s="1502" t="s">
        <v>8</v>
      </c>
      <c r="U25" s="1503">
        <f>H25</f>
        <v>100</v>
      </c>
      <c r="V25" s="1502" t="s">
        <v>8</v>
      </c>
      <c r="W25" s="1503">
        <f>J25</f>
        <v>100</v>
      </c>
      <c r="X25" s="1504"/>
      <c r="Y25" s="3541"/>
      <c r="Z25" s="1132">
        <f>Q25</f>
        <v>111</v>
      </c>
      <c r="AA25" s="1510">
        <f>D25/F25</f>
        <v>1</v>
      </c>
      <c r="AB25" s="1510">
        <f>D25/H25</f>
        <v>1</v>
      </c>
      <c r="AC25" s="1510">
        <f>D25/J25</f>
        <v>1</v>
      </c>
    </row>
    <row r="26" spans="1:29" ht="15">
      <c r="A26" s="2624" t="s">
        <v>2734</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2"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43"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43"/>
      <c r="Q27" s="1535" t="str">
        <f t="shared" si="11"/>
        <v>项目停车位配比</v>
      </c>
      <c r="R27" s="1511" t="s">
        <v>8</v>
      </c>
      <c r="S27" s="1512">
        <f t="shared" si="12"/>
        <v>100</v>
      </c>
      <c r="T27" s="1511" t="s">
        <v>8</v>
      </c>
      <c r="U27" s="1512">
        <f t="shared" si="13"/>
        <v>100</v>
      </c>
      <c r="V27" s="1511" t="s">
        <v>8</v>
      </c>
      <c r="W27" s="1512">
        <f t="shared" si="14"/>
        <v>100</v>
      </c>
      <c r="X27" s="1513"/>
      <c r="Y27" s="3543"/>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3"/>
      <c r="Q28" s="1506" t="str">
        <f t="shared" si="11"/>
        <v>公共部分装修</v>
      </c>
      <c r="R28" s="1507" t="s">
        <v>8</v>
      </c>
      <c r="S28" s="1508">
        <f t="shared" si="12"/>
        <v>100</v>
      </c>
      <c r="T28" s="1507" t="s">
        <v>8</v>
      </c>
      <c r="U28" s="1508">
        <f t="shared" si="13"/>
        <v>100</v>
      </c>
      <c r="V28" s="1507" t="s">
        <v>8</v>
      </c>
      <c r="W28" s="1508">
        <f t="shared" si="14"/>
        <v>100</v>
      </c>
      <c r="X28" s="1501"/>
      <c r="Y28" s="3543"/>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43"/>
      <c r="Q29" s="1506" t="str">
        <f t="shared" si="11"/>
        <v>成新率</v>
      </c>
      <c r="R29" s="1507" t="s">
        <v>8</v>
      </c>
      <c r="S29" s="1508" t="e">
        <f t="shared" si="12"/>
        <v>#N/A</v>
      </c>
      <c r="T29" s="1507" t="s">
        <v>8</v>
      </c>
      <c r="U29" s="1508" t="e">
        <f t="shared" si="13"/>
        <v>#N/A</v>
      </c>
      <c r="V29" s="1507" t="s">
        <v>8</v>
      </c>
      <c r="W29" s="1508" t="e">
        <f t="shared" si="14"/>
        <v>#N/A</v>
      </c>
      <c r="X29" s="1501"/>
      <c r="Y29" s="3543"/>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43"/>
      <c r="Q30" s="1506" t="str">
        <f t="shared" si="11"/>
        <v>物业等级</v>
      </c>
      <c r="R30" s="1507" t="s">
        <v>8</v>
      </c>
      <c r="S30" s="1508">
        <f t="shared" si="12"/>
        <v>100</v>
      </c>
      <c r="T30" s="1507" t="s">
        <v>8</v>
      </c>
      <c r="U30" s="1508">
        <f t="shared" si="13"/>
        <v>100</v>
      </c>
      <c r="V30" s="1507" t="s">
        <v>8</v>
      </c>
      <c r="W30" s="1508">
        <f t="shared" si="14"/>
        <v>100</v>
      </c>
      <c r="X30" s="1501"/>
      <c r="Y30" s="3543"/>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43"/>
      <c r="Q31" s="1133" t="str">
        <f t="shared" si="11"/>
        <v>停车位面积</v>
      </c>
      <c r="R31" s="1502" t="s">
        <v>8</v>
      </c>
      <c r="S31" s="1503" t="e">
        <f t="shared" si="12"/>
        <v>#N/A</v>
      </c>
      <c r="T31" s="1502" t="s">
        <v>8</v>
      </c>
      <c r="U31" s="1503" t="e">
        <f t="shared" si="13"/>
        <v>#N/A</v>
      </c>
      <c r="V31" s="1502" t="s">
        <v>8</v>
      </c>
      <c r="W31" s="1503" t="e">
        <f t="shared" si="14"/>
        <v>#N/A</v>
      </c>
      <c r="X31" s="1504"/>
      <c r="Y31" s="3543"/>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3" t="s">
        <v>544</v>
      </c>
      <c r="Q32" s="1506" t="str">
        <f t="shared" si="11"/>
        <v>车位类型</v>
      </c>
      <c r="R32" s="1507" t="s">
        <v>8</v>
      </c>
      <c r="S32" s="1508">
        <f t="shared" si="12"/>
        <v>100</v>
      </c>
      <c r="T32" s="1507" t="s">
        <v>8</v>
      </c>
      <c r="U32" s="1508">
        <f t="shared" si="13"/>
        <v>100</v>
      </c>
      <c r="V32" s="1507" t="s">
        <v>8</v>
      </c>
      <c r="W32" s="1508">
        <f t="shared" si="14"/>
        <v>100</v>
      </c>
      <c r="X32" s="1501"/>
      <c r="Y32" s="3543"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3"/>
      <c r="Q33" s="1506" t="str">
        <f t="shared" si="11"/>
        <v>是否直接入户</v>
      </c>
      <c r="R33" s="1507" t="s">
        <v>8</v>
      </c>
      <c r="S33" s="1508">
        <f t="shared" si="12"/>
        <v>100</v>
      </c>
      <c r="T33" s="1507" t="s">
        <v>8</v>
      </c>
      <c r="U33" s="1508">
        <f t="shared" si="13"/>
        <v>100</v>
      </c>
      <c r="V33" s="1507" t="s">
        <v>8</v>
      </c>
      <c r="W33" s="1508">
        <f t="shared" si="14"/>
        <v>100</v>
      </c>
      <c r="X33" s="1501"/>
      <c r="Y33" s="3543"/>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3"/>
      <c r="Q34" s="1506">
        <f t="shared" si="11"/>
        <v>111</v>
      </c>
      <c r="R34" s="1507" t="s">
        <v>8</v>
      </c>
      <c r="S34" s="1508">
        <f t="shared" si="12"/>
        <v>100</v>
      </c>
      <c r="T34" s="1507" t="s">
        <v>8</v>
      </c>
      <c r="U34" s="1508">
        <f t="shared" si="13"/>
        <v>100</v>
      </c>
      <c r="V34" s="1507" t="s">
        <v>8</v>
      </c>
      <c r="W34" s="1508">
        <f t="shared" si="14"/>
        <v>100</v>
      </c>
      <c r="X34" s="1501"/>
      <c r="Y34" s="3543"/>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3"/>
      <c r="Q35" s="1535">
        <f t="shared" si="11"/>
        <v>111</v>
      </c>
      <c r="R35" s="1511" t="s">
        <v>8</v>
      </c>
      <c r="S35" s="1512">
        <f t="shared" si="12"/>
        <v>100</v>
      </c>
      <c r="T35" s="1511" t="s">
        <v>8</v>
      </c>
      <c r="U35" s="1512">
        <f t="shared" si="13"/>
        <v>100</v>
      </c>
      <c r="V35" s="1511" t="s">
        <v>8</v>
      </c>
      <c r="W35" s="1512">
        <f t="shared" si="14"/>
        <v>100</v>
      </c>
      <c r="X35" s="1513"/>
      <c r="Y35" s="3543"/>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3"/>
      <c r="Q36" s="1506">
        <f t="shared" si="11"/>
        <v>111</v>
      </c>
      <c r="R36" s="1507" t="s">
        <v>8</v>
      </c>
      <c r="S36" s="1508">
        <f t="shared" si="12"/>
        <v>100</v>
      </c>
      <c r="T36" s="1507" t="s">
        <v>8</v>
      </c>
      <c r="U36" s="1508">
        <f t="shared" si="13"/>
        <v>100</v>
      </c>
      <c r="V36" s="1507" t="s">
        <v>8</v>
      </c>
      <c r="W36" s="1508">
        <f t="shared" si="14"/>
        <v>100</v>
      </c>
      <c r="X36" s="1501"/>
      <c r="Y36" s="3543"/>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538" t="str">
        <f>A37</f>
        <v>成交单价</v>
      </c>
      <c r="Q37" s="3538"/>
      <c r="R37" s="3645">
        <f>E37</f>
        <v>0</v>
      </c>
      <c r="S37" s="3645"/>
      <c r="T37" s="3645">
        <f>G37</f>
        <v>0</v>
      </c>
      <c r="U37" s="3645"/>
      <c r="V37" s="3645">
        <f>I37</f>
        <v>0</v>
      </c>
      <c r="W37" s="3645"/>
      <c r="X37" s="1496"/>
      <c r="Y37" s="1515"/>
      <c r="Z37" s="1496"/>
      <c r="AA37" s="1496"/>
      <c r="AB37" s="1496"/>
      <c r="AC37" s="1496"/>
    </row>
    <row r="38" spans="1:29" ht="15.75" thickBot="1">
      <c r="A38" s="609" t="s">
        <v>2739</v>
      </c>
      <c r="B38" s="876"/>
      <c r="C38" s="2476" t="e">
        <f>R39</f>
        <v>#DIV/0!</v>
      </c>
      <c r="D38" s="3014" t="s">
        <v>2965</v>
      </c>
      <c r="E38" s="2477" t="e">
        <f>R38</f>
        <v>#DIV/0!</v>
      </c>
      <c r="F38" s="3015"/>
      <c r="G38" s="2476" t="e">
        <f>T38</f>
        <v>#DIV/0!</v>
      </c>
      <c r="H38" s="3015"/>
      <c r="I38" s="2477" t="e">
        <f>V38</f>
        <v>#DIV/0!</v>
      </c>
      <c r="J38" s="3015"/>
      <c r="K38" s="3023">
        <f>F38+H38+J38</f>
        <v>0</v>
      </c>
      <c r="L38" s="2026"/>
      <c r="M38" s="2027"/>
      <c r="N38" s="2027"/>
      <c r="O38" s="2027"/>
      <c r="P38" s="3538" t="str">
        <f>A38</f>
        <v>比较价格（元/平方米）</v>
      </c>
      <c r="Q38" s="3538"/>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59" t="str">
        <f>A39</f>
        <v>估价对象XX用房的比较价格（楼面单价，元/平方米）</v>
      </c>
      <c r="Q39" s="3560"/>
      <c r="R39" s="3644" t="e">
        <f>IF(F1="售价",ROUND(IF(D38="简单平均",AVERAGE(R38:W38),R38*F38+T38*H38+V38*J38),0),ROUND(IF(D38="简单平均",AVERAGE(R38:V38),R38*F38+T38*H38+V38*J38),1))</f>
        <v>#DIV/0!</v>
      </c>
      <c r="S39" s="3644"/>
      <c r="T39" s="3644"/>
      <c r="U39" s="3644"/>
      <c r="V39" s="3644"/>
      <c r="W39" s="3644"/>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4" t="s">
        <v>792</v>
      </c>
      <c r="D4" s="3545"/>
      <c r="E4" s="3569" t="s">
        <v>793</v>
      </c>
      <c r="F4" s="3570"/>
      <c r="G4" s="3544" t="s">
        <v>794</v>
      </c>
      <c r="H4" s="3545"/>
      <c r="I4" s="3544" t="s">
        <v>795</v>
      </c>
      <c r="J4" s="3545"/>
      <c r="K4" s="508" t="s">
        <v>796</v>
      </c>
      <c r="L4" s="2015"/>
      <c r="M4" s="2016"/>
      <c r="N4" s="2016"/>
      <c r="O4" s="2016"/>
      <c r="P4" s="3546" t="s">
        <v>797</v>
      </c>
      <c r="Q4" s="3547"/>
      <c r="R4" s="3532" t="s">
        <v>793</v>
      </c>
      <c r="S4" s="3533"/>
      <c r="T4" s="3532" t="s">
        <v>794</v>
      </c>
      <c r="U4" s="3533"/>
      <c r="V4" s="3552" t="s">
        <v>795</v>
      </c>
      <c r="W4" s="3552"/>
      <c r="X4" s="1501"/>
      <c r="Y4" s="3532" t="s">
        <v>797</v>
      </c>
      <c r="Z4" s="3533"/>
      <c r="AA4" s="3527" t="s">
        <v>793</v>
      </c>
      <c r="AB4" s="3528" t="s">
        <v>794</v>
      </c>
      <c r="AC4" s="3527" t="s">
        <v>795</v>
      </c>
    </row>
    <row r="5" spans="1:29" ht="15">
      <c r="A5" s="509"/>
      <c r="B5" s="510"/>
      <c r="C5" s="3555" t="s">
        <v>2891</v>
      </c>
      <c r="D5" s="3556"/>
      <c r="E5" s="3571" t="s">
        <v>2892</v>
      </c>
      <c r="F5" s="3572"/>
      <c r="G5" s="3555" t="s">
        <v>2893</v>
      </c>
      <c r="H5" s="3556"/>
      <c r="I5" s="3555" t="s">
        <v>2894</v>
      </c>
      <c r="J5" s="3556"/>
      <c r="K5" s="508"/>
      <c r="L5" s="2015"/>
      <c r="M5" s="2016"/>
      <c r="N5" s="2016"/>
      <c r="O5" s="2016"/>
      <c r="P5" s="3548"/>
      <c r="Q5" s="3549"/>
      <c r="R5" s="3534"/>
      <c r="S5" s="3535"/>
      <c r="T5" s="3534"/>
      <c r="U5" s="3535"/>
      <c r="V5" s="3552"/>
      <c r="W5" s="3552"/>
      <c r="X5" s="1501"/>
      <c r="Y5" s="3534"/>
      <c r="Z5" s="3535"/>
      <c r="AA5" s="3528"/>
      <c r="AB5" s="3528"/>
      <c r="AC5" s="3528"/>
    </row>
    <row r="6" spans="1:29" ht="15.75" thickBot="1">
      <c r="A6" s="511"/>
      <c r="B6" s="512"/>
      <c r="C6" s="3553" t="s">
        <v>2895</v>
      </c>
      <c r="D6" s="3554"/>
      <c r="E6" s="3573" t="s">
        <v>2895</v>
      </c>
      <c r="F6" s="3574"/>
      <c r="G6" s="3553" t="s">
        <v>2895</v>
      </c>
      <c r="H6" s="3554"/>
      <c r="I6" s="3553" t="s">
        <v>2895</v>
      </c>
      <c r="J6" s="3554"/>
      <c r="K6" s="508" t="s">
        <v>522</v>
      </c>
      <c r="L6" s="2015"/>
      <c r="M6" s="2016"/>
      <c r="N6" s="2016"/>
      <c r="O6" s="2016"/>
      <c r="P6" s="3550"/>
      <c r="Q6" s="3551"/>
      <c r="R6" s="3534"/>
      <c r="S6" s="3535"/>
      <c r="T6" s="3536"/>
      <c r="U6" s="3537"/>
      <c r="V6" s="3552"/>
      <c r="W6" s="3552"/>
      <c r="X6" s="1501"/>
      <c r="Y6" s="3536"/>
      <c r="Z6" s="3537"/>
      <c r="AA6" s="3529"/>
      <c r="AB6" s="3529"/>
      <c r="AC6" s="3529"/>
    </row>
    <row r="7" spans="1:29" s="1202" customFormat="1" ht="15.75" thickBot="1">
      <c r="A7" s="2629"/>
      <c r="B7" s="2636" t="s">
        <v>523</v>
      </c>
      <c r="C7" s="513">
        <f>'数据-取费表'!B2</f>
        <v>44258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30" t="s">
        <v>524</v>
      </c>
      <c r="Q7" s="3539"/>
      <c r="R7" s="1502" t="s">
        <v>8</v>
      </c>
      <c r="S7" s="1503">
        <f t="shared" ref="S7:S14" si="0">F7</f>
        <v>0</v>
      </c>
      <c r="T7" s="1502" t="s">
        <v>8</v>
      </c>
      <c r="U7" s="1503">
        <f t="shared" ref="U7:U14" si="1">H7</f>
        <v>0</v>
      </c>
      <c r="V7" s="1502" t="s">
        <v>8</v>
      </c>
      <c r="W7" s="1503">
        <f t="shared" ref="W7:W14" si="2">J7</f>
        <v>0</v>
      </c>
      <c r="X7" s="1504"/>
      <c r="Y7" s="3530" t="s">
        <v>524</v>
      </c>
      <c r="Z7" s="3531"/>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30" t="s">
        <v>527</v>
      </c>
      <c r="Q8" s="3531"/>
      <c r="R8" s="1502" t="s">
        <v>8</v>
      </c>
      <c r="S8" s="1503">
        <f t="shared" si="0"/>
        <v>0</v>
      </c>
      <c r="T8" s="1502" t="s">
        <v>8</v>
      </c>
      <c r="U8" s="1503">
        <f t="shared" si="1"/>
        <v>0</v>
      </c>
      <c r="V8" s="1502" t="s">
        <v>8</v>
      </c>
      <c r="W8" s="1503">
        <f t="shared" si="2"/>
        <v>0</v>
      </c>
      <c r="X8" s="1504"/>
      <c r="Y8" s="3530" t="s">
        <v>527</v>
      </c>
      <c r="Z8" s="3531"/>
      <c r="AA8" s="1505" t="e">
        <f t="shared" ref="AA8:AA34" si="3">D8/F8</f>
        <v>#DIV/0!</v>
      </c>
      <c r="AB8" s="1505" t="e">
        <f t="shared" ref="AB8:AB34" si="4">D8/H8</f>
        <v>#DIV/0!</v>
      </c>
      <c r="AC8" s="1505" t="e">
        <f t="shared" ref="AC8:AC34" si="5">D8/J8</f>
        <v>#DIV/0!</v>
      </c>
    </row>
    <row r="9" spans="1:29" s="1202"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38" t="s">
        <v>529</v>
      </c>
      <c r="Q9" s="1133" t="str">
        <f t="shared" ref="Q9:Q14" si="6">B9</f>
        <v>用途</v>
      </c>
      <c r="R9" s="1502" t="s">
        <v>8</v>
      </c>
      <c r="S9" s="1503">
        <f t="shared" si="0"/>
        <v>100</v>
      </c>
      <c r="T9" s="1502" t="s">
        <v>8</v>
      </c>
      <c r="U9" s="1503">
        <f t="shared" si="1"/>
        <v>100</v>
      </c>
      <c r="V9" s="1502" t="s">
        <v>8</v>
      </c>
      <c r="W9" s="1503">
        <f t="shared" si="2"/>
        <v>100</v>
      </c>
      <c r="X9" s="1504"/>
      <c r="Y9" s="3489"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38"/>
      <c r="Q10" s="1133" t="str">
        <f t="shared" si="6"/>
        <v>土地使用年限（年）</v>
      </c>
      <c r="R10" s="1502" t="s">
        <v>8</v>
      </c>
      <c r="S10" s="1503">
        <f t="shared" si="0"/>
        <v>100</v>
      </c>
      <c r="T10" s="1502" t="s">
        <v>8</v>
      </c>
      <c r="U10" s="1503">
        <f t="shared" si="1"/>
        <v>100</v>
      </c>
      <c r="V10" s="1502" t="s">
        <v>8</v>
      </c>
      <c r="W10" s="1503">
        <f t="shared" si="2"/>
        <v>100</v>
      </c>
      <c r="X10" s="1504"/>
      <c r="Y10" s="3489"/>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38"/>
      <c r="Q11" s="1133">
        <f t="shared" si="6"/>
        <v>111</v>
      </c>
      <c r="R11" s="1502" t="s">
        <v>8</v>
      </c>
      <c r="S11" s="1503">
        <f t="shared" si="0"/>
        <v>100</v>
      </c>
      <c r="T11" s="1502" t="s">
        <v>8</v>
      </c>
      <c r="U11" s="1503">
        <f t="shared" si="1"/>
        <v>100</v>
      </c>
      <c r="V11" s="1502" t="s">
        <v>8</v>
      </c>
      <c r="W11" s="1503">
        <f t="shared" si="2"/>
        <v>100</v>
      </c>
      <c r="X11" s="1504"/>
      <c r="Y11" s="3489"/>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38"/>
      <c r="Q12" s="1133">
        <f t="shared" si="6"/>
        <v>111</v>
      </c>
      <c r="R12" s="1502" t="s">
        <v>8</v>
      </c>
      <c r="S12" s="1503">
        <f t="shared" si="0"/>
        <v>100</v>
      </c>
      <c r="T12" s="1502" t="s">
        <v>8</v>
      </c>
      <c r="U12" s="1503">
        <f t="shared" si="1"/>
        <v>100</v>
      </c>
      <c r="V12" s="1502" t="s">
        <v>8</v>
      </c>
      <c r="W12" s="1503">
        <f t="shared" si="2"/>
        <v>100</v>
      </c>
      <c r="X12" s="1504"/>
      <c r="Y12" s="3489"/>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38"/>
      <c r="Q13" s="1133">
        <f t="shared" si="6"/>
        <v>111</v>
      </c>
      <c r="R13" s="1502" t="s">
        <v>8</v>
      </c>
      <c r="S13" s="1503">
        <f t="shared" si="0"/>
        <v>100</v>
      </c>
      <c r="T13" s="1502" t="s">
        <v>8</v>
      </c>
      <c r="U13" s="1503">
        <f t="shared" si="1"/>
        <v>100</v>
      </c>
      <c r="V13" s="1502" t="s">
        <v>8</v>
      </c>
      <c r="W13" s="1503">
        <f t="shared" si="2"/>
        <v>100</v>
      </c>
      <c r="X13" s="1504"/>
      <c r="Y13" s="3489"/>
      <c r="Z13" s="1132">
        <f t="shared" si="7"/>
        <v>111</v>
      </c>
      <c r="AA13" s="1505">
        <f t="shared" si="3"/>
        <v>1</v>
      </c>
      <c r="AB13" s="1505">
        <f t="shared" si="4"/>
        <v>1</v>
      </c>
      <c r="AC13" s="1505">
        <f t="shared" si="5"/>
        <v>1</v>
      </c>
    </row>
    <row r="14" spans="1:29" ht="85.5">
      <c r="A14" s="2627" t="s">
        <v>2733</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40" t="s">
        <v>534</v>
      </c>
      <c r="Q14" s="1506" t="str">
        <f t="shared" si="6"/>
        <v>交通便捷度</v>
      </c>
      <c r="R14" s="1507" t="s">
        <v>8</v>
      </c>
      <c r="S14" s="1508">
        <f t="shared" si="0"/>
        <v>100</v>
      </c>
      <c r="T14" s="1507" t="s">
        <v>8</v>
      </c>
      <c r="U14" s="1508">
        <f t="shared" si="1"/>
        <v>100</v>
      </c>
      <c r="V14" s="1507" t="s">
        <v>8</v>
      </c>
      <c r="W14" s="1508">
        <f t="shared" si="2"/>
        <v>100</v>
      </c>
      <c r="X14" s="1501"/>
      <c r="Y14" s="3540"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41"/>
      <c r="Q15" s="1506"/>
      <c r="R15" s="1507"/>
      <c r="S15" s="1508"/>
      <c r="T15" s="1507"/>
      <c r="U15" s="1508"/>
      <c r="V15" s="1507"/>
      <c r="W15" s="1508"/>
      <c r="X15" s="1501"/>
      <c r="Y15" s="3541"/>
      <c r="Z15" s="1509"/>
      <c r="AA15" s="1510">
        <v>1</v>
      </c>
      <c r="AB15" s="1510">
        <v>1</v>
      </c>
      <c r="AC15" s="1510">
        <v>1</v>
      </c>
    </row>
    <row r="16" spans="1:29" ht="42.75">
      <c r="A16" s="526"/>
      <c r="B16" s="2447"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41"/>
      <c r="Q16" s="1506" t="str">
        <f>B16</f>
        <v>公共配套设施</v>
      </c>
      <c r="R16" s="1507" t="s">
        <v>8</v>
      </c>
      <c r="S16" s="1508">
        <f>F16</f>
        <v>100</v>
      </c>
      <c r="T16" s="1507" t="s">
        <v>8</v>
      </c>
      <c r="U16" s="1508">
        <f>H16</f>
        <v>100</v>
      </c>
      <c r="V16" s="1507" t="s">
        <v>8</v>
      </c>
      <c r="W16" s="1508">
        <f>J16</f>
        <v>100</v>
      </c>
      <c r="X16" s="1501"/>
      <c r="Y16" s="3541"/>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41"/>
      <c r="Q17" s="1506"/>
      <c r="R17" s="1507"/>
      <c r="S17" s="1508"/>
      <c r="T17" s="1507"/>
      <c r="U17" s="1508"/>
      <c r="V17" s="1507"/>
      <c r="W17" s="1508"/>
      <c r="X17" s="1501"/>
      <c r="Y17" s="3541"/>
      <c r="Z17" s="1509"/>
      <c r="AA17" s="1510">
        <v>1</v>
      </c>
      <c r="AB17" s="1510">
        <v>1</v>
      </c>
      <c r="AC17" s="1510">
        <v>1</v>
      </c>
    </row>
    <row r="18" spans="1:29" ht="28.5">
      <c r="A18" s="526"/>
      <c r="B18" s="2435"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41"/>
      <c r="Q18" s="2429" t="str">
        <f>B18</f>
        <v>基础设施水平</v>
      </c>
      <c r="R18" s="1507" t="s">
        <v>8</v>
      </c>
      <c r="S18" s="1508">
        <f>F18</f>
        <v>100</v>
      </c>
      <c r="T18" s="1507" t="s">
        <v>8</v>
      </c>
      <c r="U18" s="1508">
        <f>H18</f>
        <v>100</v>
      </c>
      <c r="V18" s="1507" t="s">
        <v>8</v>
      </c>
      <c r="W18" s="1508">
        <f>J18</f>
        <v>100</v>
      </c>
      <c r="X18" s="2431"/>
      <c r="Y18" s="3541"/>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41"/>
      <c r="Q19" s="2429"/>
      <c r="R19" s="1507"/>
      <c r="S19" s="1508"/>
      <c r="T19" s="1507"/>
      <c r="U19" s="1508"/>
      <c r="V19" s="1507"/>
      <c r="W19" s="1508"/>
      <c r="X19" s="2431"/>
      <c r="Y19" s="3541"/>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41"/>
      <c r="Q20" s="1506" t="str">
        <f>B20</f>
        <v>自然及人文环境</v>
      </c>
      <c r="R20" s="1507" t="s">
        <v>8</v>
      </c>
      <c r="S20" s="1508">
        <f>F20</f>
        <v>100</v>
      </c>
      <c r="T20" s="1507" t="s">
        <v>8</v>
      </c>
      <c r="U20" s="1508">
        <f>H20</f>
        <v>100</v>
      </c>
      <c r="V20" s="1507" t="s">
        <v>8</v>
      </c>
      <c r="W20" s="1508">
        <f>J20</f>
        <v>100</v>
      </c>
      <c r="X20" s="1501"/>
      <c r="Y20" s="3541"/>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41"/>
      <c r="Q21" s="1506"/>
      <c r="R21" s="1507"/>
      <c r="S21" s="1508"/>
      <c r="T21" s="1507"/>
      <c r="U21" s="1508"/>
      <c r="V21" s="1507"/>
      <c r="W21" s="1508"/>
      <c r="X21" s="1501"/>
      <c r="Y21" s="3541"/>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1"/>
      <c r="Q22" s="1506" t="str">
        <f>B22</f>
        <v>楼层</v>
      </c>
      <c r="R22" s="1507" t="s">
        <v>8</v>
      </c>
      <c r="S22" s="1508">
        <f>F22</f>
        <v>100</v>
      </c>
      <c r="T22" s="1507" t="s">
        <v>8</v>
      </c>
      <c r="U22" s="1508">
        <f>H22</f>
        <v>100</v>
      </c>
      <c r="V22" s="1507" t="s">
        <v>8</v>
      </c>
      <c r="W22" s="1508">
        <f>J22</f>
        <v>100</v>
      </c>
      <c r="X22" s="1501"/>
      <c r="Y22" s="3541"/>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1"/>
      <c r="Q23" s="1506">
        <f>B23</f>
        <v>111</v>
      </c>
      <c r="R23" s="1507" t="s">
        <v>8</v>
      </c>
      <c r="S23" s="1508">
        <f>F23</f>
        <v>100</v>
      </c>
      <c r="T23" s="1507" t="s">
        <v>8</v>
      </c>
      <c r="U23" s="1508">
        <f>H23</f>
        <v>100</v>
      </c>
      <c r="V23" s="1507" t="s">
        <v>8</v>
      </c>
      <c r="W23" s="1508">
        <f>J23</f>
        <v>100</v>
      </c>
      <c r="X23" s="1501"/>
      <c r="Y23" s="3541"/>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1"/>
      <c r="Q24" s="1506">
        <f t="shared" ref="Q24:Q34" si="11">B24</f>
        <v>111</v>
      </c>
      <c r="R24" s="1507" t="s">
        <v>8</v>
      </c>
      <c r="S24" s="1508">
        <f>F24</f>
        <v>100</v>
      </c>
      <c r="T24" s="1507" t="s">
        <v>8</v>
      </c>
      <c r="U24" s="1508">
        <f>H24</f>
        <v>100</v>
      </c>
      <c r="V24" s="1507" t="s">
        <v>8</v>
      </c>
      <c r="W24" s="1508">
        <f>J24</f>
        <v>100</v>
      </c>
      <c r="X24" s="1501"/>
      <c r="Y24" s="3541"/>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41"/>
      <c r="Q25" s="1133">
        <f t="shared" si="11"/>
        <v>111</v>
      </c>
      <c r="R25" s="1502" t="s">
        <v>8</v>
      </c>
      <c r="S25" s="1503">
        <f>F25</f>
        <v>100</v>
      </c>
      <c r="T25" s="1502" t="s">
        <v>8</v>
      </c>
      <c r="U25" s="1503">
        <f>H25</f>
        <v>100</v>
      </c>
      <c r="V25" s="1502" t="s">
        <v>8</v>
      </c>
      <c r="W25" s="1503">
        <f>J25</f>
        <v>100</v>
      </c>
      <c r="X25" s="1504"/>
      <c r="Y25" s="3541"/>
      <c r="Z25" s="1132">
        <f>Q25</f>
        <v>111</v>
      </c>
      <c r="AA25" s="1510">
        <f>D25/F25</f>
        <v>1</v>
      </c>
      <c r="AB25" s="1510">
        <f>D25/H25</f>
        <v>1</v>
      </c>
      <c r="AC25" s="1510">
        <f>D25/J25</f>
        <v>1</v>
      </c>
    </row>
    <row r="26" spans="1:29" ht="15">
      <c r="A26" s="2624" t="s">
        <v>2734</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42"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43"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43"/>
      <c r="Q27" s="1535" t="str">
        <f t="shared" si="11"/>
        <v>成新率</v>
      </c>
      <c r="R27" s="1511" t="s">
        <v>8</v>
      </c>
      <c r="S27" s="1512" t="e">
        <f t="shared" si="12"/>
        <v>#N/A</v>
      </c>
      <c r="T27" s="1511" t="s">
        <v>8</v>
      </c>
      <c r="U27" s="1512" t="e">
        <f t="shared" si="13"/>
        <v>#N/A</v>
      </c>
      <c r="V27" s="1511" t="s">
        <v>8</v>
      </c>
      <c r="W27" s="1512" t="e">
        <f t="shared" si="14"/>
        <v>#N/A</v>
      </c>
      <c r="X27" s="1513"/>
      <c r="Y27" s="3543"/>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3"/>
      <c r="Q28" s="1506" t="str">
        <f t="shared" si="11"/>
        <v>物业等级</v>
      </c>
      <c r="R28" s="1507" t="s">
        <v>8</v>
      </c>
      <c r="S28" s="1508">
        <f t="shared" si="12"/>
        <v>100</v>
      </c>
      <c r="T28" s="1507" t="s">
        <v>8</v>
      </c>
      <c r="U28" s="1508">
        <f t="shared" si="13"/>
        <v>100</v>
      </c>
      <c r="V28" s="1507" t="s">
        <v>8</v>
      </c>
      <c r="W28" s="1508">
        <f t="shared" si="14"/>
        <v>100</v>
      </c>
      <c r="X28" s="1501"/>
      <c r="Y28" s="3543"/>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43"/>
      <c r="Q29" s="1506" t="str">
        <f t="shared" si="11"/>
        <v>有无电梯</v>
      </c>
      <c r="R29" s="1507" t="s">
        <v>8</v>
      </c>
      <c r="S29" s="1508">
        <f t="shared" si="12"/>
        <v>100</v>
      </c>
      <c r="T29" s="1507" t="s">
        <v>8</v>
      </c>
      <c r="U29" s="1508">
        <f t="shared" si="13"/>
        <v>100</v>
      </c>
      <c r="V29" s="1507" t="s">
        <v>8</v>
      </c>
      <c r="W29" s="1508">
        <f t="shared" si="14"/>
        <v>100</v>
      </c>
      <c r="X29" s="1501"/>
      <c r="Y29" s="3543"/>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43"/>
      <c r="Q30" s="1506" t="str">
        <f t="shared" si="11"/>
        <v>建筑面积</v>
      </c>
      <c r="R30" s="1507" t="s">
        <v>8</v>
      </c>
      <c r="S30" s="1508" t="e">
        <f t="shared" si="12"/>
        <v>#N/A</v>
      </c>
      <c r="T30" s="1507" t="s">
        <v>8</v>
      </c>
      <c r="U30" s="1508" t="e">
        <f t="shared" si="13"/>
        <v>#N/A</v>
      </c>
      <c r="V30" s="1507" t="s">
        <v>8</v>
      </c>
      <c r="W30" s="1508" t="e">
        <f t="shared" si="14"/>
        <v>#N/A</v>
      </c>
      <c r="X30" s="1501"/>
      <c r="Y30" s="3543"/>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43"/>
      <c r="Q31" s="1133" t="str">
        <f t="shared" si="11"/>
        <v>是否封闭</v>
      </c>
      <c r="R31" s="1502" t="s">
        <v>8</v>
      </c>
      <c r="S31" s="1503">
        <f t="shared" si="12"/>
        <v>100</v>
      </c>
      <c r="T31" s="1502" t="s">
        <v>8</v>
      </c>
      <c r="U31" s="1503">
        <f t="shared" si="13"/>
        <v>100</v>
      </c>
      <c r="V31" s="1502" t="s">
        <v>8</v>
      </c>
      <c r="W31" s="1503">
        <f t="shared" si="14"/>
        <v>100</v>
      </c>
      <c r="X31" s="1504"/>
      <c r="Y31" s="3543"/>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43" t="s">
        <v>544</v>
      </c>
      <c r="Q32" s="1506">
        <f t="shared" si="11"/>
        <v>111</v>
      </c>
      <c r="R32" s="1507" t="s">
        <v>8</v>
      </c>
      <c r="S32" s="1508">
        <f t="shared" si="12"/>
        <v>100</v>
      </c>
      <c r="T32" s="1507" t="s">
        <v>8</v>
      </c>
      <c r="U32" s="1508">
        <f t="shared" si="13"/>
        <v>100</v>
      </c>
      <c r="V32" s="1507" t="s">
        <v>8</v>
      </c>
      <c r="W32" s="1508">
        <f t="shared" si="14"/>
        <v>100</v>
      </c>
      <c r="X32" s="1501"/>
      <c r="Y32" s="3543"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43"/>
      <c r="Q33" s="1506">
        <f t="shared" si="11"/>
        <v>111</v>
      </c>
      <c r="R33" s="1507" t="s">
        <v>8</v>
      </c>
      <c r="S33" s="1508">
        <f t="shared" si="12"/>
        <v>100</v>
      </c>
      <c r="T33" s="1507" t="s">
        <v>8</v>
      </c>
      <c r="U33" s="1508">
        <f t="shared" si="13"/>
        <v>100</v>
      </c>
      <c r="V33" s="1507" t="s">
        <v>8</v>
      </c>
      <c r="W33" s="1508">
        <f t="shared" si="14"/>
        <v>100</v>
      </c>
      <c r="X33" s="1501"/>
      <c r="Y33" s="3543"/>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43"/>
      <c r="Q34" s="1506">
        <f t="shared" si="11"/>
        <v>111</v>
      </c>
      <c r="R34" s="1507" t="s">
        <v>8</v>
      </c>
      <c r="S34" s="1508">
        <f t="shared" si="12"/>
        <v>100</v>
      </c>
      <c r="T34" s="1507" t="s">
        <v>8</v>
      </c>
      <c r="U34" s="1508">
        <f t="shared" si="13"/>
        <v>100</v>
      </c>
      <c r="V34" s="1507" t="s">
        <v>8</v>
      </c>
      <c r="W34" s="1508">
        <f t="shared" si="14"/>
        <v>100</v>
      </c>
      <c r="X34" s="1501"/>
      <c r="Y34" s="3543"/>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38" t="str">
        <f>A35</f>
        <v>成交单价（元/平方米）</v>
      </c>
      <c r="Q35" s="3538"/>
      <c r="R35" s="3645">
        <f>E35</f>
        <v>0</v>
      </c>
      <c r="S35" s="3645"/>
      <c r="T35" s="3645">
        <f>G35</f>
        <v>0</v>
      </c>
      <c r="U35" s="3645"/>
      <c r="V35" s="3645">
        <f>I35</f>
        <v>0</v>
      </c>
      <c r="W35" s="3645"/>
      <c r="X35" s="1496"/>
      <c r="Y35" s="1515"/>
      <c r="Z35" s="1496"/>
      <c r="AA35" s="1496"/>
      <c r="AB35" s="1496"/>
      <c r="AC35" s="1496"/>
    </row>
    <row r="36" spans="1:29" ht="15.75" thickBot="1">
      <c r="A36" s="609" t="s">
        <v>2739</v>
      </c>
      <c r="B36" s="876"/>
      <c r="C36" s="2476" t="e">
        <f>R37</f>
        <v>#DIV/0!</v>
      </c>
      <c r="D36" s="3014" t="s">
        <v>2966</v>
      </c>
      <c r="E36" s="2477" t="e">
        <f>R36</f>
        <v>#DIV/0!</v>
      </c>
      <c r="F36" s="3015"/>
      <c r="G36" s="2476" t="e">
        <f>T36</f>
        <v>#DIV/0!</v>
      </c>
      <c r="H36" s="3015"/>
      <c r="I36" s="2477" t="e">
        <f>V36</f>
        <v>#DIV/0!</v>
      </c>
      <c r="J36" s="3015"/>
      <c r="K36" s="3023">
        <f>F36+H36+J36</f>
        <v>0</v>
      </c>
      <c r="L36" s="2026"/>
      <c r="M36" s="2027"/>
      <c r="N36" s="2016"/>
      <c r="O36" s="2027"/>
      <c r="P36" s="3538" t="str">
        <f>A36</f>
        <v>比较价格（元/平方米）</v>
      </c>
      <c r="Q36" s="3538"/>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59" t="str">
        <f>A37</f>
        <v>估价对象XX用房的比较价格（楼面单价，元/平方米）</v>
      </c>
      <c r="Q37" s="3560"/>
      <c r="R37" s="3644" t="e">
        <f>IF(F1="售价",ROUND(IF(D36="简单平均",AVERAGE(R36:W36),R36*F36+T36*H36+V36*J36),0),ROUND(IF(D36="简单平均",AVERAGE(R36:V36),R36*F36+T36*H36+V36*J36),1))</f>
        <v>#DIV/0!</v>
      </c>
      <c r="S37" s="3644"/>
      <c r="T37" s="3644"/>
      <c r="U37" s="3644"/>
      <c r="V37" s="3644"/>
      <c r="W37" s="3644"/>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J1" zoomScale="80" zoomScaleNormal="80" workbookViewId="0">
      <pane ySplit="24" topLeftCell="A25" activePane="bottomLeft" state="frozen"/>
      <selection pane="bottomLeft" activeCell="V32" sqref="V32"/>
    </sheetView>
  </sheetViews>
  <sheetFormatPr defaultColWidth="9" defaultRowHeight="12.75"/>
  <cols>
    <col min="1" max="1" width="11.5" style="1203" customWidth="1"/>
    <col min="2" max="2" width="9.25" style="1200" customWidth="1"/>
    <col min="3" max="3" width="7.625" style="1200" customWidth="1"/>
    <col min="4" max="4" width="9" style="1200"/>
    <col min="5" max="5" width="6.7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654" t="s">
        <v>2291</v>
      </c>
      <c r="D1" s="3655"/>
      <c r="E1" s="3655"/>
      <c r="F1" s="3655"/>
      <c r="G1" s="3655"/>
      <c r="H1" s="3655"/>
      <c r="I1" s="3655"/>
      <c r="J1" s="3655"/>
      <c r="K1" s="3655"/>
      <c r="L1" s="3655"/>
      <c r="M1" s="3655"/>
      <c r="N1" s="3655"/>
      <c r="O1" s="3655"/>
      <c r="P1" s="3655"/>
      <c r="Q1" s="3655"/>
      <c r="R1" s="3655"/>
      <c r="S1" s="3656"/>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25.5">
      <c r="A2" s="2115"/>
      <c r="B2" s="2860" t="s">
        <v>2293</v>
      </c>
      <c r="C2" s="937" t="str">
        <f t="shared" ref="C2:L2" si="0">C3&amp;"(含)"&amp;"-"&amp;D3</f>
        <v>0(含)-500000</v>
      </c>
      <c r="D2" s="938" t="str">
        <f t="shared" si="0"/>
        <v>500000(含)-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v>500000</v>
      </c>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3345" t="s">
        <v>3165</v>
      </c>
      <c r="C5" s="3344"/>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2890</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2889</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2888</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2887</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f>系统读取表!C14</f>
        <v>54426.77</v>
      </c>
      <c r="D17" s="2160">
        <f>系统读取表!C15</f>
        <v>0</v>
      </c>
      <c r="E17" s="2160">
        <f>系统读取表!C16</f>
        <v>56190.86</v>
      </c>
      <c r="F17" s="2160">
        <f>系统读取表!C17</f>
        <v>37823.839999999997</v>
      </c>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v>100</v>
      </c>
      <c r="D18" s="2172"/>
      <c r="E18" s="2172">
        <v>100</v>
      </c>
      <c r="F18" s="2172">
        <v>98</v>
      </c>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84622</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f ca="1">R22</f>
        <v>2280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371103.67</v>
      </c>
      <c r="C22" s="3651" t="s">
        <v>20</v>
      </c>
      <c r="D22" s="3652"/>
      <c r="E22" s="3652"/>
      <c r="F22" s="3652"/>
      <c r="G22" s="3652"/>
      <c r="H22" s="3652"/>
      <c r="I22" s="3652"/>
      <c r="J22" s="3652"/>
      <c r="K22" s="3652"/>
      <c r="L22" s="3652"/>
      <c r="M22" s="3652"/>
      <c r="N22" s="3652"/>
      <c r="O22" s="3652"/>
      <c r="P22" s="3652"/>
      <c r="Q22" s="3653"/>
      <c r="R22" s="484">
        <f ca="1">ROUND(S22*10000/B22,0)</f>
        <v>2280</v>
      </c>
      <c r="S22" s="53">
        <f ca="1">SUM(S24:S10000)</f>
        <v>84622</v>
      </c>
    </row>
    <row r="23" spans="1:45" s="1542" customFormat="1" ht="24">
      <c r="A23" s="17" t="s">
        <v>824</v>
      </c>
      <c r="B23" s="2861" t="s">
        <v>2909</v>
      </c>
      <c r="C23" s="17" t="s">
        <v>825</v>
      </c>
      <c r="D23" s="17" t="str">
        <f>B5</f>
        <v>土地面积</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v>23</v>
      </c>
      <c r="B24" s="948">
        <f>系统读取表!B14</f>
        <v>136066.92000000001</v>
      </c>
      <c r="C24" s="3276">
        <v>1</v>
      </c>
      <c r="D24" s="3277"/>
      <c r="E24" s="3276">
        <v>1</v>
      </c>
      <c r="F24" s="3277"/>
      <c r="G24" s="3276">
        <v>1</v>
      </c>
      <c r="H24" s="3277"/>
      <c r="I24" s="3276">
        <v>1</v>
      </c>
      <c r="J24" s="3277"/>
      <c r="K24" s="3276">
        <v>1</v>
      </c>
      <c r="L24" s="3277"/>
      <c r="M24" s="3276">
        <v>1</v>
      </c>
      <c r="N24" s="3277"/>
      <c r="O24" s="3276">
        <v>1</v>
      </c>
      <c r="P24" s="3277">
        <v>54426.77</v>
      </c>
      <c r="Q24" s="3276">
        <v>1</v>
      </c>
      <c r="R24" s="951">
        <f ca="1">结果表!G20</f>
        <v>2292</v>
      </c>
      <c r="S24" s="949">
        <f t="shared" ref="S24:S54" ca="1" si="11">ROUND(R24*B24/10000,0)</f>
        <v>31187</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0</v>
      </c>
      <c r="R25" s="484">
        <f>IF(B25="",0,ROUND($R$24*C25*E25*G25*I25*K25*M25*O25*Q25,0))</f>
        <v>0</v>
      </c>
      <c r="S25" s="789">
        <f t="shared" si="11"/>
        <v>0</v>
      </c>
    </row>
    <row r="26" spans="1:45">
      <c r="A26" s="952">
        <v>24</v>
      </c>
      <c r="B26" s="136">
        <f>系统读取表!B16</f>
        <v>140477.15</v>
      </c>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v>56190.86</v>
      </c>
      <c r="Q26" s="53">
        <f t="shared" ref="Q26:Q89" si="19">(SUMIF($17:$17,P26,$18:$18)-SUMIF($17:$17,$P$24,$18:$18)+100)/100</f>
        <v>1</v>
      </c>
      <c r="R26" s="484">
        <f t="shared" ref="R26:R89" ca="1" si="20">IF(B26="",0,ROUND($R$24*C26*E26*G26*I26*K26*M26*O26*Q26,0))</f>
        <v>2292</v>
      </c>
      <c r="S26" s="789">
        <f t="shared" ca="1" si="11"/>
        <v>32197</v>
      </c>
    </row>
    <row r="27" spans="1:45">
      <c r="A27" s="952">
        <v>27</v>
      </c>
      <c r="B27" s="136">
        <f>系统读取表!B17</f>
        <v>94559.599999999991</v>
      </c>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v>37823.839999999997</v>
      </c>
      <c r="Q27" s="53">
        <f t="shared" si="19"/>
        <v>0.98</v>
      </c>
      <c r="R27" s="484">
        <f t="shared" ca="1" si="20"/>
        <v>2246</v>
      </c>
      <c r="S27" s="789">
        <f t="shared" ca="1" si="11"/>
        <v>21238</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0</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0</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0</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0</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0</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0</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0</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0</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0</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0</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0</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0</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0</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0</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0</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0</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0</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0</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0</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0</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0</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0</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0</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0</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0</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0</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0</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0</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0</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0</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0</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0</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0</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0</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0</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0</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0</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0</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0</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0</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0</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0</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0</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0</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0</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0</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0</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0</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0</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0</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0</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0</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0</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0</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0</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0</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0</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0</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0</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0</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0</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0</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0</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0</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0</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0</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0</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0</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0</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0</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0</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0</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0</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0</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0</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0</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0</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0</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0</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0</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0</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0</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0</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0</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0</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0</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0</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0</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0</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0</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0</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0</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0</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0</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0</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0</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0</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0</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0</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0</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0</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0</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0</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0</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0</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0</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0</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0</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0</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0</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0</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0</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0</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0</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0</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0</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0</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0</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0</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0</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0</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0</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0</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0</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0</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0</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0</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0</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0</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0</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0</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0</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0</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0</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0</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0</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0</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0</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0</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0</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0</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0</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0</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0</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0</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0</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0</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0</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0</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0</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0</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0</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0</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0</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0</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0</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0</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0</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0</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0</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0</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0</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0</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0</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0</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0</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0</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0</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0</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0</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0</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0</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0</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0</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0</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0</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0</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0</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0</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0</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0</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0</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0</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0</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0</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0</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0</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0</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0</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0</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0</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0</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0</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0</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0</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0</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0</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0</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0</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0</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0</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0</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0</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0</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0</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0</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0</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0</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0</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0</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0</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0</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0</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0</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0</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0</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0</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0</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0</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0</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0</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0</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0</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0</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0</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0</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0</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0</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0</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0</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0</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0</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0</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0</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0</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0</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0</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0</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0</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0</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0</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0</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0</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0</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0</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0</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0</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0</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0</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0</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0</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0</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0</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0</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0</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0</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0</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0</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0</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0</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0</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0</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0</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0</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0</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0</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0</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0</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0</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0</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0</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0</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0</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0</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0</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0</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0</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0</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0</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0</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0</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0</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0</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0</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0</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0</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0</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0</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0</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0</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0</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0</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0</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0</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0</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0</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0</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0</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0</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0</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0</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0</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0</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0</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0</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0</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0</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0</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0</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0</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0</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0</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0</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0</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0</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0</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0</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0</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0</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0</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0</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0</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0</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0</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0</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0</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0</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0</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0</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0</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0</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0</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0</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0</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0</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0</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0</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0</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0</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0</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0</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0</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0</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0</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0</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0</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0</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0</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0</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0</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0</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0</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0</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0</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0</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0</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0</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0</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0</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0</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0</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0</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0</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0</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0</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0</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0</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0</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0</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0</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0</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0</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0</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0</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0</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0</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0</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0</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0</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0</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0</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0</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0</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0</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0</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0</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0</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0</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0</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0</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0</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0</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0</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0</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0</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0</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0</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0</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0</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0</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0</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0</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0</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0</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0</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0</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0</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0</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0</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0</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0</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0</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0</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0</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0</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0</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0</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0</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0</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0</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0</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0</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0</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0</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0</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0</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0</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0</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0</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0</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0</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0</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0</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0</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0</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0</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0</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0</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0</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0</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0</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0</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0</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0</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0</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0</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0</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0</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0</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0</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0</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0</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0</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0</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0</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0</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0</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0</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0</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0</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0</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0</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0</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0</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0</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0</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0</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0</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0</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0</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0</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0</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0</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0</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0</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0</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0</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0</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0</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0</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0</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0</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0</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0</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0</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0</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0</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0</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0</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0</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0</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0</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0</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0</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0</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0</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0</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2766</v>
      </c>
      <c r="C1" s="2721">
        <f>项目基本情况!D3</f>
        <v>44258</v>
      </c>
      <c r="H1" s="2655">
        <f>IF(C1&gt;C13,0,MATCH(C1,C$13:C$104,-1))+IF(SUMIF(C13:C104,C1,D13:D104)=0,13,12)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2797</v>
      </c>
      <c r="C2" s="2722">
        <f>'数据-取费表'!B22</f>
        <v>2</v>
      </c>
      <c r="D2" s="2717" t="s">
        <v>2767</v>
      </c>
      <c r="E2" s="2720">
        <f ca="1">INDIRECT("I"&amp;$I$1)/100</f>
        <v>3.85E-2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2799</v>
      </c>
      <c r="C3" s="2719">
        <f>'数据-取费表'!B19</f>
        <v>0</v>
      </c>
      <c r="D3" s="2717" t="s">
        <v>2767</v>
      </c>
      <c r="E3" s="2720">
        <f ca="1">INDIRECT("J"&amp;$J$1)/100</f>
        <v>0</v>
      </c>
      <c r="G3" s="2659" t="s">
        <v>2770</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2798</v>
      </c>
      <c r="C4" s="2720">
        <f ca="1">N4/100</f>
        <v>1.4999999999999999E-2</v>
      </c>
      <c r="G4" s="2665" t="s">
        <v>2771</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2772</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2773</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2774</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43941</v>
      </c>
      <c r="D13" s="2703">
        <v>3.85</v>
      </c>
      <c r="E13" s="2703">
        <v>3.85</v>
      </c>
      <c r="F13" s="2703">
        <v>3.85</v>
      </c>
      <c r="G13" s="2703">
        <v>3.85</v>
      </c>
      <c r="H13" s="2703">
        <v>4.6500000000000004</v>
      </c>
      <c r="I13" s="2703"/>
      <c r="J13" s="2703"/>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2997</v>
      </c>
      <c r="C17" s="2710">
        <v>43697</v>
      </c>
      <c r="D17" s="3292">
        <v>4.25</v>
      </c>
      <c r="E17" s="3292">
        <v>4.25</v>
      </c>
      <c r="F17" s="3292">
        <v>4.25</v>
      </c>
      <c r="G17" s="3292">
        <v>4.25</v>
      </c>
      <c r="H17" s="3292">
        <v>4.8499999999999996</v>
      </c>
      <c r="I17" s="3292"/>
      <c r="J17" s="3292"/>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2796</v>
      </c>
      <c r="J59" s="2707" t="s">
        <v>2796</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F10"/>
  <sheetViews>
    <sheetView workbookViewId="0">
      <selection activeCell="D37" sqref="D37"/>
    </sheetView>
  </sheetViews>
  <sheetFormatPr defaultRowHeight="13.5"/>
  <sheetData>
    <row r="5" spans="3:6">
      <c r="D5" s="3248" t="s">
        <v>3170</v>
      </c>
      <c r="E5" s="3248" t="s">
        <v>3171</v>
      </c>
    </row>
    <row r="6" spans="3:6">
      <c r="C6">
        <v>23</v>
      </c>
      <c r="D6">
        <f ca="1">系统读取表!D14</f>
        <v>31187</v>
      </c>
      <c r="E6">
        <f ca="1">结果表!N74</f>
        <v>2811</v>
      </c>
      <c r="F6">
        <f ca="1">D6-E6</f>
        <v>28376</v>
      </c>
    </row>
    <row r="7" spans="3:6">
      <c r="C7">
        <v>24</v>
      </c>
      <c r="D7">
        <f ca="1">系统读取表!D16</f>
        <v>32197</v>
      </c>
      <c r="E7">
        <f ca="1">'结果表-24净值'!N74</f>
        <v>2902</v>
      </c>
      <c r="F7">
        <f t="shared" ref="F7:F9" ca="1" si="0">D7-E7</f>
        <v>29295</v>
      </c>
    </row>
    <row r="8" spans="3:6">
      <c r="C8">
        <v>27</v>
      </c>
      <c r="D8">
        <f ca="1">系统读取表!D17</f>
        <v>21238</v>
      </c>
      <c r="E8">
        <f ca="1">'结果表-27净值'!N74</f>
        <v>1830</v>
      </c>
      <c r="F8">
        <f t="shared" ca="1" si="0"/>
        <v>19408</v>
      </c>
    </row>
    <row r="9" spans="3:6">
      <c r="C9">
        <v>20</v>
      </c>
      <c r="D9">
        <f ca="1">[2]系统读取表!$D$14</f>
        <v>21302</v>
      </c>
      <c r="E9">
        <f ca="1">[2]结果表!$C$115</f>
        <v>4822</v>
      </c>
      <c r="F9">
        <f t="shared" ca="1" si="0"/>
        <v>16480</v>
      </c>
    </row>
    <row r="10" spans="3:6">
      <c r="D10">
        <f ca="1">SUM(D6:D9)</f>
        <v>105924</v>
      </c>
      <c r="F10">
        <f ca="1">SUM(F6:F9)</f>
        <v>93559</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3" t="s">
        <v>2026</v>
      </c>
      <c r="B1" s="3353"/>
      <c r="C1" s="3353"/>
      <c r="D1" s="3353"/>
      <c r="E1" s="3353"/>
      <c r="F1" s="3353"/>
      <c r="G1" s="3353"/>
      <c r="H1" s="3353"/>
      <c r="I1" s="3353"/>
      <c r="J1" s="3353"/>
      <c r="K1" s="3353"/>
      <c r="L1" s="3353"/>
      <c r="M1" s="3353"/>
      <c r="N1" s="3353"/>
      <c r="O1" s="3353"/>
      <c r="P1" s="3353"/>
      <c r="Q1" s="3353"/>
      <c r="R1" s="3353"/>
    </row>
    <row r="2" spans="1:18">
      <c r="A2" s="1722" t="s">
        <v>2028</v>
      </c>
      <c r="B2" s="1722"/>
      <c r="C2" s="1722"/>
      <c r="D2" s="1722"/>
      <c r="E2" s="1722"/>
      <c r="F2" s="1722"/>
      <c r="G2" s="1722"/>
      <c r="H2" s="1722"/>
      <c r="I2" s="1723"/>
      <c r="J2" s="1723"/>
      <c r="K2" s="1724" t="str">
        <f>"估价期日："&amp;TEXT(项目基本情况!D3,"yyyy年m月d日;;")</f>
        <v>估价期日：2021年3月3日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4" t="s">
        <v>2017</v>
      </c>
      <c r="B3" s="3354" t="s">
        <v>2710</v>
      </c>
      <c r="C3" s="3355" t="s">
        <v>2018</v>
      </c>
      <c r="D3" s="3354" t="s">
        <v>2714</v>
      </c>
      <c r="E3" s="3357" t="s">
        <v>2019</v>
      </c>
      <c r="F3" s="3357"/>
      <c r="G3" s="3357"/>
      <c r="H3" s="3357" t="s">
        <v>2020</v>
      </c>
      <c r="I3" s="3357"/>
      <c r="J3" s="3357"/>
      <c r="K3" s="3355" t="s">
        <v>2021</v>
      </c>
      <c r="L3" s="3355" t="s">
        <v>2022</v>
      </c>
      <c r="M3" s="3354" t="s">
        <v>2711</v>
      </c>
      <c r="N3" s="3356" t="str">
        <f>"（分摊）"&amp;项目基本情况!B16&amp;"国有建设用地使用权面积/㎡"</f>
        <v>（分摊）出让国有建设用地使用权面积/㎡</v>
      </c>
      <c r="O3" s="3354" t="s">
        <v>2051</v>
      </c>
      <c r="P3" s="3355" t="s">
        <v>2031</v>
      </c>
      <c r="Q3" s="3355" t="s">
        <v>2052</v>
      </c>
      <c r="R3" s="3355" t="s">
        <v>2023</v>
      </c>
    </row>
    <row r="4" spans="1:18" ht="36.75" customHeight="1">
      <c r="A4" s="3354"/>
      <c r="B4" s="3354"/>
      <c r="C4" s="3355"/>
      <c r="D4" s="3354"/>
      <c r="E4" s="2491" t="s">
        <v>2030</v>
      </c>
      <c r="F4" s="2491" t="s">
        <v>2723</v>
      </c>
      <c r="G4" s="2491" t="s">
        <v>2024</v>
      </c>
      <c r="H4" s="2491" t="s">
        <v>2025</v>
      </c>
      <c r="I4" s="2491" t="s">
        <v>2724</v>
      </c>
      <c r="J4" s="2491" t="s">
        <v>2024</v>
      </c>
      <c r="K4" s="3355"/>
      <c r="L4" s="3355"/>
      <c r="M4" s="3354"/>
      <c r="N4" s="3356"/>
      <c r="O4" s="3354"/>
      <c r="P4" s="3355"/>
      <c r="Q4" s="3355"/>
      <c r="R4" s="3355"/>
    </row>
    <row r="5" spans="1:18" ht="135" customHeight="1">
      <c r="A5" s="1857" t="s">
        <v>2634</v>
      </c>
      <c r="B5" s="2584" t="s">
        <v>2632</v>
      </c>
      <c r="C5" s="2490">
        <v>22</v>
      </c>
      <c r="D5" s="2489" t="s">
        <v>2633</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54426.77</v>
      </c>
      <c r="O5" s="1725">
        <f>项目基本情况!C21</f>
        <v>136066.92000000001</v>
      </c>
      <c r="P5" s="1725">
        <f ca="1">结果表!E42</f>
        <v>5730</v>
      </c>
      <c r="Q5" s="1725">
        <f ca="1">结果表!D42</f>
        <v>2292</v>
      </c>
      <c r="R5" s="1726">
        <f ca="1">结果表!C42</f>
        <v>31186</v>
      </c>
    </row>
    <row r="6" spans="1:18">
      <c r="A6" s="3350" t="str">
        <f>IF(项目基本情况!B9="市场价格","——","抵押价格")</f>
        <v>抵押价格</v>
      </c>
      <c r="B6" s="3351"/>
      <c r="C6" s="3351"/>
      <c r="D6" s="3351"/>
      <c r="E6" s="3351"/>
      <c r="F6" s="3351"/>
      <c r="G6" s="3351"/>
      <c r="H6" s="3351"/>
      <c r="I6" s="3351"/>
      <c r="J6" s="3351"/>
      <c r="K6" s="3351"/>
      <c r="L6" s="3351"/>
      <c r="M6" s="3351"/>
      <c r="N6" s="3351"/>
      <c r="O6" s="3351"/>
      <c r="P6" s="3351"/>
      <c r="Q6" s="3352"/>
      <c r="R6" s="1727">
        <f ca="1">结果表!O39</f>
        <v>31186</v>
      </c>
    </row>
    <row r="7" spans="1:18">
      <c r="A7" s="3350" t="str">
        <f>IF(项目基本情况!B9="市场价格","——",IF(项目基本情况!E8="已注销及未注销","抵押担保权已注销时的抵押价格","——"))</f>
        <v>——</v>
      </c>
      <c r="B7" s="3351"/>
      <c r="C7" s="3351"/>
      <c r="D7" s="3351"/>
      <c r="E7" s="3351"/>
      <c r="F7" s="3351"/>
      <c r="G7" s="3351"/>
      <c r="H7" s="3351"/>
      <c r="I7" s="3351"/>
      <c r="J7" s="3351"/>
      <c r="K7" s="3351"/>
      <c r="L7" s="3351"/>
      <c r="M7" s="3351"/>
      <c r="N7" s="3351"/>
      <c r="O7" s="3351"/>
      <c r="P7" s="3351"/>
      <c r="Q7" s="3352"/>
      <c r="R7" s="1727" t="str">
        <f>结果表!O40</f>
        <v>——</v>
      </c>
    </row>
    <row r="8" spans="1:18">
      <c r="A8" s="3350">
        <f>IF(项目基本情况!B9="市场价格","——",项目基本情况!E9)</f>
        <v>0</v>
      </c>
      <c r="B8" s="3351"/>
      <c r="C8" s="3351"/>
      <c r="D8" s="3351"/>
      <c r="E8" s="3351"/>
      <c r="F8" s="3351"/>
      <c r="G8" s="3351"/>
      <c r="H8" s="3351"/>
      <c r="I8" s="3351"/>
      <c r="J8" s="3351"/>
      <c r="K8" s="3351"/>
      <c r="L8" s="3351"/>
      <c r="M8" s="3351"/>
      <c r="N8" s="3351"/>
      <c r="O8" s="3351"/>
      <c r="P8" s="3351"/>
      <c r="Q8" s="3352"/>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58" t="s">
        <v>2053</v>
      </c>
      <c r="B1" s="3358"/>
      <c r="C1" s="3358"/>
      <c r="D1" s="3358"/>
    </row>
    <row r="2" spans="1:4" ht="47.25" customHeight="1">
      <c r="A2" s="3362" t="str">
        <f>"1.权利限制："&amp;项目基本情况!L24&amp;"未设定租赁等其他他项权利。"</f>
        <v>1.权利限制：根据估价对象《不动产权证书》原件、《国有土地使用权》复印件，截至估价期日，估价对象抵押权未见登记。未设定租赁等其他他项权利。</v>
      </c>
      <c r="B2" s="3362"/>
      <c r="C2" s="3362"/>
      <c r="D2" s="3362"/>
    </row>
    <row r="3" spans="1:4" ht="48" customHeight="1">
      <c r="A3" s="33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8"/>
      <c r="C3" s="3358"/>
      <c r="D3" s="3358"/>
    </row>
    <row r="4" spans="1:4" ht="36.75" customHeight="1">
      <c r="A4" s="3358" t="str">
        <f>"3.估价规划限制条件：详见"&amp;项目基本情况!E21&amp;"。"</f>
        <v>3.估价规划限制条件：详见《建设工程规划许可证》[]、《出让合同》[]。</v>
      </c>
      <c r="B4" s="3358"/>
      <c r="C4" s="3358"/>
      <c r="D4" s="3358"/>
    </row>
    <row r="5" spans="1:4">
      <c r="A5" s="3361" t="s">
        <v>2054</v>
      </c>
      <c r="B5" s="3361"/>
      <c r="C5" s="3361"/>
      <c r="D5" s="3361"/>
    </row>
    <row r="6" spans="1:4">
      <c r="A6" s="3358" t="s">
        <v>2032</v>
      </c>
      <c r="B6" s="3358"/>
      <c r="C6" s="3358"/>
      <c r="D6" s="3358"/>
    </row>
    <row r="7" spans="1:4" ht="33" customHeight="1">
      <c r="A7" s="3358" t="s">
        <v>2554</v>
      </c>
      <c r="B7" s="3358"/>
      <c r="C7" s="3358"/>
      <c r="D7" s="3358"/>
    </row>
    <row r="8" spans="1:4" ht="32.25" customHeight="1">
      <c r="A8" s="33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8"/>
      <c r="C8" s="3358"/>
      <c r="D8" s="3358"/>
    </row>
    <row r="9" spans="1:4" ht="33.75" customHeight="1">
      <c r="A9" s="33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8"/>
      <c r="C9" s="3358"/>
      <c r="D9" s="3358"/>
    </row>
    <row r="10" spans="1:4">
      <c r="A10" s="3358" t="str">
        <f>IF(项目基本情况!B8="抵押","4.估价师所知悉的法定优先受偿款情况为：","——")</f>
        <v>4.估价师所知悉的法定优先受偿款情况为：</v>
      </c>
      <c r="B10" s="3358"/>
      <c r="C10" s="3358"/>
      <c r="D10" s="3358"/>
    </row>
    <row r="11" spans="1:4" ht="37.5" customHeight="1">
      <c r="A11" s="336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60"/>
      <c r="C11" s="3360"/>
      <c r="D11" s="3360"/>
    </row>
    <row r="12" spans="1:4" ht="168" customHeight="1">
      <c r="A12" s="3361" t="s">
        <v>2056</v>
      </c>
      <c r="B12" s="3361"/>
      <c r="C12" s="3361"/>
      <c r="D12" s="3361"/>
    </row>
    <row r="13" spans="1:4">
      <c r="A13" s="3359" t="s">
        <v>2725</v>
      </c>
      <c r="B13" s="3359"/>
      <c r="C13" s="3359"/>
      <c r="D13" s="3359"/>
    </row>
    <row r="14" spans="1:4">
      <c r="A14" s="3360" t="str">
        <f>IF(项目基本情况!B8="抵押","综上，"&amp;结果表!K47,"——")</f>
        <v>综上，本次评估不存在估价师知悉的法定优先受偿款</v>
      </c>
      <c r="B14" s="3360"/>
      <c r="C14" s="3360"/>
      <c r="D14" s="3360"/>
    </row>
    <row r="15" spans="1:4" ht="58.5" customHeight="1">
      <c r="A15" s="33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8"/>
      <c r="C15" s="3358"/>
      <c r="D15" s="3358"/>
    </row>
    <row r="16" spans="1:4" ht="70.5" customHeight="1">
      <c r="A16" s="33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8"/>
      <c r="C16" s="3358"/>
      <c r="D16" s="3358"/>
    </row>
    <row r="17" spans="1:4">
      <c r="A17" s="3358" t="s">
        <v>2681</v>
      </c>
      <c r="B17" s="3358"/>
      <c r="C17" s="3358"/>
      <c r="D17" s="3358"/>
    </row>
    <row r="18" spans="1:4">
      <c r="A18" s="3358" t="s">
        <v>2673</v>
      </c>
      <c r="B18" s="3358"/>
      <c r="C18" s="3358"/>
      <c r="D18" s="3358"/>
    </row>
    <row r="19" spans="1:4">
      <c r="A19" s="2585" t="s">
        <v>2674</v>
      </c>
      <c r="B19" s="2585" t="s">
        <v>2675</v>
      </c>
      <c r="C19" s="2585" t="s">
        <v>2676</v>
      </c>
      <c r="D19" s="2585" t="s">
        <v>2677</v>
      </c>
    </row>
    <row r="20" spans="1:4">
      <c r="A20" s="2585" t="str">
        <f>项目基本情况!B4</f>
        <v>土地估价师</v>
      </c>
      <c r="B20" s="2585">
        <f>项目基本情况!C4</f>
        <v>0</v>
      </c>
      <c r="C20" s="2587"/>
      <c r="D20" s="1715" t="s">
        <v>2682</v>
      </c>
    </row>
    <row r="21" spans="1:4">
      <c r="A21" s="2585" t="str">
        <f>项目基本情况!D4</f>
        <v>土地估价师</v>
      </c>
      <c r="B21" s="2585">
        <f>项目基本情况!E4</f>
        <v>0</v>
      </c>
      <c r="C21" s="2587"/>
      <c r="D21" s="1715" t="s">
        <v>2683</v>
      </c>
    </row>
    <row r="23" spans="1:4">
      <c r="A23" s="3358" t="s">
        <v>2678</v>
      </c>
      <c r="B23" s="3358"/>
      <c r="C23" s="3358"/>
      <c r="D23" s="3358"/>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70" t="s">
        <v>53</v>
      </c>
      <c r="B15" s="3371" t="s">
        <v>837</v>
      </c>
      <c r="C15" s="3367"/>
    </row>
    <row r="16" spans="1:7" ht="14.25">
      <c r="A16" s="3370"/>
      <c r="B16" s="3368" t="s">
        <v>54</v>
      </c>
      <c r="C16" s="1154" t="s">
        <v>53</v>
      </c>
    </row>
    <row r="17" spans="1:3" ht="14.25">
      <c r="A17" s="3370"/>
      <c r="B17" s="3368"/>
      <c r="C17" s="1154" t="s">
        <v>55</v>
      </c>
    </row>
    <row r="18" spans="1:3" ht="14.25">
      <c r="A18" s="3370"/>
      <c r="B18" s="3368"/>
      <c r="C18" s="1154" t="s">
        <v>56</v>
      </c>
    </row>
    <row r="19" spans="1:3" ht="14.25">
      <c r="A19" s="3370"/>
      <c r="B19" s="3366" t="s">
        <v>57</v>
      </c>
      <c r="C19" s="3367"/>
    </row>
    <row r="20" spans="1:3" ht="14.25">
      <c r="A20" s="1155" t="s">
        <v>58</v>
      </c>
      <c r="B20" s="1156"/>
      <c r="C20" s="1157"/>
    </row>
    <row r="21" spans="1:3" ht="14.25">
      <c r="A21" s="3369" t="s">
        <v>59</v>
      </c>
      <c r="B21" s="3366" t="s">
        <v>60</v>
      </c>
      <c r="C21" s="3367"/>
    </row>
    <row r="22" spans="1:3" ht="14.25">
      <c r="A22" s="3369"/>
      <c r="B22" s="3366" t="s">
        <v>61</v>
      </c>
      <c r="C22" s="3367"/>
    </row>
    <row r="23" spans="1:3" ht="14.25">
      <c r="A23" s="3369"/>
      <c r="B23" s="3366" t="s">
        <v>62</v>
      </c>
      <c r="C23" s="3367"/>
    </row>
    <row r="24" spans="1:3" ht="14.25">
      <c r="A24" s="3369"/>
      <c r="B24" s="3372" t="s">
        <v>63</v>
      </c>
      <c r="C24" s="1158" t="s">
        <v>828</v>
      </c>
    </row>
    <row r="25" spans="1:3" ht="14.25">
      <c r="A25" s="3369"/>
      <c r="B25" s="3373"/>
      <c r="C25" s="1158" t="s">
        <v>829</v>
      </c>
    </row>
    <row r="26" spans="1:3" ht="14.25">
      <c r="A26" s="3369"/>
      <c r="B26" s="3373"/>
      <c r="C26" s="1158" t="s">
        <v>830</v>
      </c>
    </row>
    <row r="27" spans="1:3" ht="14.25">
      <c r="A27" s="3369"/>
      <c r="B27" s="3373"/>
      <c r="C27" s="1158" t="s">
        <v>831</v>
      </c>
    </row>
    <row r="28" spans="1:3" ht="14.25">
      <c r="A28" s="3369"/>
      <c r="B28" s="3373"/>
      <c r="C28" s="1158" t="s">
        <v>832</v>
      </c>
    </row>
    <row r="29" spans="1:3" ht="14.25">
      <c r="A29" s="3369"/>
      <c r="B29" s="3373"/>
      <c r="C29" s="1158" t="s">
        <v>833</v>
      </c>
    </row>
    <row r="30" spans="1:3" ht="14.25">
      <c r="A30" s="3369"/>
      <c r="B30" s="3373"/>
      <c r="C30" s="1158" t="s">
        <v>834</v>
      </c>
    </row>
    <row r="31" spans="1:3" ht="14.25">
      <c r="A31" s="3369"/>
      <c r="B31" s="3373"/>
      <c r="C31" s="1158" t="s">
        <v>835</v>
      </c>
    </row>
    <row r="32" spans="1:3" ht="14.25">
      <c r="A32" s="3369"/>
      <c r="B32" s="3373"/>
      <c r="C32" s="1158" t="s">
        <v>1636</v>
      </c>
    </row>
    <row r="33" spans="1:3" ht="14.25">
      <c r="A33" s="3369"/>
      <c r="B33" s="3363" t="s">
        <v>1642</v>
      </c>
      <c r="C33" s="1158" t="s">
        <v>1637</v>
      </c>
    </row>
    <row r="34" spans="1:3" ht="14.25">
      <c r="A34" s="3369"/>
      <c r="B34" s="3364"/>
      <c r="C34" s="1163" t="s">
        <v>1638</v>
      </c>
    </row>
    <row r="35" spans="1:3" ht="14.25">
      <c r="A35" s="3369"/>
      <c r="B35" s="3364"/>
      <c r="C35" s="1164" t="s">
        <v>1639</v>
      </c>
    </row>
    <row r="36" spans="1:3" ht="14.25">
      <c r="A36" s="3369"/>
      <c r="B36" s="3364"/>
      <c r="C36" s="1164" t="s">
        <v>1640</v>
      </c>
    </row>
    <row r="37" spans="1:3" ht="14.25">
      <c r="A37" s="3369"/>
      <c r="B37" s="3365"/>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44260</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2939</v>
      </c>
      <c r="B12" s="3030">
        <f ca="1">IF(C12&lt;B2,"已过期",1120040230)</f>
        <v>1120040230</v>
      </c>
      <c r="C12" s="3033">
        <v>44864</v>
      </c>
      <c r="D12" s="3041" t="s">
        <v>2940</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f ca="1">IF(C14&lt;B2,"已过期",1120020033)</f>
        <v>1120020033</v>
      </c>
      <c r="C14" s="3033">
        <v>44339</v>
      </c>
      <c r="D14" s="3041" t="s">
        <v>1913</v>
      </c>
      <c r="E14" s="3030">
        <f ca="1">IF(F14&lt;B2,"已过期",2000110137)</f>
        <v>2000110137</v>
      </c>
      <c r="F14" s="3032">
        <v>46387</v>
      </c>
      <c r="G14" s="3025"/>
    </row>
    <row r="15" spans="1:7" ht="20.25" customHeight="1">
      <c r="A15" s="3030" t="s">
        <v>2954</v>
      </c>
      <c r="B15" s="3030">
        <f ca="1">IF(C14&lt;B2,"已过期",1119980106)</f>
        <v>1119980106</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77" t="s">
        <v>1914</v>
      </c>
      <c r="B17" s="3378"/>
      <c r="C17" s="3378"/>
      <c r="D17" s="3378"/>
      <c r="E17" s="3378"/>
      <c r="F17" s="3378"/>
      <c r="G17" s="3034"/>
    </row>
    <row r="18" spans="1:7" ht="20.25" customHeight="1">
      <c r="A18" s="3374" t="s">
        <v>1915</v>
      </c>
      <c r="B18" s="3374"/>
      <c r="C18" s="3375"/>
      <c r="D18" s="3376" t="s">
        <v>1916</v>
      </c>
      <c r="E18" s="3374"/>
      <c r="F18" s="3374"/>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2953</v>
      </c>
      <c r="F21" s="3038">
        <v>44012</v>
      </c>
      <c r="G21" s="3026"/>
    </row>
    <row r="22" spans="1:7" ht="20.25" customHeight="1">
      <c r="A22" s="3025"/>
      <c r="B22" s="3025"/>
      <c r="C22" s="3039"/>
      <c r="D22" s="3047"/>
      <c r="E22" s="3048"/>
      <c r="F22" s="3040" t="s">
        <v>2967</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54" priority="149">
      <formula>AND($C5-TODAY()&lt;30,TODAY()&lt;$C5)</formula>
    </cfRule>
  </conditionalFormatting>
  <conditionalFormatting sqref="C20">
    <cfRule type="expression" dxfId="253" priority="148">
      <formula>AND($C20-TODAY()&lt;30,TODAY()&lt;$C20)</formula>
    </cfRule>
  </conditionalFormatting>
  <conditionalFormatting sqref="C20 F4 C5 C13">
    <cfRule type="cellIs" dxfId="252" priority="150" stopIfTrue="1" operator="lessThan">
      <formula>$B$2</formula>
    </cfRule>
  </conditionalFormatting>
  <conditionalFormatting sqref="F5 F7 F9">
    <cfRule type="cellIs" dxfId="251" priority="144" stopIfTrue="1" operator="lessThan">
      <formula>$B$2</formula>
    </cfRule>
  </conditionalFormatting>
  <conditionalFormatting sqref="C16:D16">
    <cfRule type="expression" dxfId="250" priority="142">
      <formula>AND($C16-TODAY()&lt;30,TODAY()&lt;$C16)</formula>
    </cfRule>
  </conditionalFormatting>
  <conditionalFormatting sqref="F6 F8 F10 C16:D16">
    <cfRule type="cellIs" dxfId="249" priority="143" stopIfTrue="1" operator="lessThan">
      <formula>$B$2</formula>
    </cfRule>
  </conditionalFormatting>
  <conditionalFormatting sqref="F14">
    <cfRule type="cellIs" dxfId="248" priority="114" stopIfTrue="1" operator="lessThan">
      <formula>$B$2</formula>
    </cfRule>
  </conditionalFormatting>
  <conditionalFormatting sqref="F13">
    <cfRule type="cellIs" dxfId="247" priority="113" stopIfTrue="1" operator="lessThan">
      <formula>$B$2</formula>
    </cfRule>
  </conditionalFormatting>
  <conditionalFormatting sqref="B4:B11 E4:E11 E13:E15 B13:B15">
    <cfRule type="cellIs" dxfId="246" priority="111" stopIfTrue="1" operator="equal">
      <formula>"已过期"</formula>
    </cfRule>
  </conditionalFormatting>
  <conditionalFormatting sqref="F20">
    <cfRule type="cellIs" dxfId="245" priority="108" stopIfTrue="1" operator="lessThan">
      <formula>$B$2</formula>
    </cfRule>
  </conditionalFormatting>
  <conditionalFormatting sqref="F20">
    <cfRule type="expression" dxfId="244" priority="152">
      <formula>AND($E20-TODAY()&lt;30,TODAY()&lt;$E20)</formula>
    </cfRule>
  </conditionalFormatting>
  <conditionalFormatting sqref="C6">
    <cfRule type="expression" dxfId="243" priority="82">
      <formula>AND($C6-TODAY()&lt;30,TODAY()&lt;$C6)</formula>
    </cfRule>
  </conditionalFormatting>
  <conditionalFormatting sqref="C6">
    <cfRule type="cellIs" dxfId="242" priority="83" stopIfTrue="1" operator="lessThan">
      <formula>$B$2</formula>
    </cfRule>
  </conditionalFormatting>
  <conditionalFormatting sqref="C11 C15">
    <cfRule type="expression" dxfId="241" priority="80">
      <formula>AND($C11-TODAY()&lt;30,TODAY()&lt;$C11)</formula>
    </cfRule>
  </conditionalFormatting>
  <conditionalFormatting sqref="C11 C15">
    <cfRule type="cellIs" dxfId="240" priority="81" stopIfTrue="1" operator="lessThan">
      <formula>$B$2</formula>
    </cfRule>
  </conditionalFormatting>
  <conditionalFormatting sqref="F11">
    <cfRule type="cellIs" dxfId="239" priority="79" stopIfTrue="1" operator="lessThan">
      <formula>$B$2</formula>
    </cfRule>
  </conditionalFormatting>
  <conditionalFormatting sqref="C14">
    <cfRule type="expression" dxfId="238" priority="60">
      <formula>AND($C14-TODAY()&lt;30,TODAY()&lt;$C14)</formula>
    </cfRule>
  </conditionalFormatting>
  <conditionalFormatting sqref="C14">
    <cfRule type="cellIs" dxfId="237" priority="61" stopIfTrue="1" operator="lessThan">
      <formula>$B$2</formula>
    </cfRule>
  </conditionalFormatting>
  <conditionalFormatting sqref="C12">
    <cfRule type="cellIs" dxfId="236" priority="54" stopIfTrue="1" operator="lessThan">
      <formula>$B$2</formula>
    </cfRule>
  </conditionalFormatting>
  <conditionalFormatting sqref="C12">
    <cfRule type="expression" dxfId="235" priority="51">
      <formula>AND($C12-TODAY()&lt;30,TODAY()&lt;$C12)</formula>
    </cfRule>
  </conditionalFormatting>
  <conditionalFormatting sqref="C12">
    <cfRule type="cellIs" dxfId="234" priority="52" stopIfTrue="1" operator="lessThan">
      <formula>$B$2</formula>
    </cfRule>
  </conditionalFormatting>
  <conditionalFormatting sqref="B12">
    <cfRule type="cellIs" dxfId="233" priority="48" stopIfTrue="1" operator="equal">
      <formula>"已过期"</formula>
    </cfRule>
  </conditionalFormatting>
  <conditionalFormatting sqref="E12">
    <cfRule type="cellIs" dxfId="232" priority="38" stopIfTrue="1" operator="equal">
      <formula>"已过期"</formula>
    </cfRule>
  </conditionalFormatting>
  <conditionalFormatting sqref="F12">
    <cfRule type="cellIs" dxfId="231" priority="37" stopIfTrue="1" operator="lessThan">
      <formula>$B$2</formula>
    </cfRule>
  </conditionalFormatting>
  <conditionalFormatting sqref="C9:C10">
    <cfRule type="expression" dxfId="230" priority="33">
      <formula>AND($C9-TODAY()&lt;30,TODAY()&lt;$C9)</formula>
    </cfRule>
  </conditionalFormatting>
  <conditionalFormatting sqref="C9:C10">
    <cfRule type="cellIs" dxfId="229" priority="34" stopIfTrue="1" operator="lessThan">
      <formula>$B$2</formula>
    </cfRule>
  </conditionalFormatting>
  <conditionalFormatting sqref="F21">
    <cfRule type="cellIs" dxfId="228" priority="13" stopIfTrue="1" operator="lessThan">
      <formula>$B$2</formula>
    </cfRule>
  </conditionalFormatting>
  <conditionalFormatting sqref="F21">
    <cfRule type="expression" dxfId="227" priority="14">
      <formula>AND($E21-TODAY()&lt;30,TODAY()&lt;$E21)</formula>
    </cfRule>
  </conditionalFormatting>
  <conditionalFormatting sqref="C7:C8">
    <cfRule type="expression" dxfId="226" priority="5">
      <formula>AND($C7-TODAY()&lt;30,TODAY()&lt;$C7)</formula>
    </cfRule>
  </conditionalFormatting>
  <conditionalFormatting sqref="C7:C8">
    <cfRule type="cellIs" dxfId="225" priority="6" stopIfTrue="1" operator="lessThan">
      <formula>$B$2</formula>
    </cfRule>
  </conditionalFormatting>
  <conditionalFormatting sqref="C7:C8">
    <cfRule type="expression" dxfId="224" priority="3">
      <formula>AND($C7-TODAY()&lt;30,TODAY()&lt;$C7)</formula>
    </cfRule>
  </conditionalFormatting>
  <conditionalFormatting sqref="C7:C8">
    <cfRule type="cellIs" dxfId="223" priority="4" stopIfTrue="1" operator="lessThan">
      <formula>$B$2</formula>
    </cfRule>
  </conditionalFormatting>
  <conditionalFormatting sqref="C4">
    <cfRule type="expression" dxfId="222" priority="1">
      <formula>AND($C4-TODAY()&lt;30,TODAY()&lt;$C4)</formula>
    </cfRule>
  </conditionalFormatting>
  <conditionalFormatting sqref="C4">
    <cfRule type="cellIs" dxfId="22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2525</v>
      </c>
      <c r="R1" s="2432" t="s">
        <v>2519</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2520</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2521</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2522</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2523</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2524</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2915</v>
      </c>
      <c r="C18" s="1492"/>
    </row>
    <row r="19" spans="1:3">
      <c r="A19" s="8" t="s">
        <v>120</v>
      </c>
      <c r="B19" s="2792" t="s">
        <v>2922</v>
      </c>
      <c r="C19" s="1492"/>
    </row>
    <row r="20" spans="1:3">
      <c r="A20" s="8" t="s">
        <v>121</v>
      </c>
      <c r="B20" s="2792" t="s">
        <v>2968</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79"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c r="D53" s="1685"/>
      <c r="E53" s="1685"/>
    </row>
    <row r="54" spans="1:5">
      <c r="A54" s="3379"/>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79"/>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79"/>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79"/>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结果表-23净值</vt:lpstr>
      <vt:lpstr>结果表-24净值</vt:lpstr>
      <vt:lpstr>结果表-27净值</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'结果表-23净值'!Print_Area</vt:lpstr>
      <vt:lpstr>'结果表-24净值'!Print_Area</vt:lpstr>
      <vt:lpstr>'结果表-27净值'!Print_Area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2021-03-05T05:23:21Z</dcterms:modified>
</cp:coreProperties>
</file>