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40" yWindow="120" windowWidth="21840" windowHeight="5535" tabRatio="899" firstSheet="10"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土地案例" sheetId="81"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3" sheetId="82"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 i="68" l="1"/>
  <c r="I7" i="40"/>
  <c r="G7" i="40"/>
  <c r="E7" i="40"/>
  <c r="I34" i="40"/>
  <c r="G34" i="40"/>
  <c r="E34" i="40"/>
  <c r="C34" i="40"/>
  <c r="C11" i="40"/>
  <c r="W8" i="81"/>
  <c r="W9" i="81"/>
  <c r="W10" i="81"/>
  <c r="W11" i="81"/>
  <c r="W12" i="81"/>
  <c r="W13" i="81"/>
  <c r="W14" i="81"/>
  <c r="W15" i="81"/>
  <c r="W16" i="81"/>
  <c r="W17" i="81"/>
  <c r="W18" i="81"/>
  <c r="W19" i="81"/>
  <c r="W20" i="81"/>
  <c r="W21" i="81"/>
  <c r="W22" i="81"/>
  <c r="W23" i="81"/>
  <c r="W24" i="81"/>
  <c r="W25" i="81"/>
  <c r="W26" i="81"/>
  <c r="W27" i="81"/>
  <c r="W28" i="81"/>
  <c r="W29" i="81"/>
  <c r="W30" i="81"/>
  <c r="W31" i="81"/>
  <c r="W32" i="81"/>
  <c r="W33" i="81"/>
  <c r="W34" i="81"/>
  <c r="W35" i="81"/>
  <c r="W36" i="81"/>
  <c r="W37" i="81"/>
  <c r="W38" i="81"/>
  <c r="W39" i="81"/>
  <c r="W40" i="81"/>
  <c r="W41" i="81"/>
  <c r="W42" i="81"/>
  <c r="W43" i="81"/>
  <c r="W44" i="81"/>
  <c r="W45" i="81"/>
  <c r="W46" i="81"/>
  <c r="W47" i="81"/>
  <c r="W48" i="81"/>
  <c r="W49" i="81"/>
  <c r="W50" i="81"/>
  <c r="W51" i="81"/>
  <c r="W52" i="81"/>
  <c r="W53" i="81"/>
  <c r="W54" i="81"/>
  <c r="W55" i="81"/>
  <c r="W56" i="81"/>
  <c r="W57" i="81"/>
  <c r="W58" i="81"/>
  <c r="W59" i="81"/>
  <c r="W60" i="81"/>
  <c r="W61" i="81"/>
  <c r="W62" i="81"/>
  <c r="W63" i="81"/>
  <c r="W3" i="81"/>
  <c r="W4" i="81"/>
  <c r="W5" i="81"/>
  <c r="W6" i="81"/>
  <c r="W7" i="81"/>
  <c r="W2" i="81"/>
  <c r="X1" i="81"/>
  <c r="Y6" i="1"/>
  <c r="N19" i="1"/>
  <c r="H11" i="80"/>
  <c r="H6" i="80"/>
  <c r="H7" i="80"/>
  <c r="H8" i="80"/>
  <c r="H9" i="80"/>
  <c r="H10" i="80"/>
  <c r="H5" i="80"/>
  <c r="G11" i="80"/>
  <c r="F11" i="80"/>
  <c r="F10" i="80"/>
  <c r="F9" i="80"/>
  <c r="G19" i="6"/>
  <c r="F19" i="6"/>
  <c r="I13" i="3"/>
  <c r="K13" i="3"/>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AA33" i="71"/>
  <c r="C30" i="71"/>
  <c r="Y29" i="71"/>
  <c r="Z29" i="71" s="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C27" i="71" s="1"/>
  <c r="Y25" i="71"/>
  <c r="Z25" i="71"/>
  <c r="Y26" i="71"/>
  <c r="Z26" i="71"/>
  <c r="Y27" i="71"/>
  <c r="Z27" i="71"/>
  <c r="Y28" i="71"/>
  <c r="Z28" i="71"/>
  <c r="B28" i="71"/>
  <c r="B27" i="71"/>
  <c r="B26" i="71" s="1"/>
  <c r="X25" i="71"/>
  <c r="X26" i="71"/>
  <c r="X27" i="71"/>
  <c r="X28" i="71"/>
  <c r="C31" i="71"/>
  <c r="D31" i="71" s="1"/>
  <c r="D30" i="71"/>
  <c r="D34" i="71"/>
  <c r="C39" i="71"/>
  <c r="D38" i="71"/>
  <c r="C51" i="71"/>
  <c r="D51" i="71" s="1"/>
  <c r="D50" i="71"/>
  <c r="P28" i="71"/>
  <c r="AA3" i="71" s="1"/>
  <c r="E55" i="71"/>
  <c r="E56" i="71"/>
  <c r="U56" i="71" s="1"/>
  <c r="E59" i="71"/>
  <c r="E60" i="71" s="1"/>
  <c r="U60" i="71" s="1"/>
  <c r="E63" i="71"/>
  <c r="E64" i="71"/>
  <c r="U64" i="71" s="1"/>
  <c r="U68" i="71"/>
  <c r="E67" i="71"/>
  <c r="E66" i="71" s="1"/>
  <c r="Q28" i="71"/>
  <c r="C55" i="71"/>
  <c r="D55" i="71" s="1"/>
  <c r="D54" i="71"/>
  <c r="C59" i="71"/>
  <c r="D59" i="71" s="1"/>
  <c r="D58" i="71"/>
  <c r="C63" i="71"/>
  <c r="C64" i="71" s="1"/>
  <c r="D62" i="71"/>
  <c r="N67" i="71"/>
  <c r="B66"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S28" i="71"/>
  <c r="F28" i="71"/>
  <c r="F27" i="71"/>
  <c r="F26" i="71" s="1"/>
  <c r="AB25" i="71"/>
  <c r="AB26" i="71"/>
  <c r="AB27" i="71"/>
  <c r="AB28"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C56" i="71"/>
  <c r="T56" i="71" s="1"/>
  <c r="P67" i="71"/>
  <c r="C52" i="71"/>
  <c r="T52" i="71" s="1"/>
  <c r="C40" i="71"/>
  <c r="T40" i="71" s="1"/>
  <c r="D39" i="71"/>
  <c r="C36" i="71"/>
  <c r="T36" i="71" s="1"/>
  <c r="D35" i="71"/>
  <c r="C32" i="71"/>
  <c r="T32" i="71" s="1"/>
  <c r="O66" i="71"/>
  <c r="O65" i="71"/>
  <c r="D32" i="71"/>
  <c r="D36" i="71"/>
  <c r="D40"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8" i="43" s="1"/>
  <c r="C22" i="20"/>
  <c r="B100" i="43" s="1"/>
  <c r="B57" i="43"/>
  <c r="C25" i="40"/>
  <c r="S25" i="40"/>
  <c r="S18" i="36"/>
  <c r="U18" i="36"/>
  <c r="F94" i="40"/>
  <c r="H25" i="40"/>
  <c r="G94" i="40"/>
  <c r="J25" i="40"/>
  <c r="H29" i="39"/>
  <c r="AB29" i="39" s="1"/>
  <c r="J29" i="39"/>
  <c r="AC29" i="39" s="1"/>
  <c r="J18" i="36"/>
  <c r="H18" i="35"/>
  <c r="S18" i="35"/>
  <c r="J18" i="35"/>
  <c r="F77" i="37"/>
  <c r="H21" i="37"/>
  <c r="F21" i="37"/>
  <c r="AA21" i="37" s="1"/>
  <c r="H21" i="34"/>
  <c r="AB21" i="34" s="1"/>
  <c r="F83" i="33"/>
  <c r="H21" i="33"/>
  <c r="U21" i="33" s="1"/>
  <c r="F21" i="33"/>
  <c r="E83" i="21"/>
  <c r="F83" i="21" s="1"/>
  <c r="G83" i="21" s="1"/>
  <c r="S21" i="21"/>
  <c r="H1" i="69"/>
  <c r="AC25" i="40"/>
  <c r="W25" i="40"/>
  <c r="AB25" i="40"/>
  <c r="U25" i="40"/>
  <c r="U29" i="39"/>
  <c r="W29" i="39"/>
  <c r="AC18" i="36"/>
  <c r="W18" i="36"/>
  <c r="AB21" i="37"/>
  <c r="U21" i="37"/>
  <c r="S21" i="37"/>
  <c r="U21" i="34"/>
  <c r="AB21" i="33"/>
  <c r="AA21" i="33"/>
  <c r="S21" i="33"/>
  <c r="AB18" i="35"/>
  <c r="U18" i="35"/>
  <c r="AC18" i="35"/>
  <c r="W18" i="35"/>
  <c r="G77" i="37"/>
  <c r="J21" i="37"/>
  <c r="W21" i="37" s="1"/>
  <c r="J21" i="34"/>
  <c r="W21" i="34" s="1"/>
  <c r="G83" i="33"/>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5" i="33"/>
  <c r="S40" i="33"/>
  <c r="W33" i="33"/>
  <c r="W39" i="33"/>
  <c r="H39" i="37"/>
  <c r="AB39" i="37" s="1"/>
  <c r="S27" i="35"/>
  <c r="F11" i="40"/>
  <c r="AA11" i="40" s="1"/>
  <c r="H11" i="40"/>
  <c r="AB11" i="40" s="1"/>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U33" i="35"/>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c r="J10" i="36"/>
  <c r="AC10" i="36" s="1"/>
  <c r="AB26" i="33"/>
  <c r="AB30" i="21"/>
  <c r="AA14" i="37"/>
  <c r="W31" i="34"/>
  <c r="W13" i="36"/>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0" i="3"/>
  <c r="AZ364" i="3"/>
  <c r="AZ368" i="3"/>
  <c r="BA15" i="3"/>
  <c r="AZ15" i="3" s="1"/>
  <c r="BB5" i="3"/>
  <c r="BR5" i="3"/>
  <c r="AZ380" i="3"/>
  <c r="AZ388" i="3"/>
  <c r="AZ396" i="3"/>
  <c r="AZ394" i="3"/>
  <c r="G509" i="3"/>
  <c r="BL493" i="3"/>
  <c r="AZ491" i="3"/>
  <c r="AZ376" i="3"/>
  <c r="AZ390" i="3"/>
  <c r="AZ382"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c r="L63" i="37" s="1"/>
  <c r="M63" i="37" s="1"/>
  <c r="J11" i="37"/>
  <c r="AC11" i="37" s="1"/>
  <c r="H70" i="34"/>
  <c r="I70" i="34" s="1"/>
  <c r="J70" i="34"/>
  <c r="K70" i="34" s="1"/>
  <c r="L70" i="34" s="1"/>
  <c r="M70" i="34" s="1"/>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F6" i="67"/>
  <c r="M23" i="15"/>
  <c r="M9" i="15"/>
  <c r="M24" i="15"/>
  <c r="E8" i="76"/>
  <c r="M28" i="15"/>
  <c r="J15" i="15"/>
  <c r="F16" i="15"/>
  <c r="F4" i="73"/>
  <c r="E7" i="76"/>
  <c r="M26" i="67"/>
  <c r="F8" i="67"/>
  <c r="AO13" i="1"/>
  <c r="M6" i="67"/>
  <c r="F20" i="31"/>
  <c r="D4" i="73"/>
  <c r="F6" i="73"/>
  <c r="F16" i="67"/>
  <c r="F13" i="15"/>
  <c r="M24" i="67"/>
  <c r="F43" i="15"/>
  <c r="M23" i="67"/>
  <c r="M29" i="15"/>
  <c r="F26" i="67"/>
  <c r="M26" i="15"/>
  <c r="L47" i="15"/>
  <c r="B11" i="76"/>
  <c r="F42" i="67"/>
  <c r="F36" i="15"/>
  <c r="E13" i="76"/>
  <c r="M22" i="15"/>
  <c r="F42" i="15"/>
  <c r="F40" i="67"/>
  <c r="F7" i="15"/>
  <c r="M28" i="67"/>
  <c r="M6" i="15"/>
  <c r="M8" i="67"/>
  <c r="C76" i="15"/>
  <c r="E10" i="76"/>
  <c r="F43" i="67"/>
  <c r="B9" i="76"/>
  <c r="F40" i="15"/>
  <c r="B10" i="76"/>
  <c r="F36" i="67"/>
  <c r="D5" i="73"/>
  <c r="M22" i="67"/>
  <c r="F37" i="67"/>
  <c r="L48" i="15"/>
  <c r="D6" i="73"/>
  <c r="F7" i="73"/>
  <c r="F26" i="15"/>
  <c r="B12" i="76"/>
  <c r="F9" i="67"/>
  <c r="D7" i="73"/>
  <c r="F3" i="73"/>
  <c r="E9" i="76"/>
  <c r="F5" i="73"/>
  <c r="C76" i="67"/>
  <c r="F37" i="15"/>
  <c r="M8" i="15"/>
  <c r="B8" i="76"/>
  <c r="F13" i="67"/>
  <c r="E2" i="69"/>
  <c r="F8" i="15"/>
  <c r="F38" i="15"/>
  <c r="J15" i="67"/>
  <c r="F38" i="67"/>
  <c r="B7" i="76"/>
  <c r="M9" i="67"/>
  <c r="E2" i="68"/>
  <c r="L47" i="67"/>
  <c r="L48" i="67"/>
  <c r="F7" i="67"/>
  <c r="D3" i="73"/>
  <c r="F9" i="15"/>
  <c r="B13" i="76"/>
  <c r="F6" i="15"/>
  <c r="E12" i="76"/>
  <c r="M29" i="67"/>
  <c r="E11" i="76"/>
  <c r="W8" i="40" l="1"/>
  <c r="AC11" i="40"/>
  <c r="C28" i="67"/>
  <c r="G1" i="69"/>
  <c r="K1" i="12"/>
  <c r="K6" i="1"/>
  <c r="AP6" i="1" s="1"/>
  <c r="C36" i="69" s="1"/>
  <c r="V20" i="71"/>
  <c r="E15" i="71"/>
  <c r="E14" i="71" s="1"/>
  <c r="E13" i="71" s="1"/>
  <c r="E12" i="71" s="1"/>
  <c r="V16" i="71"/>
  <c r="D16" i="53"/>
  <c r="B34" i="72" s="1"/>
  <c r="AZ521" i="3"/>
  <c r="BL5" i="3"/>
  <c r="G5" i="3"/>
  <c r="B3" i="3" s="1"/>
  <c r="E521" i="3" s="1"/>
  <c r="AA14" i="33"/>
  <c r="AA44" i="33"/>
  <c r="S13" i="35"/>
  <c r="AA13" i="35"/>
  <c r="AB46" i="33"/>
  <c r="U46" i="33"/>
  <c r="W30" i="34"/>
  <c r="AC30" i="34"/>
  <c r="AA45" i="33"/>
  <c r="S45" i="33"/>
  <c r="AC29" i="33"/>
  <c r="W29" i="33"/>
  <c r="AC9" i="34"/>
  <c r="W9" i="34"/>
  <c r="AC34" i="35"/>
  <c r="W34" i="35"/>
  <c r="AC31" i="40"/>
  <c r="W31" i="40"/>
  <c r="AZ399" i="3"/>
  <c r="AZ404" i="3"/>
  <c r="AZ414" i="3"/>
  <c r="AZ421" i="3"/>
  <c r="AZ423" i="3"/>
  <c r="D17" i="71"/>
  <c r="C16" i="71"/>
  <c r="G28" i="6"/>
  <c r="F29" i="6"/>
  <c r="F30" i="6" s="1"/>
  <c r="AA41" i="34"/>
  <c r="AA44" i="34"/>
  <c r="S44" i="34"/>
  <c r="S29" i="35"/>
  <c r="AA29" i="35"/>
  <c r="W12" i="34"/>
  <c r="AC12" i="34"/>
  <c r="U12" i="35"/>
  <c r="AB12" i="35"/>
  <c r="AB9" i="36"/>
  <c r="U9" i="36"/>
  <c r="AB14" i="37"/>
  <c r="U14" i="37"/>
  <c r="AZ409" i="3"/>
  <c r="U33" i="33"/>
  <c r="J12" i="21"/>
  <c r="B73" i="43"/>
  <c r="B79" i="43"/>
  <c r="B76" i="43"/>
  <c r="B75" i="43"/>
  <c r="F9" i="34"/>
  <c r="AA9" i="34" s="1"/>
  <c r="F12" i="34"/>
  <c r="F34" i="35"/>
  <c r="H34" i="35"/>
  <c r="J36" i="35"/>
  <c r="F23" i="36"/>
  <c r="H23" i="36"/>
  <c r="A15" i="62"/>
  <c r="B61" i="72" s="1"/>
  <c r="AZ430" i="3"/>
  <c r="AZ432" i="3"/>
  <c r="AZ434" i="3"/>
  <c r="AZ445" i="3"/>
  <c r="AZ447" i="3"/>
  <c r="AZ449" i="3"/>
  <c r="AZ453" i="3"/>
  <c r="AZ455" i="3"/>
  <c r="AZ460" i="3"/>
  <c r="AZ464" i="3"/>
  <c r="AZ467" i="3"/>
  <c r="AZ474" i="3"/>
  <c r="AZ480" i="3"/>
  <c r="AZ482" i="3"/>
  <c r="AZ486" i="3"/>
  <c r="AZ488" i="3"/>
  <c r="AZ22" i="3"/>
  <c r="AZ397" i="3"/>
  <c r="AZ212" i="3"/>
  <c r="AZ217" i="3"/>
  <c r="AZ220" i="3"/>
  <c r="AZ228" i="3"/>
  <c r="AZ231" i="3"/>
  <c r="AZ244" i="3"/>
  <c r="AZ247" i="3"/>
  <c r="AZ260" i="3"/>
  <c r="AZ264" i="3"/>
  <c r="AZ282" i="3"/>
  <c r="AZ285" i="3"/>
  <c r="AZ290" i="3"/>
  <c r="AZ293" i="3"/>
  <c r="AZ153" i="3"/>
  <c r="AZ169" i="3"/>
  <c r="AZ185" i="3"/>
  <c r="AZ207" i="3"/>
  <c r="AZ34" i="3"/>
  <c r="AZ38" i="3"/>
  <c r="AZ44" i="3"/>
  <c r="AZ48" i="3"/>
  <c r="AZ60" i="3"/>
  <c r="AZ64" i="3"/>
  <c r="AZ78" i="3"/>
  <c r="AZ91" i="3"/>
  <c r="AZ98" i="3"/>
  <c r="AZ104" i="3"/>
  <c r="AZ108" i="3"/>
  <c r="C26" i="71"/>
  <c r="D26" i="71" s="1"/>
  <c r="D27" i="71"/>
  <c r="D42" i="71"/>
  <c r="C43" i="71"/>
  <c r="C47" i="71"/>
  <c r="D47" i="71" s="1"/>
  <c r="D46" i="71"/>
  <c r="D64" i="71"/>
  <c r="T64" i="71"/>
  <c r="P65" i="71"/>
  <c r="P66" i="71"/>
  <c r="S21" i="34"/>
  <c r="C29" i="39"/>
  <c r="B68" i="43"/>
  <c r="B77" i="43"/>
  <c r="V28" i="71"/>
  <c r="AA28" i="71"/>
  <c r="AA26" i="71"/>
  <c r="X9" i="71"/>
  <c r="X10" i="71"/>
  <c r="AB10" i="71"/>
  <c r="AB9" i="71"/>
  <c r="AB24" i="71"/>
  <c r="AA23" i="71"/>
  <c r="AA22" i="71"/>
  <c r="X21" i="71"/>
  <c r="Y18" i="71"/>
  <c r="Z18" i="71" s="1"/>
  <c r="X17" i="71"/>
  <c r="Y17" i="71"/>
  <c r="Z17" i="71" s="1"/>
  <c r="AA17" i="71"/>
  <c r="AB18" i="71"/>
  <c r="Y14" i="71"/>
  <c r="Z14" i="71" s="1"/>
  <c r="Y9" i="71"/>
  <c r="Z9" i="71" s="1"/>
  <c r="Y10" i="71"/>
  <c r="Z10" i="71" s="1"/>
  <c r="AA9" i="71"/>
  <c r="AA10" i="71"/>
  <c r="V68" i="71"/>
  <c r="F67" i="71"/>
  <c r="X22" i="71"/>
  <c r="AA24" i="71"/>
  <c r="Y21" i="71"/>
  <c r="Z21" i="71" s="1"/>
  <c r="AB23" i="71"/>
  <c r="AB21" i="71"/>
  <c r="AA21" i="71"/>
  <c r="X18" i="71"/>
  <c r="AA18" i="71"/>
  <c r="X13" i="71"/>
  <c r="AA14" i="71"/>
  <c r="AB17" i="71"/>
  <c r="X24" i="71"/>
  <c r="Y24" i="71"/>
  <c r="Z24" i="71" s="1"/>
  <c r="AB15" i="71"/>
  <c r="AB12" i="71"/>
  <c r="AB14" i="71"/>
  <c r="Y12" i="71"/>
  <c r="Z12" i="71" s="1"/>
  <c r="Y13" i="71"/>
  <c r="Z13" i="71" s="1"/>
  <c r="AA11" i="71"/>
  <c r="AA13" i="71"/>
  <c r="X12" i="71"/>
  <c r="Y23" i="71"/>
  <c r="Z23" i="71" s="1"/>
  <c r="Y22" i="71"/>
  <c r="Z22" i="71" s="1"/>
  <c r="X15" i="71"/>
  <c r="AA15" i="71"/>
  <c r="AB11"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85" i="3"/>
  <c r="E314" i="3"/>
  <c r="E511" i="3"/>
  <c r="E99" i="3"/>
  <c r="E45" i="3"/>
  <c r="E193" i="3"/>
  <c r="E519" i="3"/>
  <c r="E573" i="3"/>
  <c r="E458" i="3"/>
  <c r="E527" i="3"/>
  <c r="E438" i="3"/>
  <c r="E457" i="3"/>
  <c r="E288" i="3"/>
  <c r="E562" i="3"/>
  <c r="W6" i="3"/>
  <c r="E571" i="3"/>
  <c r="E537" i="3"/>
  <c r="E450" i="3"/>
  <c r="E471"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16" i="67"/>
  <c r="C36" i="68"/>
  <c r="C16" i="15"/>
  <c r="D9" i="68"/>
  <c r="G1" i="73"/>
  <c r="N370" i="46" l="1"/>
  <c r="F26" i="43"/>
  <c r="M6" i="1"/>
  <c r="K16" i="1"/>
  <c r="E474" i="3"/>
  <c r="E529" i="3"/>
  <c r="E532" i="3"/>
  <c r="E313" i="3"/>
  <c r="E224" i="3"/>
  <c r="E157" i="3"/>
  <c r="E306" i="3"/>
  <c r="E352" i="3"/>
  <c r="E136" i="3"/>
  <c r="E461" i="3"/>
  <c r="E122"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N94" i="46"/>
  <c r="E26" i="43"/>
  <c r="J26" i="43"/>
  <c r="B15" i="71"/>
  <c r="B14" i="71" s="1"/>
  <c r="B13" i="71" s="1"/>
  <c r="B12" i="71" s="1"/>
  <c r="S16" i="71"/>
  <c r="C44" i="71"/>
  <c r="D43" i="71"/>
  <c r="AA23" i="36"/>
  <c r="S23" i="36"/>
  <c r="AB34" i="35"/>
  <c r="U34" i="35"/>
  <c r="S12" i="34"/>
  <c r="AA12" i="34"/>
  <c r="AC12" i="21"/>
  <c r="W12" i="21"/>
  <c r="C15" i="71"/>
  <c r="T16" i="71"/>
  <c r="Q67" i="71"/>
  <c r="F66" i="71"/>
  <c r="AB23" i="36"/>
  <c r="U23" i="36"/>
  <c r="AC36" i="35"/>
  <c r="W36" i="35"/>
  <c r="AA34" i="35"/>
  <c r="S34"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AF6" i="3"/>
  <c r="E102" i="3"/>
  <c r="E80" i="3"/>
  <c r="E113" i="3"/>
  <c r="E158" i="3"/>
  <c r="E287" i="3"/>
  <c r="E308" i="3"/>
  <c r="E326" i="3"/>
  <c r="E22" i="3"/>
  <c r="E83" i="3"/>
  <c r="E364" i="3"/>
  <c r="E50" i="3"/>
  <c r="E20" i="3"/>
  <c r="E62" i="3"/>
  <c r="E176" i="3"/>
  <c r="E218" i="3"/>
  <c r="E265" i="3"/>
  <c r="E365" i="3"/>
  <c r="E524" i="3"/>
  <c r="E101"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F41" i="67"/>
  <c r="AE6" i="1"/>
  <c r="O6" i="1" l="1"/>
  <c r="P6" i="1" s="1"/>
  <c r="C13" i="12" s="1"/>
  <c r="Q66" i="71"/>
  <c r="Q65" i="71"/>
  <c r="E65" i="39"/>
  <c r="D15" i="71"/>
  <c r="C14" i="71"/>
  <c r="D44" i="71"/>
  <c r="T44"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O16" i="1" l="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H25" i="6"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71" l="1"/>
  <c r="D11" i="7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D10" i="71" l="1"/>
  <c r="C9"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19" i="9"/>
  <c r="C20" i="9"/>
  <c r="C103" i="9" l="1"/>
  <c r="C102" i="9"/>
  <c r="C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C56" i="68"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C5" i="71" l="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8" i="1"/>
  <c r="AO7" i="1"/>
  <c r="AO11" i="1"/>
  <c r="AO10"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s="1"/>
  <c r="B2" i="40" s="1"/>
  <c r="B3" i="40" s="1"/>
  <c r="E14" i="74" l="1"/>
  <c r="F14" i="74"/>
  <c r="B5" i="74"/>
  <c r="D5" i="74" s="1"/>
  <c r="B6" i="74" l="1"/>
  <c r="D6" i="74" s="1"/>
  <c r="H118" i="9"/>
  <c r="I118" i="9" s="1"/>
  <c r="I4" i="52" l="1"/>
  <c r="H102" i="9"/>
  <c r="D7" i="53" s="1"/>
  <c r="B21" i="72" s="1"/>
  <c r="C105" i="9"/>
  <c r="C5" i="74"/>
  <c r="H4" i="52"/>
  <c r="H101" i="9"/>
  <c r="C104" i="9"/>
  <c r="H119" i="9"/>
  <c r="H5" i="52" s="1"/>
  <c r="D118" i="9"/>
  <c r="D119" i="9" l="1"/>
  <c r="D5" i="52" s="1"/>
  <c r="B49" i="72" s="1"/>
  <c r="D4" i="52"/>
  <c r="B47" i="72" s="1"/>
  <c r="D5" i="53"/>
  <c r="M48" i="9"/>
  <c r="D45" i="9"/>
  <c r="H107" i="9"/>
  <c r="D53" i="9" l="1"/>
  <c r="D55" i="9"/>
  <c r="M53" i="9" s="1"/>
  <c r="C93" i="9"/>
  <c r="C86" i="9" s="1"/>
  <c r="C85" i="9"/>
  <c r="C64" i="9"/>
  <c r="C63" i="9" s="1"/>
  <c r="C67" i="9" s="1"/>
  <c r="D52" i="9"/>
  <c r="C78" i="9"/>
  <c r="C73" i="9" s="1"/>
  <c r="C72" i="9"/>
  <c r="B20" i="72"/>
  <c r="D6" i="53"/>
  <c r="B22" i="72" s="1"/>
  <c r="H108" i="9"/>
  <c r="D13" i="53"/>
  <c r="D122" i="9"/>
  <c r="M49" i="9"/>
  <c r="C6" i="74" l="1"/>
  <c r="D15" i="53"/>
  <c r="B31" i="72" s="1"/>
  <c r="L64" i="9"/>
  <c r="M64" i="9" s="1"/>
  <c r="L68" i="9"/>
  <c r="M68" i="9" s="1"/>
  <c r="L66" i="9"/>
  <c r="M66" i="9" s="1"/>
  <c r="L67" i="9"/>
  <c r="M67" i="9" s="1"/>
  <c r="L63" i="9"/>
  <c r="M63" i="9" s="1"/>
  <c r="L65" i="9"/>
  <c r="M65" i="9" s="1"/>
  <c r="B30" i="72"/>
  <c r="D14" i="53"/>
  <c r="B32" i="72" s="1"/>
  <c r="C79" i="9"/>
  <c r="C95" i="9"/>
  <c r="D8" i="52"/>
  <c r="D123" i="9"/>
  <c r="D9" i="52" s="1"/>
  <c r="C68" i="9"/>
  <c r="D54" i="9" s="1"/>
  <c r="D59" i="9"/>
  <c r="M55" i="9" s="1"/>
  <c r="C80" i="9" l="1"/>
  <c r="E80" i="9" s="1"/>
  <c r="E81" i="9" s="1"/>
  <c r="M69" i="9"/>
  <c r="N69" i="9" s="1"/>
  <c r="C96" i="9"/>
  <c r="E96" i="9" s="1"/>
  <c r="E97" i="9" s="1"/>
  <c r="C97" i="9" l="1"/>
  <c r="D58" i="9" s="1"/>
  <c r="D56" i="9" s="1"/>
  <c r="M54" i="9" s="1"/>
  <c r="N57" i="9" s="1"/>
  <c r="P57" i="9" s="1"/>
  <c r="C81" i="9"/>
  <c r="N59" i="9" l="1"/>
  <c r="H111" i="9" s="1"/>
  <c r="N58" i="9"/>
  <c r="N61" i="9" l="1"/>
  <c r="H112" i="9" s="1"/>
  <c r="C8" i="74" s="1"/>
  <c r="N60" i="9"/>
  <c r="D19" i="53"/>
  <c r="D126" i="9"/>
  <c r="D21" i="53" l="1"/>
  <c r="B39" i="72" s="1"/>
  <c r="D20" i="53"/>
  <c r="B40" i="72" s="1"/>
  <c r="B38" i="72"/>
  <c r="D12" i="52"/>
  <c r="D127" i="9"/>
  <c r="D13" i="52" s="1"/>
  <c r="F118" i="9"/>
  <c r="G118" i="9" s="1"/>
  <c r="F4" i="52" l="1"/>
  <c r="B51" i="72" s="1"/>
  <c r="E118" i="9"/>
  <c r="E4" i="52" s="1"/>
  <c r="B48" i="72" s="1"/>
  <c r="G4" i="52"/>
  <c r="B52" i="72" s="1"/>
  <c r="F119" i="9"/>
  <c r="F5" i="52" s="1"/>
  <c r="B53"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<sst xmlns="http://schemas.openxmlformats.org/spreadsheetml/2006/main" count="8571" uniqueCount="3613">
  <si>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</si>
  <si>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</si>
  <si>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</si>
  <si>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</si>
  <si>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</si>
  <si>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</si>
  <si>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</si>
  <si>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</si>
  <si>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</si>
  <si>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</si>
  <si>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</si>
  <si>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</si>
  <si>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</si>
  <si>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</si>
  <si>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</si>
  <si>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</si>
  <si>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</si>
  <si>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</si>
  <si>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</si>
  <si>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</si>
  <si>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</si>
  <si>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</si>
  <si>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</si>
  <si>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</si>
  <si>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</si>
  <si>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</si>
  <si>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</si>
  <si>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</si>
  <si>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</si>
  <si>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</si>
  <si>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</si>
  <si>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</si>
  <si>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</si>
  <si>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</si>
  <si>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</si>
  <si>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</si>
  <si>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</si>
  <si>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</si>
  <si>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</si>
  <si>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</si>
  <si>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</si>
  <si>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</si>
  <si>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</si>
  <si>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</si>
  <si>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</si>
  <si>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</si>
  <si>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</si>
  <si>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</si>
  <si>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</si>
  <si>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</si>
  <si>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</si>
  <si>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</si>
  <si>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</si>
  <si>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</si>
  <si>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</si>
  <si>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</si>
  <si>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</si>
  <si>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</si>
  <si>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</si>
  <si>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</si>
  <si>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</si>
  <si>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</si>
  <si>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</si>
  <si>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</si>
  <si>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</si>
  <si>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</si>
  <si>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</si>
  <si>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</si>
  <si>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</si>
  <si>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</si>
  <si>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</si>
  <si>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</si>
  <si>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</si>
  <si>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</si>
  <si>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</si>
  <si>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</si>
  <si>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</si>
  <si>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</si>
  <si>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</si>
  <si>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</si>
  <si>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</si>
  <si>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</si>
  <si>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</si>
  <si>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</si>
  <si>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</si>
  <si>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</si>
  <si>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</si>
  <si>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</si>
  <si>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</si>
  <si>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</si>
  <si>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</si>
  <si>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</si>
  <si>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</si>
  <si>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</si>
  <si>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</si>
  <si>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</si>
  <si>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</si>
  <si>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</si>
  <si>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</si>
  <si>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</si>
  <si>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</si>
  <si>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</si>
  <si>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</si>
  <si>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</si>
  <si>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</si>
  <si>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</si>
  <si>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</si>
  <si>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</si>
  <si>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</si>
  <si>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</si>
  <si>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</si>
  <si>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</si>
  <si>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</si>
  <si>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</si>
  <si>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</si>
  <si>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</si>
  <si>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</si>
  <si>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</si>
  <si>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</si>
  <si>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</si>
  <si>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</si>
  <si>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</si>
  <si>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</si>
  <si>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</si>
  <si>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</si>
  <si>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</si>
  <si>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</si>
  <si>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</si>
  <si>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</si>
  <si>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</si>
  <si>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</si>
  <si>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</si>
  <si>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</si>
  <si>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</si>
  <si>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</si>
  <si>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</si>
  <si>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</si>
  <si>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</si>
  <si>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</si>
  <si>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</si>
  <si>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</si>
  <si>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</si>
  <si>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</si>
  <si>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</si>
  <si>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</si>
  <si>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</si>
  <si>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</si>
  <si>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</si>
  <si>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</si>
  <si>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</si>
  <si>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</si>
  <si>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</si>
  <si>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</si>
  <si>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</si>
  <si>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</si>
  <si>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</si>
  <si>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</si>
  <si>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</si>
  <si>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</si>
  <si>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</si>
  <si>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</si>
  <si>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</si>
  <si>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</si>
  <si>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</si>
  <si>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</si>
  <si>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</si>
  <si>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</si>
  <si>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</si>
  <si>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</si>
  <si>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</si>
  <si>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</si>
  <si>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</si>
  <si>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</si>
  <si>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</si>
  <si>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</si>
  <si>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</si>
  <si>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</si>
  <si>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</si>
  <si>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</si>
  <si>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</si>
  <si>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</si>
  <si>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</si>
  <si>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</si>
  <si>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</si>
  <si>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</si>
  <si>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</si>
  <si>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</si>
  <si>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</si>
  <si>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</si>
  <si>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</si>
  <si>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</si>
  <si>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</si>
  <si>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</si>
  <si>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</si>
  <si>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</si>
  <si>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</si>
  <si>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</si>
  <si>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</si>
  <si>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</si>
  <si>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</si>
  <si>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</si>
  <si>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</si>
  <si>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</si>
  <si>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</si>
  <si>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</si>
  <si>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</si>
  <si>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</si>
  <si>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</si>
  <si>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</si>
  <si>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</si>
  <si>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</si>
  <si>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</si>
  <si>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</si>
  <si>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</si>
  <si>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</si>
  <si>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</si>
  <si>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</si>
  <si>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</si>
  <si>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</si>
  <si>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</si>
  <si>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</si>
  <si>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</si>
  <si>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</si>
  <si>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</si>
  <si>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</si>
  <si>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</si>
  <si>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</si>
  <si>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</si>
  <si>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</si>
  <si>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</si>
  <si>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</si>
  <si>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</si>
  <si>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</si>
  <si>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</si>
  <si>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</si>
  <si>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</si>
  <si>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</si>
  <si>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</si>
  <si>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</si>
  <si>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</si>
  <si>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</si>
  <si>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</si>
  <si>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</si>
  <si>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</si>
  <si>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</si>
  <si>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</si>
  <si>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</si>
  <si>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</si>
  <si>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</si>
  <si>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</si>
  <si>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</si>
  <si>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</si>
  <si>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</si>
  <si>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</si>
  <si>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</si>
  <si>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</si>
  <si>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</si>
  <si>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</si>
  <si>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</si>
  <si>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</si>
  <si>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</si>
  <si>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</si>
  <si>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</si>
  <si>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</si>
  <si>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</si>
  <si>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</si>
  <si>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</si>
  <si>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</si>
  <si>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</si>
  <si>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</si>
  <si>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</si>
  <si>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</si>
  <si>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</si>
  <si>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</si>
  <si>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</si>
  <si>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</si>
  <si>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</si>
  <si>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</si>
  <si>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</si>
  <si>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</si>
  <si>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</si>
  <si>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</si>
  <si>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</si>
  <si>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</si>
  <si>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</si>
  <si>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</si>
  <si>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</si>
  <si>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</si>
  <si>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</si>
  <si>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</si>
  <si>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</si>
  <si>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</si>
  <si>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</si>
  <si>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</si>
  <si>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</si>
  <si>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</si>
  <si>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</si>
  <si>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</si>
  <si>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</si>
  <si>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</si>
  <si>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</si>
  <si>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</si>
  <si>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</si>
  <si>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</si>
  <si>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</si>
  <si>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</si>
  <si>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</si>
  <si>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</si>
  <si>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</si>
  <si>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</si>
  <si>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</si>
  <si>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</si>
  <si>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</si>
  <si>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</si>
  <si>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</si>
  <si>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</si>
  <si>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</si>
  <si>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</si>
  <si>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</si>
  <si>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</si>
  <si>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</si>
  <si>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</si>
  <si>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</si>
  <si>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</si>
  <si>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</si>
  <si>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</si>
  <si>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</si>
  <si>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</si>
  <si>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</si>
  <si>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</si>
  <si>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</si>
  <si>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</si>
  <si>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</si>
  <si>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</si>
  <si>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</si>
  <si>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</si>
  <si>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</si>
  <si>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</si>
  <si>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</si>
  <si>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</si>
  <si>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</si>
  <si>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</si>
  <si>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</si>
  <si>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</si>
  <si>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</si>
  <si>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</si>
  <si>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</si>
  <si>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</si>
  <si>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</si>
  <si>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</si>
  <si>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</si>
  <si>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</si>
  <si>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</si>
  <si>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</si>
  <si>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</si>
  <si>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</si>
  <si>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</si>
  <si>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</si>
  <si>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</si>
  <si>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</si>
  <si>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</si>
  <si>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</si>
  <si>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</si>
  <si>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</si>
  <si>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</si>
  <si>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</si>
  <si>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</si>
  <si>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</si>
  <si>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</si>
  <si>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</si>
  <si>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</si>
  <si>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</si>
  <si>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</si>
  <si>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</si>
  <si>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</si>
  <si>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</si>
  <si>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</si>
  <si>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</si>
  <si>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</si>
  <si>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</si>
  <si>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</si>
  <si>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</si>
  <si>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</si>
  <si>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</si>
  <si>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</si>
  <si>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</si>
  <si>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</si>
  <si>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</si>
  <si>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</si>
  <si>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</si>
  <si>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</si>
  <si>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</si>
  <si>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</si>
  <si>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</si>
  <si>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</si>
  <si>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</si>
  <si>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</si>
  <si>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</si>
  <si>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</si>
  <si>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</si>
  <si>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</si>
  <si>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</si>
  <si>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</si>
  <si>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</si>
  <si>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</si>
  <si>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</si>
  <si>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</si>
  <si>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</si>
  <si>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</si>
  <si>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</si>
  <si>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</si>
  <si>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</si>
  <si>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</si>
  <si>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</si>
  <si>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</si>
  <si>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</si>
  <si>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</si>
  <si>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</si>
  <si>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</si>
  <si>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</si>
  <si>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</si>
  <si>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</si>
  <si>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</si>
  <si>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</si>
  <si>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</si>
  <si>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</si>
  <si>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</si>
  <si>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</si>
  <si>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</si>
  <si>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</si>
  <si>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</si>
  <si>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</si>
  <si>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</si>
  <si>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</si>
  <si>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</si>
  <si>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</si>
  <si>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</si>
  <si>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</si>
  <si>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</si>
  <si>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</si>
  <si>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</si>
  <si>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</si>
  <si>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</si>
  <si>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</si>
  <si>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</si>
  <si>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</si>
  <si>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</si>
  <si>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</si>
  <si>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</si>
  <si>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</si>
  <si>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</si>
  <si>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</si>
  <si>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</si>
  <si>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</si>
  <si>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</si>
  <si>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</si>
  <si>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</si>
  <si>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</si>
  <si>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</si>
  <si>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</si>
  <si>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</si>
  <si>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</si>
  <si>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</si>
  <si>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</si>
  <si>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</si>
  <si>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</si>
  <si>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</si>
  <si>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</si>
  <si>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</si>
  <si>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</si>
  <si>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</si>
  <si>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</si>
  <si>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</si>
  <si>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</si>
  <si>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</si>
  <si>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</si>
  <si>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</si>
  <si>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</si>
  <si>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</si>
  <si>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</si>
  <si>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</si>
  <si>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</si>
  <si>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</si>
  <si>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</si>
  <si>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</si>
  <si>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</si>
  <si>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</si>
  <si>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</si>
  <si>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</si>
  <si>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</si>
  <si>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</si>
  <si>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</si>
  <si>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</si>
  <si>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</si>
  <si>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</si>
  <si>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</si>
  <si>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</si>
  <si>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</si>
  <si>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</si>
  <si>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</si>
  <si>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</si>
  <si>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</si>
  <si>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</si>
  <si>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</si>
  <si>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</si>
  <si>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</si>
  <si>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</si>
  <si>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</si>
  <si>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</si>
  <si>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</si>
  <si>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</si>
  <si>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</si>
  <si>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</si>
  <si>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</si>
  <si>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</si>
  <si>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</si>
  <si>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</si>
  <si>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</si>
  <si>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</si>
  <si>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</si>
  <si>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</si>
  <si>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</si>
  <si>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</si>
  <si>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</si>
  <si>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</si>
  <si>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</si>
  <si>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</si>
  <si>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</si>
  <si>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</si>
  <si>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</si>
  <si>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</si>
  <si>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</si>
  <si>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</si>
  <si>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</si>
  <si>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</si>
  <si>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</si>
  <si>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</si>
  <si>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</si>
  <si>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</si>
  <si>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</si>
  <si>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</si>
  <si>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</si>
  <si>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</si>
  <si>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</si>
  <si>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</si>
  <si>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</si>
  <si>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</si>
  <si>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</si>
  <si>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</si>
  <si>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</si>
  <si>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</si>
  <si>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</si>
  <si>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</si>
  <si>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</si>
  <si>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</si>
  <si>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</si>
  <si>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</si>
  <si>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</si>
  <si>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</si>
  <si>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</si>
  <si>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</si>
  <si>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</si>
  <si>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</si>
  <si>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</si>
  <si>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</si>
  <si>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</si>
  <si>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</si>
  <si>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</si>
  <si>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</si>
  <si>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</si>
  <si>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</si>
  <si>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</si>
  <si>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</si>
  <si>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</si>
  <si>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</si>
  <si>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</si>
  <si>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</si>
  <si>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</si>
  <si>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</si>
  <si>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</si>
  <si>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</si>
  <si>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</si>
  <si>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</si>
  <si>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</si>
  <si>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</si>
  <si>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</si>
  <si>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</si>
  <si>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</si>
  <si>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</si>
  <si>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</si>
  <si>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</si>
  <si>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</si>
  <si>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</si>
  <si>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</si>
  <si>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</si>
  <si>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</si>
  <si>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</si>
  <si>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</si>
  <si>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</si>
  <si>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</si>
  <si>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</si>
  <si>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</si>
  <si>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</si>
  <si>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</si>
  <si>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</si>
  <si>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</si>
  <si>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</si>
  <si>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</si>
  <si>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</si>
  <si>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</si>
  <si>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</si>
  <si>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</si>
  <si>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</si>
  <si>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</si>
  <si>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</si>
  <si>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</si>
  <si>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</si>
  <si>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</si>
  <si>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</si>
  <si>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</si>
  <si>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</si>
  <si>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</si>
  <si>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</si>
  <si>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</si>
  <si>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</si>
  <si>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</si>
  <si>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</si>
  <si>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</si>
  <si>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</si>
  <si>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</si>
  <si>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</si>
  <si>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</si>
  <si>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</si>
  <si>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</si>
  <si>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</si>
  <si>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</si>
  <si>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</si>
  <si>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</si>
  <si>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</si>
  <si>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</si>
  <si>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</si>
  <si>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</si>
  <si>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</si>
  <si>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</si>
  <si>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</si>
  <si>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</si>
  <si>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</si>
  <si>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</si>
  <si>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</si>
  <si>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</si>
  <si>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</si>
  <si>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</si>
  <si>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</si>
  <si>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</si>
  <si>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</si>
  <si>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</si>
  <si>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</si>
  <si>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</si>
  <si>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</si>
  <si>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</si>
  <si>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</si>
  <si>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</si>
  <si>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</si>
  <si>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</si>
  <si>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</si>
  <si>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</si>
  <si>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</si>
  <si>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</si>
  <si>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</si>
  <si>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</si>
  <si>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</si>
  <si>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</si>
  <si>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</si>
  <si>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</si>
  <si>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</si>
  <si>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</si>
  <si>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</si>
  <si>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</si>
  <si>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</si>
  <si>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</si>
  <si>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</si>
  <si>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</si>
  <si>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</si>
  <si>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</si>
  <si>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</si>
  <si>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</si>
  <si>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</si>
  <si>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</si>
  <si>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</si>
  <si>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</si>
  <si>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</si>
  <si>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</si>
  <si>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</si>
  <si>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</si>
  <si>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</si>
  <si>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</si>
  <si>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</si>
  <si>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</si>
  <si>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</si>
  <si>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</si>
  <si>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</si>
  <si>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</si>
  <si>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</si>
  <si>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</si>
  <si>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</si>
  <si>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</si>
  <si>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</si>
  <si>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</si>
  <si>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</si>
  <si>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</si>
  <si>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</si>
  <si>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</si>
  <si>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</si>
  <si>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</si>
  <si>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</si>
  <si>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</si>
  <si>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</si>
  <si>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</si>
  <si>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</si>
  <si>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</si>
  <si>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</si>
  <si>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</si>
  <si>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</si>
  <si>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</si>
  <si>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</si>
  <si>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</si>
  <si>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</si>
  <si>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</si>
  <si>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</si>
  <si>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</si>
  <si>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</si>
  <si>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</si>
  <si>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</si>
  <si>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</si>
  <si>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</si>
  <si>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</si>
  <si>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</si>
  <si>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</si>
  <si>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</si>
  <si>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</si>
  <si>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</si>
  <si>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</si>
  <si>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</si>
  <si>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</si>
  <si>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</si>
  <si>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</si>
  <si>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</si>
  <si>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</si>
  <si>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</si>
  <si>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</si>
  <si>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</si>
  <si>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</si>
  <si>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</si>
  <si>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</si>
  <si>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</si>
  <si>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</si>
  <si>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</si>
  <si>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</si>
  <si>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</si>
  <si>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</si>
  <si>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</si>
  <si>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</si>
  <si>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</si>
  <si>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</si>
  <si>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</si>
  <si>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</si>
  <si>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</si>
  <si>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</si>
  <si>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</si>
  <si>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</si>
  <si>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</si>
  <si>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</si>
  <si>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</si>
  <si>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</si>
  <si>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</si>
  <si>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</si>
  <si>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</si>
  <si>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</si>
  <si>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</si>
  <si>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</si>
  <si>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</si>
  <si>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</si>
  <si>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</si>
  <si>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</si>
  <si>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</si>
  <si>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</si>
  <si>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</si>
  <si>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</si>
  <si>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</si>
  <si>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</si>
  <si>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</si>
  <si>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</si>
  <si>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</si>
  <si>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</si>
  <si>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</si>
  <si>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</si>
  <si>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</si>
  <si>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</si>
  <si>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</si>
  <si>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</si>
  <si>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</si>
  <si>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</si>
  <si>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</si>
  <si>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</si>
  <si>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</si>
  <si>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</si>
  <si>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</si>
  <si>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</si>
  <si>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</si>
  <si>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</si>
  <si>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</si>
  <si>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</si>
  <si>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</si>
  <si>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</si>
  <si>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</si>
  <si>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</si>
  <si>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</si>
  <si>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</si>
  <si>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</si>
  <si>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</si>
  <si>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</si>
  <si>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</si>
  <si>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</si>
  <si>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</si>
  <si>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</si>
  <si>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</si>
  <si>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</si>
  <si>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</si>
  <si>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</si>
  <si>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</si>
  <si>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</si>
  <si>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</si>
  <si>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</si>
  <si>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</si>
  <si>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</si>
  <si>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</si>
  <si>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</si>
  <si>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</si>
  <si>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</si>
  <si>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</si>
  <si>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</si>
  <si>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</si>
  <si>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</si>
  <si>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</si>
  <si>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</si>
  <si>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</si>
  <si>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</si>
  <si>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</si>
  <si>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</si>
  <si>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</si>
  <si>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</si>
  <si>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</si>
  <si>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</si>
  <si>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</si>
  <si>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</si>
  <si>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</si>
  <si>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</si>
  <si>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</si>
  <si>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</si>
  <si>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</si>
  <si>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</si>
  <si>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</si>
  <si>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</si>
  <si>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</si>
  <si>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</si>
  <si>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</si>
  <si>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</si>
  <si>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</si>
  <si>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</si>
  <si>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</si>
  <si>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</si>
  <si>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</si>
  <si>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</si>
  <si>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</si>
  <si>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</si>
  <si>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</si>
  <si>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</si>
  <si>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</si>
  <si>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</si>
  <si>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</si>
  <si>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</si>
  <si>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</si>
  <si>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</si>
  <si>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</si>
  <si>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</si>
  <si>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</si>
  <si>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</si>
  <si>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</si>
  <si>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</si>
  <si>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</si>
  <si>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</si>
  <si>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</si>
  <si>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</si>
  <si>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</si>
  <si>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</si>
  <si>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</si>
  <si>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</si>
  <si>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</si>
  <si>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</si>
  <si>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</si>
  <si>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</si>
  <si>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</si>
  <si>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</si>
  <si>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</si>
  <si>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</si>
  <si>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</si>
  <si>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</si>
  <si>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</si>
  <si>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</si>
  <si>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</si>
  <si>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</si>
  <si>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</si>
  <si>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</si>
  <si>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</si>
  <si>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</si>
  <si>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</si>
  <si>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</si>
  <si>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</si>
  <si>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</si>
  <si>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</si>
  <si>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</si>
  <si>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</si>
  <si>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</si>
  <si>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</si>
  <si>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</si>
  <si>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</si>
  <si>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</si>
  <si>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</si>
  <si>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</si>
  <si>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</si>
  <si>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</si>
  <si>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</si>
  <si>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</si>
  <si>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</si>
  <si>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</si>
  <si>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</si>
  <si>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</si>
  <si>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</si>
  <si>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</si>
  <si>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</si>
  <si>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</si>
  <si>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</si>
  <si>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</si>
  <si>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</si>
  <si>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</si>
  <si>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</si>
  <si>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</si>
  <si>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</si>
  <si>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</si>
  <si>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</si>
  <si>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</si>
  <si>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</si>
  <si>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</si>
  <si>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</si>
  <si>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</si>
  <si>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</si>
  <si>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</si>
  <si>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</si>
  <si>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</si>
  <si>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</si>
  <si>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</si>
  <si>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</si>
  <si>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</si>
  <si>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</si>
  <si>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</si>
  <si>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</si>
  <si>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</si>
  <si>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</si>
  <si>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</si>
  <si>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</si>
  <si>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</si>
  <si>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</si>
  <si>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</si>
  <si>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</si>
  <si>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</si>
  <si>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</si>
  <si>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</si>
  <si>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</si>
  <si>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</si>
  <si>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</si>
  <si>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</si>
  <si>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</si>
  <si>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</si>
  <si>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</si>
  <si>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</si>
  <si>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</si>
  <si>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</si>
  <si>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</si>
  <si>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</si>
  <si>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</si>
  <si>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</si>
  <si>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</si>
  <si>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</si>
  <si>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</si>
  <si>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</si>
  <si>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</si>
  <si>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</si>
  <si>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</si>
  <si>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</si>
  <si>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</si>
  <si>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</si>
  <si>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</si>
  <si>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</si>
  <si>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</si>
  <si>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</si>
  <si>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</si>
  <si>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</si>
  <si>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</si>
  <si>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</si>
  <si>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</si>
  <si>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</si>
  <si>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</si>
  <si>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</si>
  <si>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</si>
  <si>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</si>
  <si>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</si>
  <si>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</si>
  <si>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</si>
  <si>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</si>
  <si>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</si>
  <si>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</si>
  <si>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</si>
  <si>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</si>
  <si>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</si>
  <si>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</si>
  <si>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</si>
  <si>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</si>
  <si>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</si>
  <si>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</si>
  <si>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</si>
  <si>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</si>
  <si>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</si>
  <si>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</si>
  <si>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</si>
  <si>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</si>
  <si>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</si>
  <si>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</si>
  <si>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</si>
  <si>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</si>
  <si>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</si>
  <si>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</si>
  <si>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</si>
  <si>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</si>
  <si>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</si>
  <si>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</si>
  <si>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</si>
  <si>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</si>
  <si>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</si>
  <si>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</si>
  <si>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</si>
  <si>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</si>
  <si>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</si>
  <si>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</si>
  <si>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</si>
  <si>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</si>
  <si>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</si>
  <si>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</si>
  <si>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</si>
  <si>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</si>
  <si>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</si>
  <si>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</si>
  <si>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</si>
  <si>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</si>
  <si>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</si>
  <si>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</si>
  <si>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</si>
  <si>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</si>
  <si>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</si>
  <si>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</si>
  <si>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</si>
  <si>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</si>
  <si>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</si>
  <si>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</si>
  <si>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</si>
  <si>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</si>
  <si>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</si>
  <si>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</si>
  <si>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</si>
  <si>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</si>
  <si>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</si>
  <si>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</si>
  <si>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</si>
  <si>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</si>
  <si>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</si>
  <si>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</si>
  <si>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</si>
  <si>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</si>
  <si>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</si>
  <si>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</si>
  <si>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</si>
  <si>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</si>
  <si>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</si>
  <si>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</si>
  <si>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</si>
  <si>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</si>
  <si>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</si>
  <si>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</si>
  <si>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</si>
  <si>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</si>
  <si>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</si>
  <si>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</si>
  <si>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</si>
  <si>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</si>
  <si>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</si>
  <si>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</si>
  <si>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</si>
  <si>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</si>
  <si>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</si>
  <si>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</si>
  <si>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</si>
  <si>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</si>
  <si>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</si>
  <si>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</si>
  <si>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</si>
  <si>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</si>
  <si>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</si>
  <si>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</si>
  <si>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</si>
  <si>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</si>
  <si>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</si>
  <si>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</si>
  <si>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</si>
  <si>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</si>
  <si>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</si>
  <si>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</si>
  <si>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</si>
  <si>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</si>
  <si>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</si>
  <si>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</si>
  <si>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</si>
  <si>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</si>
  <si>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</si>
  <si>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</si>
  <si>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</si>
  <si>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</si>
  <si>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</si>
  <si>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</si>
  <si>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</si>
  <si>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</si>
  <si>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</si>
  <si>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</si>
  <si>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</si>
  <si>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</si>
  <si>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</si>
  <si>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</si>
  <si>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</si>
  <si>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</si>
  <si>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</si>
  <si>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</si>
  <si>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</si>
  <si>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</si>
  <si>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</si>
  <si>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</si>
  <si>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</si>
  <si>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</si>
  <si>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</si>
  <si>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</si>
  <si>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</si>
  <si>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</si>
  <si>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</si>
  <si>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</si>
  <si>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</si>
  <si>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</si>
  <si>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</si>
  <si>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</si>
  <si>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</si>
  <si>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</si>
  <si>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</si>
  <si>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</si>
  <si>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</si>
  <si>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</si>
  <si>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</si>
  <si>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</si>
  <si>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</si>
  <si>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</si>
  <si>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</si>
  <si>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</si>
  <si>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</si>
  <si>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</si>
  <si>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</si>
  <si>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</si>
  <si>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</si>
  <si>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</si>
  <si>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</si>
  <si>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</si>
  <si>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</si>
  <si>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</si>
  <si>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</si>
  <si>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</si>
  <si>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</si>
  <si>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</si>
  <si>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</si>
  <si>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</si>
  <si>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</si>
  <si>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</si>
  <si>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</si>
  <si>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</si>
  <si>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</si>
  <si>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</si>
  <si>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</si>
  <si>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</si>
  <si>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</si>
  <si>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</si>
  <si>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</si>
  <si>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</si>
  <si>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</si>
  <si>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</si>
  <si>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</si>
  <si>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</si>
  <si>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</si>
  <si>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</si>
  <si>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</si>
  <si>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</si>
  <si>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</si>
  <si>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</si>
  <si>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</si>
  <si>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</si>
  <si>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</si>
  <si>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</si>
  <si>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</si>
  <si>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</si>
  <si>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</si>
  <si>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</si>
  <si>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</si>
  <si>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</si>
  <si>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</si>
  <si>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</si>
  <si>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</si>
  <si>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</si>
  <si>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</si>
  <si>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</si>
  <si>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</si>
  <si>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</si>
  <si>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</si>
  <si>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</si>
  <si>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</si>
  <si>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</si>
  <si>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</si>
  <si>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</si>
  <si>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</si>
  <si>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</si>
  <si>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</si>
  <si>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</si>
  <si>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</si>
  <si>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</si>
  <si>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</si>
  <si>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</si>
  <si>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</si>
  <si>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</si>
  <si>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</si>
  <si>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</si>
  <si>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</si>
  <si>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</si>
  <si>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</si>
  <si>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</si>
  <si>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</si>
  <si>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</si>
  <si>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</si>
  <si>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</si>
  <si>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</si>
  <si>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</si>
  <si>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</si>
  <si>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</si>
  <si>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</si>
  <si>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</si>
  <si>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</si>
  <si>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</si>
  <si>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</si>
  <si>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</si>
  <si>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</si>
  <si>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</si>
  <si>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</si>
  <si>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</si>
  <si>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</si>
  <si>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</si>
  <si>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</si>
  <si>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</si>
  <si>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</si>
  <si>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</si>
  <si>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</si>
  <si>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</si>
  <si>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</si>
  <si>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</si>
  <si>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</si>
  <si>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</si>
  <si>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</si>
  <si>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</si>
  <si>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</si>
  <si>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</si>
  <si>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</si>
  <si>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</si>
  <si>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</si>
  <si>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</si>
  <si>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</si>
  <si>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</si>
  <si>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</si>
  <si>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</si>
  <si>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</si>
  <si>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</si>
  <si>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</si>
  <si>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</si>
  <si>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</si>
  <si>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</si>
  <si>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</si>
  <si>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</si>
  <si>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</si>
  <si>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</si>
  <si>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</si>
  <si>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</si>
  <si>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</si>
  <si>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</si>
  <si>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</si>
  <si>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</si>
  <si>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</si>
  <si>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</si>
  <si>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</si>
  <si>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</si>
  <si>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</si>
  <si>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</si>
  <si>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</si>
  <si>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</si>
  <si>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</si>
  <si>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</si>
  <si>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</si>
  <si>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</si>
  <si>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</si>
  <si>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</si>
  <si>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</si>
  <si>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</si>
  <si>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</si>
  <si>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</si>
  <si>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</si>
  <si>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</si>
  <si>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</si>
  <si>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</si>
  <si>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</si>
  <si>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</si>
  <si>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</si>
  <si>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</si>
  <si>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</si>
  <si>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</si>
  <si>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</si>
  <si>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</si>
  <si>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</si>
  <si>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</si>
  <si>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</si>
  <si>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</si>
  <si>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</si>
  <si>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</si>
  <si>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</si>
  <si>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</si>
  <si>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</si>
  <si>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</si>
  <si>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</si>
  <si>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</si>
  <si>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</si>
  <si>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</si>
  <si>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</si>
  <si>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</si>
  <si>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</si>
  <si>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</si>
  <si>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</si>
  <si>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</si>
  <si>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</si>
  <si>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</si>
  <si>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</si>
  <si>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</si>
  <si>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</si>
  <si>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</si>
  <si>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</si>
  <si>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</si>
  <si>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</si>
  <si>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</si>
  <si>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</si>
  <si>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</si>
  <si>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</si>
  <si>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</si>
  <si>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</si>
  <si>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</si>
  <si>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</si>
  <si>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</si>
  <si>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</si>
  <si>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</si>
  <si>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</si>
  <si>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</si>
  <si>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</si>
  <si>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</si>
  <si>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</si>
  <si>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</si>
  <si>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</si>
  <si>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</si>
  <si>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</si>
  <si>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</si>
  <si>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</si>
  <si>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</si>
  <si>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</si>
  <si>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</si>
  <si>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</si>
  <si>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</si>
  <si>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</si>
  <si>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</si>
  <si>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</si>
  <si>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</si>
  <si>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</si>
  <si>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</si>
  <si>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</si>
  <si>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</si>
  <si>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</si>
  <si>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</si>
  <si>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</si>
  <si>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</si>
  <si>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</si>
  <si>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</si>
  <si>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</si>
  <si>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</si>
  <si>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</si>
  <si>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</si>
  <si>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</si>
  <si>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</si>
  <si>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</si>
  <si>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</si>
  <si>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</si>
  <si>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</si>
  <si>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</si>
  <si>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</si>
  <si>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</si>
  <si>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</si>
  <si>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</si>
  <si>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</si>
  <si>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</si>
  <si>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</si>
  <si>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</si>
  <si>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</si>
  <si>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</si>
  <si>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</si>
  <si>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</si>
  <si>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</si>
  <si>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</si>
  <si>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</si>
  <si>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</si>
  <si>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</si>
  <si>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</si>
  <si>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</si>
  <si>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</si>
  <si>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</si>
  <si>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</si>
  <si>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</si>
  <si>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</si>
  <si>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</si>
  <si>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</si>
  <si>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</si>
  <si>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</si>
  <si>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</si>
  <si>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</si>
  <si>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</si>
  <si>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</si>
  <si>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</si>
  <si>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</si>
  <si>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</si>
  <si>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</si>
  <si>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</si>
  <si>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</si>
  <si>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</si>
  <si>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</si>
  <si>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</si>
  <si>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</si>
  <si>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</si>
  <si>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</si>
  <si>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</si>
  <si>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</si>
  <si>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</si>
  <si>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</si>
  <si>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</si>
  <si>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</si>
  <si>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</si>
  <si>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</si>
  <si>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</si>
  <si>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</si>
  <si>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</si>
  <si>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</si>
  <si>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</si>
  <si>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</si>
  <si>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</si>
  <si>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</si>
  <si>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</si>
  <si>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</si>
  <si>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</si>
  <si>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</si>
  <si>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</si>
  <si>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</si>
  <si>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</si>
  <si>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</si>
  <si>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</si>
  <si>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</si>
  <si>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</si>
  <si>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</si>
  <si>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</si>
  <si>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</si>
  <si>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</si>
  <si>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</si>
  <si>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</si>
  <si>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</si>
  <si>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</si>
  <si>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</si>
  <si>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</si>
  <si>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</si>
  <si>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</si>
  <si>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</si>
  <si>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</si>
  <si>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</si>
  <si>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</si>
  <si>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</si>
  <si>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</si>
  <si>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</si>
  <si>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</si>
  <si>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</si>
  <si>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</si>
  <si>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</si>
  <si>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</si>
  <si>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</si>
  <si>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</si>
  <si>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</si>
  <si>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</si>
  <si>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</si>
  <si>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</si>
  <si>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</si>
  <si>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</si>
  <si>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</si>
  <si>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</si>
  <si>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</si>
  <si>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</si>
  <si>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</si>
  <si>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</si>
  <si>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</si>
  <si>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</si>
  <si>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</si>
  <si>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</si>
  <si>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</si>
  <si>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</si>
  <si>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</si>
  <si>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</si>
  <si>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</si>
  <si>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</si>
  <si>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</si>
  <si>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</si>
  <si>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</si>
  <si>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</si>
  <si>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</si>
  <si>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</si>
  <si>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</si>
  <si>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</si>
  <si>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</si>
  <si>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</si>
  <si>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</si>
  <si>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</si>
  <si>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</si>
  <si>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</si>
  <si>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</si>
  <si>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</si>
  <si>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</si>
  <si>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</si>
  <si>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</si>
  <si>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</si>
  <si>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</si>
  <si>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</si>
  <si>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</si>
  <si>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</si>
  <si>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</si>
  <si>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</si>
  <si>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</si>
  <si>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</si>
  <si>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</si>
  <si>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</si>
  <si>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</si>
  <si>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</si>
  <si>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</si>
  <si>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</si>
  <si>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</si>
  <si>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</si>
  <si>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</si>
  <si>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</si>
  <si>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</si>
  <si>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</si>
  <si>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</si>
  <si>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</si>
  <si>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</si>
  <si>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</si>
  <si>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</si>
  <si>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</si>
  <si>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</si>
  <si>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</si>
  <si>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</si>
  <si>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</si>
  <si>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</si>
  <si>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</si>
  <si>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</si>
  <si>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</si>
  <si>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</si>
  <si>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</si>
  <si>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</si>
  <si>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</si>
  <si>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</si>
  <si>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</si>
  <si>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</si>
  <si>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</si>
  <si>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</si>
  <si>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</si>
  <si>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</si>
  <si>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</si>
  <si>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</si>
  <si>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</si>
  <si>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</si>
  <si>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</si>
  <si>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</si>
  <si>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</si>
  <si>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</si>
  <si>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</si>
  <si>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</si>
  <si>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</si>
  <si>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</si>
  <si>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</si>
  <si>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</si>
  <si>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</si>
  <si>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</si>
  <si>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</si>
  <si>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</si>
  <si>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</si>
  <si>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</si>
  <si>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</si>
  <si>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</si>
  <si>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</si>
  <si>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</si>
  <si>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</si>
  <si>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</si>
  <si>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</si>
  <si>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</si>
  <si>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</si>
  <si>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</si>
  <si>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</si>
  <si>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</si>
  <si>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</si>
  <si>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</si>
  <si>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</si>
  <si>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</si>
  <si>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</si>
  <si>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</si>
  <si>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</si>
  <si>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</si>
  <si>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</si>
  <si>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</si>
  <si>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</si>
  <si>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</si>
  <si>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</si>
  <si>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</si>
  <si>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</si>
  <si>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</si>
  <si>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</si>
  <si>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</si>
  <si>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</si>
  <si>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</si>
  <si>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</si>
  <si>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</si>
  <si>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</si>
  <si>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</si>
  <si>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</si>
  <si>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</si>
  <si>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</si>
  <si>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</si>
  <si>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</si>
  <si>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</si>
  <si>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</si>
  <si>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</si>
  <si>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</si>
  <si>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</si>
  <si>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</si>
  <si>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</si>
  <si>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</si>
  <si>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</si>
  <si>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</si>
  <si>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</si>
  <si>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</si>
  <si>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</si>
  <si>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</si>
  <si>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</si>
  <si>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</si>
  <si>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</si>
  <si>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</si>
  <si>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</si>
  <si>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</si>
  <si>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</si>
  <si>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</si>
  <si>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</si>
  <si>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</si>
  <si>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</si>
  <si>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</si>
  <si>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</si>
  <si>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</si>
  <si>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</si>
  <si>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</si>
  <si>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</si>
  <si>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</si>
  <si>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</si>
  <si>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</si>
  <si>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</si>
  <si>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</si>
  <si>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</si>
  <si>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</si>
  <si>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</si>
  <si>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</si>
  <si>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</si>
  <si>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</si>
  <si>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</si>
  <si>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</si>
  <si>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</si>
  <si>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</si>
  <si>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</si>
  <si>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</si>
  <si>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</si>
  <si>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</si>
  <si>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</si>
  <si>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</si>
  <si>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</si>
  <si>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</si>
  <si>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</si>
  <si>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</si>
  <si>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</si>
  <si>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</si>
  <si>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</si>
  <si>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</si>
  <si>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</si>
  <si>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</si>
  <si>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</si>
  <si>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</si>
  <si>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</si>
  <si>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</si>
  <si>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</si>
  <si>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</si>
  <si>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</si>
  <si>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</si>
  <si>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</si>
  <si>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</si>
  <si>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</si>
  <si>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</si>
  <si>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</si>
  <si>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</si>
  <si>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</si>
  <si>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</si>
  <si>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</si>
  <si>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</si>
  <si>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</si>
  <si>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</si>
  <si>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</si>
  <si>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</si>
  <si>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</si>
  <si>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</si>
  <si>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</si>
  <si>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</si>
  <si>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</si>
  <si>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</si>
  <si>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</si>
  <si>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</si>
  <si>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</si>
  <si>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</si>
  <si>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</si>
  <si>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</si>
  <si>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</si>
  <si>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</si>
  <si>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</si>
  <si>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</si>
  <si>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</si>
  <si>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</si>
  <si>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</si>
  <si>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</si>
  <si>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</si>
  <si>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</si>
  <si>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</si>
  <si>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</si>
  <si>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</si>
  <si>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</si>
  <si>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</si>
  <si>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</si>
  <si>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</si>
  <si>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</si>
  <si>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</si>
  <si>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</si>
  <si>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</si>
  <si>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</si>
  <si>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</si>
  <si>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</si>
  <si>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</si>
  <si>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</si>
  <si>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</si>
  <si>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</si>
  <si>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</si>
  <si>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</si>
  <si>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</si>
  <si>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</si>
  <si>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</si>
  <si>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</si>
  <si>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</si>
  <si>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</si>
  <si>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</si>
  <si>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</si>
  <si>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</si>
  <si>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</si>
  <si>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</si>
  <si>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</si>
  <si>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</si>
  <si>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</si>
  <si>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</si>
  <si>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</si>
  <si>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</si>
  <si>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</si>
  <si>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</si>
  <si>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</si>
  <si>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</si>
  <si>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</si>
  <si>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</si>
  <si>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</si>
  <si>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</si>
  <si>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</si>
  <si>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</si>
  <si>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</si>
  <si>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</si>
  <si>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</si>
  <si>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</si>
  <si>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</si>
  <si>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</si>
  <si>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</si>
  <si>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</si>
  <si>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</si>
  <si>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</si>
  <si>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</si>
  <si>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</si>
  <si>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</si>
  <si>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</si>
  <si>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</si>
  <si>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</si>
  <si>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</si>
  <si>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</si>
  <si>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</si>
  <si>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</si>
  <si>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</si>
  <si>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</si>
  <si>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</si>
  <si>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</si>
  <si>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</si>
  <si>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</si>
  <si>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</si>
  <si>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</si>
  <si>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</si>
  <si>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</si>
  <si>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</si>
  <si>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</si>
  <si>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</si>
  <si>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</si>
  <si>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</si>
  <si>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</si>
  <si>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</si>
  <si>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</si>
  <si>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</si>
  <si>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</si>
  <si>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</si>
  <si>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</si>
  <si>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</si>
  <si>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</si>
  <si>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</si>
  <si>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</si>
  <si>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</si>
  <si>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</si>
  <si>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</si>
  <si>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</si>
  <si>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</si>
  <si>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</si>
  <si>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</si>
  <si>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</si>
  <si>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</si>
  <si>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</si>
  <si>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</si>
  <si>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</si>
  <si>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</si>
  <si>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</si>
  <si>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</si>
  <si>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</si>
  <si>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</si>
  <si>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</si>
  <si>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</si>
  <si>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</si>
  <si>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</si>
  <si>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</si>
  <si>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</si>
  <si>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</si>
  <si>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</si>
  <si>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</si>
  <si>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</si>
  <si>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</si>
  <si>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</si>
  <si>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</si>
  <si>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</si>
  <si>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</si>
  <si>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</si>
  <si>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</si>
  <si>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</si>
  <si>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</si>
  <si>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</si>
  <si>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</si>
  <si>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</si>
  <si>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</si>
  <si>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</si>
  <si>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</si>
  <si>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</si>
  <si>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</si>
  <si>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</si>
  <si>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</si>
  <si>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</si>
  <si>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</si>
  <si>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</si>
  <si>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</si>
  <si>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</si>
  <si>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</si>
  <si>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</si>
  <si>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</si>
  <si>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</si>
  <si>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</si>
  <si>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</si>
  <si>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</si>
  <si>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</si>
  <si>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</si>
  <si>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</si>
  <si>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</si>
  <si>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</si>
  <si>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</si>
  <si>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</si>
  <si>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</si>
  <si>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</si>
  <si>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</si>
  <si>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</si>
  <si>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</si>
  <si>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</si>
  <si>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</si>
  <si>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</si>
  <si>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</si>
  <si>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</si>
  <si>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</si>
  <si>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</si>
  <si>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</si>
  <si>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</si>
  <si>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</si>
  <si>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</si>
  <si>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</si>
  <si>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</si>
  <si>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</si>
  <si>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</si>
  <si>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</si>
  <si>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</si>
  <si>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</si>
  <si>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</si>
  <si>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</si>
  <si>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</si>
  <si>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</si>
  <si>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</si>
  <si>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</si>
  <si>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</si>
  <si>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</si>
  <si>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</si>
  <si>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</si>
  <si>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</si>
  <si>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</si>
  <si>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</si>
  <si>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</si>
  <si>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</si>
  <si>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</si>
  <si>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</si>
  <si>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</si>
  <si>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</si>
  <si>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</si>
  <si>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</si>
  <si>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</si>
  <si>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</si>
  <si>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</si>
  <si>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</si>
  <si>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</si>
  <si>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</si>
  <si>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</si>
  <si>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</si>
  <si>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</si>
  <si>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</si>
  <si>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</si>
  <si>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</si>
  <si>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</si>
  <si>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</si>
  <si>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</si>
  <si>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</si>
  <si>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</si>
  <si>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</si>
  <si>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</si>
  <si>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</si>
  <si>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</si>
  <si>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</si>
  <si>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</si>
  <si>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</si>
  <si>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</si>
  <si>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</si>
  <si>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</si>
  <si>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</si>
  <si>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</si>
  <si>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</si>
  <si>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</si>
  <si>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</si>
  <si>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</si>
  <si>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</si>
  <si>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</si>
  <si>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</si>
  <si>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</si>
  <si>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</si>
  <si>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</si>
  <si>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</si>
  <si>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</si>
  <si>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</si>
  <si>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</si>
  <si>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</si>
  <si>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</si>
  <si>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</si>
  <si>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</si>
  <si>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</si>
  <si>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</si>
  <si>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</si>
  <si>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</si>
  <si>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</si>
  <si>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</si>
  <si>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</si>
  <si>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</si>
  <si>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</si>
  <si>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</si>
  <si>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</si>
  <si>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</si>
  <si>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</si>
  <si>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</si>
  <si>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</si>
  <si>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</si>
  <si>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</si>
  <si>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</si>
  <si>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</si>
  <si>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</si>
  <si>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</si>
  <si>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</si>
  <si>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</si>
  <si>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</si>
  <si>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</si>
  <si>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</si>
  <si>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</si>
  <si>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</si>
  <si>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</si>
  <si>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</si>
  <si>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</si>
  <si>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</si>
  <si>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</si>
  <si>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</si>
  <si>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</si>
  <si>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</si>
  <si>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</si>
  <si>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</si>
  <si>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</si>
  <si>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</si>
  <si>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</si>
  <si>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</si>
  <si>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</si>
  <si>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</si>
  <si>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</si>
  <si>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</si>
  <si>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</si>
  <si>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</si>
  <si>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</si>
  <si>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</si>
  <si>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</si>
  <si>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</si>
  <si>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</si>
  <si>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</si>
  <si>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</si>
  <si>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</si>
  <si>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</si>
  <si>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</si>
  <si>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</si>
  <si>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</si>
  <si>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</si>
  <si>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</si>
  <si>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</si>
  <si>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</si>
  <si>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</si>
  <si>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</si>
  <si>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</si>
  <si>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</si>
  <si>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</si>
  <si>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</si>
  <si>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</si>
  <si>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</si>
  <si>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</si>
  <si>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</si>
  <si>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</si>
  <si>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</si>
  <si>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</si>
  <si>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</si>
  <si>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</si>
  <si>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</si>
  <si>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</si>
  <si>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</si>
  <si>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</si>
  <si>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</si>
  <si>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</si>
  <si>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</si>
  <si>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</si>
  <si>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</si>
  <si>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</si>
  <si>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</si>
  <si>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</si>
  <si>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</si>
  <si>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</si>
  <si>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</si>
  <si>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</si>
  <si>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</si>
  <si>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</si>
  <si>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</si>
  <si>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</si>
  <si>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</si>
  <si>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</si>
  <si>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</si>
  <si>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</si>
  <si>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</si>
  <si>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</si>
  <si>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</si>
  <si>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</si>
  <si>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</si>
  <si>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</si>
  <si>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</si>
  <si>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</si>
  <si>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</si>
  <si>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</si>
  <si>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</si>
  <si>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</si>
  <si>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</si>
  <si>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</si>
  <si>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</si>
  <si>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</si>
  <si>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</si>
  <si>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</si>
  <si>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</si>
  <si>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</si>
  <si>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</si>
  <si>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</si>
  <si>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</si>
  <si>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</si>
  <si>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</si>
  <si>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</si>
  <si>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</si>
  <si>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</si>
  <si>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</si>
  <si>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</si>
  <si>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</si>
  <si>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</si>
  <si>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</si>
  <si>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</si>
  <si>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</si>
  <si>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</si>
  <si>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</si>
  <si>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</si>
  <si>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</si>
  <si>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</si>
  <si>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</si>
  <si>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</si>
  <si>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</si>
  <si>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</si>
  <si>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</si>
  <si>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</si>
  <si>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</si>
  <si>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</si>
  <si>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</si>
  <si>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</si>
  <si>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</si>
  <si>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</si>
  <si>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</si>
  <si>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</si>
  <si>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</si>
  <si>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</si>
  <si>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</si>
  <si>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</si>
  <si>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</si>
  <si>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</si>
  <si>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</si>
  <si>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</si>
  <si>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</si>
  <si>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</si>
  <si>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</si>
  <si>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</si>
  <si>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</si>
  <si>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</si>
  <si>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</si>
  <si>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</si>
  <si>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</si>
  <si>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</si>
  <si>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</si>
  <si>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</si>
  <si>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</si>
  <si>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</si>
  <si>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</si>
  <si>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</si>
  <si>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</si>
  <si>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</si>
  <si>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</si>
  <si>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</si>
  <si>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</si>
  <si>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</si>
  <si>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</si>
  <si>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</si>
  <si>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</si>
  <si>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</si>
  <si>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</si>
  <si>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</si>
  <si>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</si>
  <si>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</si>
  <si>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</si>
  <si>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</si>
  <si>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</si>
  <si>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</si>
  <si>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</si>
  <si>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</si>
  <si>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</si>
  <si>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</si>
  <si>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</si>
  <si>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</si>
  <si>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</si>
  <si>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</si>
  <si>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</si>
  <si>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</si>
  <si>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</si>
  <si>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</si>
  <si>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</si>
  <si>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</si>
  <si>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</si>
  <si>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</si>
  <si>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</si>
  <si>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</si>
  <si>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</si>
  <si>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</si>
  <si>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</si>
  <si>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</si>
  <si>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</si>
  <si>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</si>
  <si>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</si>
  <si>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</si>
  <si>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</si>
  <si>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</si>
  <si>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</si>
  <si>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</si>
  <si>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</si>
  <si>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</si>
  <si>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</si>
  <si>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</si>
  <si>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</si>
  <si>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</si>
  <si>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</si>
  <si>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</si>
  <si>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</si>
  <si>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</si>
  <si>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</si>
  <si>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</si>
  <si>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</si>
  <si>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</si>
  <si>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</si>
  <si>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</si>
  <si>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</si>
  <si>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</si>
  <si>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</si>
  <si>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</si>
  <si>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</si>
  <si>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</si>
  <si>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</si>
  <si>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</si>
  <si>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</si>
  <si>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</si>
  <si>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</si>
  <si>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</si>
  <si>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</si>
  <si>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</si>
  <si>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</si>
  <si>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</si>
  <si>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</si>
  <si>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</si>
  <si>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</si>
  <si>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</si>
  <si>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</si>
  <si>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</si>
  <si>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</si>
  <si>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</si>
  <si>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</si>
  <si>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</si>
  <si>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</si>
  <si>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</si>
  <si>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</si>
  <si>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</si>
  <si>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</si>
  <si>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</si>
  <si>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</si>
  <si>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</si>
  <si>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</si>
  <si>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</si>
  <si>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</si>
  <si>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</si>
  <si>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</si>
  <si>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</si>
  <si>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</si>
  <si>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</si>
  <si>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</si>
  <si>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</si>
  <si>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</si>
  <si>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</si>
  <si>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</si>
  <si>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</si>
  <si>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</si>
  <si>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</si>
  <si>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</si>
  <si>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</si>
  <si>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</si>
  <si>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</si>
  <si>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</si>
  <si>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</si>
  <si>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</si>
  <si>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</si>
  <si>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</si>
  <si>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</si>
  <si>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</si>
  <si>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</si>
  <si>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</si>
  <si>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</si>
  <si>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</si>
  <si>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</si>
  <si>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</si>
  <si>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</si>
  <si>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</si>
  <si>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</si>
  <si>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</si>
  <si>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</si>
  <si>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</si>
  <si>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</si>
  <si>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</si>
  <si>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</si>
  <si>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</si>
  <si>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</si>
  <si>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</si>
  <si>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</si>
  <si>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</si>
  <si>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</si>
  <si>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</si>
  <si>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</si>
  <si>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</si>
  <si>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</si>
  <si>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</si>
  <si>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</si>
  <si>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</si>
  <si>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</si>
  <si>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</si>
  <si>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</si>
  <si>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</si>
  <si>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</si>
  <si>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</si>
  <si>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</si>
  <si>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</si>
  <si>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</si>
  <si>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</si>
  <si>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</si>
  <si>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</si>
  <si>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</si>
  <si>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</si>
  <si>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</si>
  <si>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</si>
  <si>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</si>
  <si>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</si>
  <si>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</si>
  <si>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</si>
  <si>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</si>
  <si>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</si>
  <si>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</si>
  <si>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</si>
  <si>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</si>
  <si>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</si>
  <si>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</si>
  <si>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</si>
  <si>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</si>
  <si>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</si>
  <si>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</si>
  <si>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</si>
  <si>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</si>
  <si>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</si>
  <si>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</si>
  <si>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</si>
  <si>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</si>
  <si>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</si>
  <si>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</si>
  <si>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</si>
  <si>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</si>
  <si>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</si>
  <si>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</si>
  <si>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</si>
  <si>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</si>
  <si>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</si>
  <si>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</si>
  <si>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</si>
  <si>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</si>
  <si>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</si>
  <si>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</si>
  <si>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</si>
  <si>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</si>
  <si>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</si>
  <si>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</si>
  <si>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</si>
  <si>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</si>
  <si>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</si>
  <si>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</si>
  <si>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</si>
  <si>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</si>
  <si>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</si>
  <si>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</si>
  <si>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</si>
  <si>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</si>
  <si>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</si>
  <si>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</si>
  <si>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</si>
  <si>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</si>
  <si>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</si>
  <si>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</si>
  <si>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</si>
  <si>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</si>
  <si>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</si>
  <si>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</si>
  <si>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</si>
  <si>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</si>
  <si>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</si>
  <si>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</si>
  <si>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</si>
  <si>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</si>
  <si>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</si>
  <si>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</si>
  <si>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</si>
  <si>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</si>
  <si>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</si>
  <si>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</si>
  <si>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</si>
  <si>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</si>
  <si>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</si>
  <si>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</si>
  <si>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</si>
  <si>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</si>
  <si>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</si>
  <si>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</si>
  <si>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</si>
  <si>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</si>
  <si>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</si>
  <si>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</si>
  <si>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</si>
  <si>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</si>
  <si>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</si>
  <si>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</si>
  <si>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</si>
  <si>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</si>
  <si>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</si>
  <si>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</si>
  <si>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</si>
  <si>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</si>
  <si>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</si>
  <si>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</si>
  <si>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</si>
  <si>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</si>
  <si>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</si>
  <si>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</si>
  <si>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</si>
  <si>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</si>
  <si>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</si>
  <si>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</si>
  <si>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</si>
  <si>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</si>
  <si>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</si>
  <si>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</si>
  <si>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</si>
  <si>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</si>
  <si>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</si>
  <si>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</si>
  <si>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</si>
  <si>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</si>
  <si>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</si>
  <si>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</si>
  <si>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</si>
  <si>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</si>
  <si>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</si>
  <si>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</si>
  <si>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</si>
  <si>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</si>
  <si>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</si>
  <si>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</si>
  <si>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</si>
  <si>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</si>
  <si>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</si>
  <si>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</si>
  <si>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</si>
  <si>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</si>
  <si>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</si>
  <si>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</si>
  <si>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</si>
  <si>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</si>
  <si>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</si>
  <si>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</si>
  <si>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</si>
  <si>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</si>
  <si>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</si>
  <si>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</si>
  <si>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</si>
  <si>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</si>
  <si>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</si>
  <si>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</si>
  <si>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</si>
  <si>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</si>
  <si>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</si>
  <si>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</si>
  <si>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</si>
  <si>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</si>
  <si>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</si>
  <si>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</si>
  <si>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</si>
  <si>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</si>
  <si>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</si>
  <si>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</si>
  <si>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</si>
  <si>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</si>
  <si>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</si>
  <si>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</si>
  <si>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</si>
  <si>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</si>
  <si>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</si>
  <si>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</si>
  <si>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</si>
  <si>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</si>
  <si>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</si>
  <si>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</si>
  <si>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</si>
  <si>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</si>
  <si>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</si>
  <si>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</si>
  <si>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</si>
  <si>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</si>
  <si>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</si>
  <si>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</si>
  <si>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</si>
  <si>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</si>
  <si>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</si>
  <si>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</si>
  <si>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</si>
  <si>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</si>
  <si>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</si>
  <si>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</si>
  <si>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</si>
  <si>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</si>
  <si>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</si>
  <si>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</si>
  <si>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</si>
  <si>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</si>
  <si>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</si>
  <si>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</si>
  <si>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</si>
  <si>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</si>
  <si>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</si>
  <si>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</si>
  <si>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</si>
  <si>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</si>
  <si>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</si>
  <si>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</si>
  <si>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</si>
  <si>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</si>
  <si>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</si>
  <si>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</si>
  <si>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</si>
  <si>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</si>
  <si>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</si>
  <si>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</si>
  <si>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</si>
  <si>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</si>
  <si>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</si>
  <si>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</si>
  <si>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</si>
  <si>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</si>
  <si>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</si>
  <si>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</si>
  <si>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</si>
  <si>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</si>
  <si>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</si>
  <si>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</si>
  <si>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</si>
  <si>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</si>
  <si>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</si>
  <si>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</si>
  <si>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</si>
  <si>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</si>
  <si>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</si>
  <si>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</si>
  <si>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</si>
  <si>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</si>
  <si>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</si>
  <si>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</si>
  <si>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</si>
  <si>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</si>
  <si>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</si>
  <si>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</si>
  <si>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</si>
  <si>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</si>
  <si>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</si>
  <si>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</si>
  <si>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</si>
  <si>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</si>
  <si>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</si>
  <si>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</si>
  <si>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</si>
  <si>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</si>
  <si>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</si>
  <si>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</si>
  <si>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</si>
  <si>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</si>
  <si>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</si>
  <si>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</si>
  <si>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</si>
  <si>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</si>
  <si>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</si>
  <si>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</si>
  <si>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</si>
  <si>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</si>
  <si>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</si>
  <si>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</si>
  <si>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</si>
  <si>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</si>
  <si>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</si>
  <si>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</si>
  <si>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</si>
  <si>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</si>
  <si>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</si>
  <si>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</si>
  <si>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</si>
  <si>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</si>
  <si>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</si>
  <si>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</si>
  <si>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</si>
  <si>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</si>
  <si>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</si>
  <si>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</si>
  <si>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</si>
  <si>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</si>
  <si>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</si>
  <si>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</si>
  <si>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</si>
  <si>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</si>
  <si>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</si>
  <si>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</si>
  <si>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</si>
  <si>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</si>
  <si>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</si>
  <si>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</si>
  <si>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</si>
  <si>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</si>
  <si>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</si>
  <si>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</si>
  <si>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</si>
  <si>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</si>
  <si>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</si>
  <si>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</si>
  <si>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</si>
  <si>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</si>
  <si>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</si>
  <si>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</si>
  <si>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</si>
  <si>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</si>
  <si>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</si>
  <si>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</si>
  <si>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</si>
  <si>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</si>
  <si>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</si>
  <si>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</si>
  <si>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</si>
  <si>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</si>
  <si>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</si>
  <si>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</si>
  <si>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</si>
  <si>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</si>
  <si>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</si>
  <si>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</si>
  <si>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</si>
  <si>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</si>
  <si>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</si>
  <si>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</si>
  <si>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</si>
  <si>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</si>
  <si>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</si>
  <si>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</si>
  <si>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</si>
  <si>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</si>
  <si>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</si>
  <si>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</si>
  <si>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</si>
  <si>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</si>
  <si>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</si>
  <si>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</si>
  <si>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</si>
  <si>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</si>
  <si>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</si>
  <si>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</si>
  <si>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</si>
  <si>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</si>
  <si>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</si>
  <si>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</si>
  <si>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</si>
  <si>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</si>
  <si>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</si>
  <si>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</si>
  <si>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</si>
  <si>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</si>
  <si>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</si>
  <si>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</si>
  <si>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</si>
  <si>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</si>
  <si>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</si>
  <si>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</si>
  <si>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</si>
  <si>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</si>
  <si>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</si>
  <si>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</si>
  <si>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</si>
  <si>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</si>
  <si>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</si>
  <si>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</si>
  <si>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</si>
  <si>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</si>
  <si>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</si>
  <si>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</si>
  <si>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</si>
  <si>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</si>
  <si>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</si>
  <si>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</si>
  <si>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</si>
  <si>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</si>
  <si>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</si>
  <si>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</si>
  <si>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</si>
  <si>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</si>
  <si>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</si>
  <si>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</si>
  <si>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</si>
  <si>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</si>
  <si>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</si>
  <si>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</si>
  <si>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</si>
  <si>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</si>
  <si>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</si>
  <si>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</si>
  <si>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</si>
  <si>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</si>
  <si>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</si>
  <si>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</si>
  <si>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</si>
  <si>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</si>
  <si>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</si>
  <si>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</si>
  <si>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</si>
  <si>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</si>
  <si>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</si>
  <si>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</si>
  <si>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</si>
  <si>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</si>
  <si>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</si>
  <si>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</si>
  <si>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</si>
  <si>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</si>
  <si>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</si>
  <si>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</si>
  <si>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</si>
  <si>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</si>
  <si>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</si>
  <si>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</si>
  <si>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</si>
  <si>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</si>
  <si>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</si>
  <si>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</si>
  <si>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</si>
  <si>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</si>
  <si>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</si>
  <si>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</si>
  <si>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</si>
  <si>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</si>
  <si>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</si>
  <si>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</si>
  <si>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</si>
  <si>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</si>
  <si>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</si>
  <si>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</si>
  <si>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</si>
  <si>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</si>
  <si>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</si>
  <si>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</si>
  <si>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</si>
  <si>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</si>
  <si>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</si>
  <si>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</si>
  <si>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</si>
  <si>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</si>
  <si>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</si>
  <si>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</si>
  <si>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</si>
  <si>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</si>
  <si>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</si>
  <si>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</si>
  <si>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</si>
  <si>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</si>
  <si>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</si>
  <si>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</si>
  <si>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</si>
  <si>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</si>
  <si>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</si>
  <si>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</si>
  <si>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</si>
  <si>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</si>
  <si>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</si>
  <si>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</si>
  <si>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</si>
  <si>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</si>
  <si>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</si>
  <si>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</si>
  <si>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</si>
  <si>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</si>
  <si>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</si>
  <si>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</si>
  <si>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</si>
  <si>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</si>
  <si>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</si>
  <si>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</si>
  <si>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</si>
  <si>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</si>
  <si>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</si>
  <si>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</si>
  <si>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</si>
  <si>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</si>
  <si>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</si>
  <si>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</si>
  <si>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</si>
  <si>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</si>
  <si>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</si>
  <si>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</si>
  <si>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</si>
  <si>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</si>
  <si>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</si>
  <si>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</si>
  <si>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</si>
  <si>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</si>
  <si>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</si>
  <si>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</si>
  <si>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</si>
  <si>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</si>
  <si>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</si>
  <si>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</si>
  <si>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</si>
  <si>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</si>
  <si>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</si>
  <si>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</si>
  <si>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</si>
  <si>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</si>
  <si>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</si>
  <si>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</si>
  <si>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</si>
  <si>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</si>
  <si>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</si>
  <si>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</si>
  <si>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</si>
  <si>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</si>
  <si>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</si>
  <si>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</si>
  <si>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</si>
  <si>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</si>
  <si>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</si>
  <si>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</si>
  <si>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</si>
  <si>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</si>
  <si>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</si>
  <si>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</si>
  <si>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</si>
  <si>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</si>
  <si>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</si>
  <si>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</si>
  <si>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</si>
  <si>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</si>
  <si>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</si>
  <si>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</si>
  <si>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</si>
  <si>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</si>
  <si>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</si>
  <si>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</si>
  <si>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</si>
  <si>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</si>
  <si>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</si>
  <si>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</si>
  <si>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</si>
  <si>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</si>
  <si>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</si>
  <si>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</si>
  <si>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</si>
  <si>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</si>
  <si>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</si>
  <si>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</si>
  <si>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</si>
  <si>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</si>
  <si>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</si>
  <si>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</si>
  <si>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</si>
  <si>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</si>
  <si>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</si>
  <si>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</si>
  <si>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</si>
  <si>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</si>
  <si>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</si>
  <si>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</si>
  <si>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</si>
  <si>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</si>
  <si>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</si>
  <si>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</si>
  <si>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</si>
  <si>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</si>
  <si>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</si>
  <si>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</si>
  <si>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</si>
  <si>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</si>
  <si>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</si>
  <si>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</si>
  <si>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</si>
  <si>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</si>
  <si>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</si>
  <si>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</si>
  <si>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</si>
  <si>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</si>
  <si>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</si>
  <si>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</si>
  <si>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</si>
  <si>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</si>
  <si>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</si>
  <si>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</si>
  <si>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</si>
  <si>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</si>
  <si>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</si>
  <si>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</si>
  <si>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</si>
  <si>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</si>
  <si>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</si>
  <si>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</si>
  <si>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</si>
  <si>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</si>
  <si>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</si>
  <si>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</si>
  <si>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</si>
  <si>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</si>
  <si>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</si>
  <si>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</si>
  <si>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</si>
  <si>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</si>
  <si>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</si>
  <si>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</si>
  <si>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</si>
  <si>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</si>
  <si>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</si>
  <si>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</si>
  <si>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</si>
  <si>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</si>
  <si>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</si>
  <si>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</si>
  <si>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</si>
  <si>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</si>
  <si>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</si>
  <si>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</si>
  <si>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</si>
  <si>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</si>
  <si>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</si>
  <si>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</si>
  <si>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</si>
  <si>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</si>
  <si>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</si>
  <si>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</si>
  <si>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</si>
  <si>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</si>
  <si>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</si>
  <si>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</si>
  <si>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</si>
  <si>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</si>
  <si>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</si>
  <si>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</si>
  <si>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</si>
  <si>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</si>
  <si>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</si>
  <si>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</si>
  <si>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</si>
  <si>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</si>
  <si>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</si>
  <si>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</si>
  <si>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</si>
  <si>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</si>
  <si>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</si>
  <si>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</si>
  <si>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</si>
  <si>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</si>
  <si>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</si>
  <si>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</si>
  <si>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</si>
  <si>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</si>
  <si>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</si>
  <si>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</si>
  <si>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</si>
  <si>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</si>
  <si>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</si>
  <si>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</si>
  <si>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</si>
  <si>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</si>
  <si>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</si>
  <si>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</si>
  <si>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</si>
  <si>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</si>
  <si>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</si>
  <si>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</si>
  <si>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</si>
  <si>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</si>
  <si>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</si>
  <si>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</si>
  <si>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</si>
  <si>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</si>
  <si>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</si>
  <si>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</si>
  <si>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</si>
  <si>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</si>
  <si>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</si>
  <si>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</si>
  <si>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</si>
  <si>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</si>
  <si>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</si>
  <si>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</si>
  <si>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</si>
  <si>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</si>
  <si>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</si>
  <si>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</si>
  <si>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</si>
  <si>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</si>
  <si>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</si>
  <si>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</si>
  <si>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</si>
  <si>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</si>
  <si>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</si>
  <si>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</si>
  <si>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</si>
  <si>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</si>
  <si>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</si>
  <si>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</si>
  <si>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</si>
  <si>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</si>
  <si>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</si>
  <si>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</si>
  <si>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</si>
  <si>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</si>
  <si>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</si>
  <si>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</si>
  <si>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</si>
  <si>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</si>
  <si>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</si>
  <si>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</si>
  <si>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</si>
  <si>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</si>
  <si>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</si>
  <si>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</si>
  <si>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</si>
  <si>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</si>
  <si>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</si>
  <si>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</si>
  <si>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</si>
  <si>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</si>
  <si>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</si>
  <si>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</si>
  <si>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</si>
  <si>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</si>
  <si>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</si>
  <si>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</si>
  <si>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</si>
  <si>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</si>
  <si>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</si>
  <si>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</si>
  <si>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</si>
  <si>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</si>
  <si>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</si>
  <si>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</si>
  <si>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</si>
  <si>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</si>
  <si>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</si>
  <si>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</si>
  <si>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</si>
  <si>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</si>
  <si>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</si>
  <si>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</si>
  <si>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</si>
  <si>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</si>
  <si>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</si>
  <si>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</si>
  <si>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</si>
  <si>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</si>
  <si>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</si>
  <si>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</si>
  <si>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</si>
  <si>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</si>
  <si>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</si>
  <si>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</si>
  <si>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</si>
  <si>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</si>
  <si>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</si>
  <si>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</si>
  <si>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</si>
  <si>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</si>
  <si>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</si>
  <si>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</si>
  <si>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</si>
  <si>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</si>
  <si>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</si>
  <si>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</si>
  <si>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</si>
  <si>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</si>
  <si>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</si>
  <si>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</si>
  <si>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</si>
  <si>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</si>
  <si>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</si>
  <si>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</si>
  <si>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</si>
  <si>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</si>
  <si>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</si>
  <si>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</si>
  <si>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</si>
  <si>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</si>
  <si>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</si>
  <si>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</si>
  <si>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</si>
  <si>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</si>
  <si>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</si>
  <si>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</si>
  <si>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</si>
  <si>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</si>
  <si>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</si>
  <si>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</si>
  <si>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</si>
  <si>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</si>
  <si>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</si>
  <si>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</si>
  <si>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</si>
  <si>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</si>
  <si>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</si>
  <si>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</si>
  <si>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</si>
  <si>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</si>
  <si>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</si>
  <si>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</si>
  <si>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</si>
  <si>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</si>
  <si>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</si>
  <si>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</si>
  <si>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</si>
  <si>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</si>
  <si>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</si>
  <si>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</si>
  <si>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</si>
  <si>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</si>
  <si>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</si>
  <si>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</si>
  <si>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</si>
  <si>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</si>
  <si>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</si>
  <si>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</si>
  <si>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</si>
  <si>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</si>
  <si>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</si>
  <si>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</si>
  <si>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</si>
  <si>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</si>
  <si>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</si>
  <si>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</si>
  <si>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</si>
  <si>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</si>
  <si>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</si>
  <si>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</si>
  <si>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</si>
  <si>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</si>
  <si>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</si>
  <si>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</si>
  <si>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</si>
  <si>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</si>
  <si>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</si>
  <si>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</si>
  <si>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</si>
  <si>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</si>
  <si>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</si>
  <si>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</si>
  <si>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</si>
  <si>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</si>
  <si>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</si>
  <si>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</si>
  <si>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</si>
  <si>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</si>
  <si>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</si>
  <si>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</si>
  <si>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</si>
  <si>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</si>
  <si>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</si>
  <si>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</si>
  <si>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</si>
  <si>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</si>
  <si>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</si>
  <si>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</si>
  <si>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</si>
  <si>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</si>
  <si>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</si>
  <si>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</si>
  <si>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</si>
  <si>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</si>
  <si>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</si>
  <si>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</si>
  <si>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</si>
  <si>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</si>
  <si>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</si>
  <si>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</si>
  <si>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</si>
  <si>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</si>
  <si>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</si>
  <si>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</si>
  <si>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</si>
  <si>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</si>
  <si>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</si>
  <si>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</si>
  <si>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</si>
  <si>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</si>
  <si>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</si>
  <si>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</si>
  <si>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</si>
  <si>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</si>
  <si>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</si>
  <si>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</si>
  <si>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</si>
  <si>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</si>
  <si>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</si>
  <si>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</si>
  <si>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</si>
  <si>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</si>
  <si>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</si>
  <si>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</si>
  <si>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</si>
  <si>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</si>
  <si>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</si>
  <si>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</si>
  <si>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</si>
  <si>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</si>
  <si>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</si>
  <si>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</si>
  <si>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</si>
  <si>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</si>
  <si>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</si>
  <si>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</si>
  <si>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</si>
  <si>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</si>
  <si>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</si>
  <si>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</si>
  <si>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</si>
  <si>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</si>
  <si>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</si>
  <si>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</si>
  <si>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</si>
  <si>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</si>
  <si>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</si>
  <si>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</si>
  <si>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</si>
  <si>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</si>
  <si>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</si>
  <si>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</si>
  <si>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</si>
  <si>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</si>
  <si>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</si>
  <si>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</si>
  <si>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</si>
  <si>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</si>
  <si>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</si>
  <si>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</si>
  <si>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</si>
  <si>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</si>
  <si>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</si>
  <si>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</si>
  <si>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</si>
  <si>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</si>
  <si>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</si>
  <si>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</si>
  <si>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</si>
  <si>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</si>
  <si>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</si>
  <si>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</si>
  <si>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</si>
  <si>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</si>
  <si>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</si>
  <si>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</si>
  <si>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</si>
  <si>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</si>
  <si>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</si>
  <si>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</si>
  <si>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</si>
  <si>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</si>
  <si>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</si>
  <si>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</si>
  <si>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</si>
  <si>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</si>
  <si>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</si>
  <si>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</si>
  <si>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</si>
  <si>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</si>
  <si>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</si>
  <si>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</si>
  <si>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</si>
  <si>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</si>
  <si>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</si>
  <si>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</si>
  <si>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</si>
  <si>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</si>
  <si>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</si>
  <si>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</si>
  <si>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</si>
  <si>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</si>
  <si>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</si>
  <si>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</si>
  <si>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</si>
  <si>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</si>
  <si>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</si>
  <si>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</si>
  <si>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</si>
  <si>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</si>
  <si>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</si>
  <si>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</si>
  <si>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</si>
  <si>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</si>
  <si>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</si>
  <si>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</si>
  <si>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</si>
  <si>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</si>
  <si>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</si>
  <si>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</si>
  <si>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</si>
  <si>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</si>
  <si>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</si>
  <si>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</si>
  <si>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</si>
  <si>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</si>
  <si>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</si>
  <si>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</si>
  <si>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</si>
  <si>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</si>
  <si>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</si>
  <si>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</si>
  <si>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</si>
  <si>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</si>
  <si>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</si>
  <si>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</si>
  <si>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</si>
  <si>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</si>
  <si>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</si>
  <si>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</si>
  <si>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</si>
  <si>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</si>
  <si>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</si>
  <si>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</si>
  <si>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</si>
  <si>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</si>
  <si>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</si>
  <si>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</si>
  <si>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</si>
  <si>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</si>
  <si>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</si>
  <si>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</si>
  <si>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</si>
  <si>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</si>
  <si>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</si>
  <si>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其他：</t>
  </si>
  <si>
    <t>企业</t>
  </si>
  <si>
    <t>是</t>
  </si>
  <si>
    <t>地上</t>
  </si>
  <si>
    <t>地下</t>
  </si>
  <si>
    <t>苏州精雕</t>
  </si>
  <si>
    <t>苏州精雕</t>
    <phoneticPr fontId="7" type="noConversion"/>
  </si>
  <si>
    <t>成新度</t>
  </si>
  <si>
    <t>幢号</t>
    <phoneticPr fontId="134" type="noConversion"/>
  </si>
  <si>
    <t>地上建筑面积</t>
    <phoneticPr fontId="134" type="noConversion"/>
  </si>
  <si>
    <t>地下建筑面积</t>
    <phoneticPr fontId="134" type="noConversion"/>
  </si>
  <si>
    <t>总层数</t>
    <phoneticPr fontId="134" type="noConversion"/>
  </si>
  <si>
    <t>https://www.suzhou.gov.cn/szsrmzf/sfxmml/201607/PXH23DAR9EL5YA2NGY8EHGD7HP7AFYCQ.shtml</t>
    <phoneticPr fontId="3" type="noConversion"/>
  </si>
  <si>
    <t>收益法</t>
  </si>
  <si>
    <t>押一</t>
  </si>
  <si>
    <t>钢混</t>
  </si>
  <si>
    <t>生产用房</t>
  </si>
  <si>
    <t>否</t>
  </si>
  <si>
    <t>未包含在土地购买价格中</t>
  </si>
  <si>
    <t>全部缴纳</t>
  </si>
  <si>
    <t>已包含在土地取得成本中</t>
  </si>
  <si>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</si>
  <si>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</si>
  <si>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</si>
  <si>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</si>
  <si>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</si>
  <si>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</si>
  <si>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</si>
  <si>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</si>
  <si>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</si>
  <si>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</si>
  <si>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</si>
  <si>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</si>
  <si>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</si>
  <si>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</si>
  <si>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</si>
  <si>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</si>
  <si>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</si>
  <si>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</si>
  <si>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</si>
  <si>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</si>
  <si>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</si>
  <si>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</si>
  <si>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占桥头街东、晶银新材料北地块</t>
  </si>
  <si>
    <t>苏州市</t>
  </si>
  <si>
    <t>苏新国土2023-WG-15号</t>
  </si>
  <si>
    <t xml:space="preserve"> 工业用地</t>
  </si>
  <si>
    <t xml:space="preserve"> ≥2,≤3</t>
  </si>
  <si>
    <t xml:space="preserve"> 挂牌</t>
  </si>
  <si>
    <t xml:space="preserve">-- </t>
  </si>
  <si>
    <t xml:space="preserve"> 已成交</t>
  </si>
  <si>
    <t xml:space="preserve"> 苏州晶银新材料科技有限公司  </t>
  </si>
  <si>
    <t>2023-09-19 16:00</t>
  </si>
  <si>
    <t xml:space="preserve"> 30年</t>
  </si>
  <si>
    <t>苏州高新区科技城漓江路东、吕梁山路南地块</t>
  </si>
  <si>
    <t>苏新国土2023-WG-14号</t>
  </si>
  <si>
    <t xml:space="preserve"> ≥2,≤3.5</t>
  </si>
  <si>
    <t xml:space="preserve"> 汉拿科锐动电子(苏州)有限公司  </t>
  </si>
  <si>
    <t>2023-08-29 16:00</t>
  </si>
  <si>
    <t>苏新国土2023-WG-10号</t>
  </si>
  <si>
    <t xml:space="preserve"> 苏州新声科技有限公司  </t>
  </si>
  <si>
    <t>2023-06-27 16:00</t>
  </si>
  <si>
    <t>苏新国土2023-WG-07号</t>
  </si>
  <si>
    <t xml:space="preserve"> ≥2.5,≤3.5</t>
  </si>
  <si>
    <t xml:space="preserve"> 苏州金橙子激光技术有限公司  </t>
  </si>
  <si>
    <t>2023-06-09 16:00</t>
  </si>
  <si>
    <t>苏新国土2023-WG-08号</t>
  </si>
  <si>
    <t xml:space="preserve"> 苏州绿宝块毯有限公司  </t>
  </si>
  <si>
    <t>苏新国土2023-WG-09号</t>
  </si>
  <si>
    <t xml:space="preserve"> 拨云生物医药科技(苏州)有限公司  </t>
  </si>
  <si>
    <t>苏新国土2023-WG-06号</t>
  </si>
  <si>
    <t xml:space="preserve"> 新磊半导体科技(苏州)股份有限公司  </t>
  </si>
  <si>
    <t>苏新国土2023-WG-04号</t>
  </si>
  <si>
    <t xml:space="preserve"> 苏州艾益动物药品有限公司  </t>
  </si>
  <si>
    <t>2023-05-12 16:00</t>
  </si>
  <si>
    <t>苏新国土2023-WG-05号</t>
  </si>
  <si>
    <t xml:space="preserve"> ≥1.8,≤2.5</t>
  </si>
  <si>
    <t xml:space="preserve"> 苏州长光华芯半导体激光创新研究院有限公司  </t>
  </si>
  <si>
    <t>苏新国土2023-WG-02号</t>
  </si>
  <si>
    <t xml:space="preserve"> 苏州高新生命科技有限公司  </t>
  </si>
  <si>
    <t>苏新国土2023-WG-01号</t>
  </si>
  <si>
    <t xml:space="preserve"> 苏州厨芯智能制造有限公司  </t>
  </si>
  <si>
    <t>2023-04-25 16:00</t>
  </si>
  <si>
    <t>苏新国土2023-WG-03号</t>
  </si>
  <si>
    <t xml:space="preserve"> 苏州元禾医疗器械有限公司  </t>
  </si>
  <si>
    <t>苏新国土2022-WG-27号</t>
  </si>
  <si>
    <t xml:space="preserve"> ≥2.5,≤2.7</t>
  </si>
  <si>
    <t xml:space="preserve"> 裕太微电子股份有限公司  </t>
  </si>
  <si>
    <t>2023-02-27 16:00</t>
  </si>
  <si>
    <t>苏新国土2022-WG-29号</t>
  </si>
  <si>
    <t xml:space="preserve"> 苏州联讯仪器股份有限公司  </t>
  </si>
  <si>
    <t>苏新国土2022-WG-30号</t>
  </si>
  <si>
    <t xml:space="preserve"> 苏州精控能源科技有限公司  </t>
  </si>
  <si>
    <t>苏新国土2022-WG-26号</t>
  </si>
  <si>
    <t xml:space="preserve"> ≥2.5,≤3</t>
  </si>
  <si>
    <t xml:space="preserve"> 江苏国仟医疗科技发展有限公司  </t>
  </si>
  <si>
    <t>苏新国土2022-WG-24号</t>
  </si>
  <si>
    <t xml:space="preserve"> 苏州易进研设备制造有限公司  </t>
  </si>
  <si>
    <t>2023-02-06 16:00</t>
  </si>
  <si>
    <t>苏新国土2022-WG-23号</t>
  </si>
  <si>
    <t xml:space="preserve"> ≥0.4,≤1</t>
  </si>
  <si>
    <t xml:space="preserve"> 华能苏州热电有限责任公司  </t>
  </si>
  <si>
    <t>苏新国土2022-WG-21号</t>
  </si>
  <si>
    <t xml:space="preserve"> 苏州龙驰半导体科技有限公司  </t>
  </si>
  <si>
    <t xml:space="preserve"> 50年</t>
  </si>
  <si>
    <t>苏新国土2022-WG-28号</t>
  </si>
  <si>
    <t xml:space="preserve"> 苏州元启动力科技有限公司  </t>
  </si>
  <si>
    <t>苏新国土2022-WG-25号</t>
  </si>
  <si>
    <t xml:space="preserve"> ≥2,≤4</t>
  </si>
  <si>
    <t xml:space="preserve"> 苏州易晋设备制造有限公司  </t>
  </si>
  <si>
    <t>苏新国土2022-WG-22号</t>
  </si>
  <si>
    <t xml:space="preserve"> 苏州锐杰微科技集团有限公司  </t>
  </si>
  <si>
    <t>苏新国土2022-WG-19号</t>
  </si>
  <si>
    <t xml:space="preserve"> 百旺工业自动化(苏州)有限公司  </t>
  </si>
  <si>
    <t>2022-12-13 16:00</t>
  </si>
  <si>
    <t>苏新国土2022-WG-18号</t>
  </si>
  <si>
    <t xml:space="preserve"> 苏州速腾电子科技有限公司  </t>
  </si>
  <si>
    <t>苏新国土2022-WG-01号</t>
  </si>
  <si>
    <t xml:space="preserve"> ≥2,≤2.5</t>
  </si>
  <si>
    <t xml:space="preserve"> 苏州吉打邦金洪实业有限公司  </t>
  </si>
  <si>
    <t>苏新国土2022-WG-08号</t>
  </si>
  <si>
    <t xml:space="preserve"> ≥2,≤3.7</t>
  </si>
  <si>
    <t xml:space="preserve"> 苏州速迈医学科技股份有限公司  </t>
  </si>
  <si>
    <t>高新区通安镇金墅港绿化地东、浒通加油站北地块</t>
  </si>
  <si>
    <t>苏新国土2022-WG-17号</t>
  </si>
  <si>
    <t xml:space="preserve"> 苏州金立鑫特材科技有限公司  </t>
  </si>
  <si>
    <t>苏新国土2022-WG-16号</t>
  </si>
  <si>
    <t xml:space="preserve"> 苏州科伦特电气有限公司  </t>
  </si>
  <si>
    <t>苏新国土2022-WG-07号</t>
  </si>
  <si>
    <t xml:space="preserve"> 苏州百胜动力科技有限公司  </t>
  </si>
  <si>
    <t>2022-10-18 16:00</t>
  </si>
  <si>
    <t>苏新国土2022-WG-15号</t>
  </si>
  <si>
    <t xml:space="preserve"> ≥2.3,≤2.7</t>
  </si>
  <si>
    <t xml:space="preserve"> 苏州狮山生物医药产业发展有限公司  </t>
  </si>
  <si>
    <t>2022-08-29 16:00</t>
  </si>
  <si>
    <t>苏新国土2022-WG-14号</t>
  </si>
  <si>
    <t xml:space="preserve"> 江苏迈得诺医疗集团有限公司  </t>
  </si>
  <si>
    <t>苏新国土2022-WG-10号</t>
  </si>
  <si>
    <t xml:space="preserve"> 苏州阅微基因技术有限公司  </t>
  </si>
  <si>
    <t>苏新国土2022-WG-11号</t>
  </si>
  <si>
    <t xml:space="preserve"> ≥2</t>
  </si>
  <si>
    <t xml:space="preserve"> 灏华工业科技发展(苏州)有限公司  </t>
  </si>
  <si>
    <t>2022-07-26 16:00</t>
  </si>
  <si>
    <t>苏新国土2022-WG-09号</t>
  </si>
  <si>
    <t xml:space="preserve"> 中汽院(江苏)汽车工程研究院有限公司  </t>
  </si>
  <si>
    <t>苏新国土2022-WG-05号</t>
  </si>
  <si>
    <t xml:space="preserve"> 苏州德品医疗科技股份有限公司  </t>
  </si>
  <si>
    <t>苏新国土2022-WG-02号</t>
  </si>
  <si>
    <t xml:space="preserve"> ≥1.6,≤3</t>
  </si>
  <si>
    <t xml:space="preserve"> 科玛化妆品(苏州)有限公司  </t>
  </si>
  <si>
    <t>苏新国土2022-WG-03号</t>
  </si>
  <si>
    <t xml:space="preserve"> 梓森科技股份有限公司  </t>
  </si>
  <si>
    <t>苏新国土2022-WG-06号</t>
  </si>
  <si>
    <t xml:space="preserve"> 泰纳包装(苏州)有限公司  </t>
  </si>
  <si>
    <t>2022-06-07 16:00</t>
  </si>
  <si>
    <t>苏新国土2021-WG-16号</t>
  </si>
  <si>
    <t xml:space="preserve"> 苏州兆威驱动有限公司  </t>
  </si>
  <si>
    <t>2022-01-27 16:00</t>
  </si>
  <si>
    <t>苏新国土2021-WG-14号</t>
  </si>
  <si>
    <t>苏新国土2021-WG-15号</t>
  </si>
  <si>
    <t xml:space="preserve"> 苏州中科科仪技术发展有限公司  </t>
  </si>
  <si>
    <t>苏新国土2021-WG-17号</t>
  </si>
  <si>
    <t xml:space="preserve"> 虎丘影像新材科技(苏州)有限公司  </t>
  </si>
  <si>
    <t>苏新国土2021-WG-13号</t>
  </si>
  <si>
    <t xml:space="preserve"> 苏州珂玛材料科技股份有限公司  </t>
  </si>
  <si>
    <t>2022-01-26 16:00</t>
  </si>
  <si>
    <t>苏新国土2021-WG-12号</t>
  </si>
  <si>
    <t xml:space="preserve"> 苏州高新绿色低碳科技产业发展有限公司  </t>
  </si>
  <si>
    <t>苏新国土2021-WG-11号</t>
  </si>
  <si>
    <t xml:space="preserve"> ≥3,≤3.35</t>
  </si>
  <si>
    <t xml:space="preserve"> 苏州凯菱产业园开发有限公司  </t>
  </si>
  <si>
    <t>2021-12-14 16:00</t>
  </si>
  <si>
    <t>苏新国土2021-WG-08号</t>
  </si>
  <si>
    <t xml:space="preserve"> 固德威技术股份有限公司  </t>
  </si>
  <si>
    <t>2021-11-09 16:00</t>
  </si>
  <si>
    <t>苏新国土2021-WG-10号</t>
  </si>
  <si>
    <t xml:space="preserve"> 福伸电机(苏州)有限公司  </t>
  </si>
  <si>
    <t>苏新国土2021-WG-09号</t>
  </si>
  <si>
    <t>苏新国土2021-WG-04号</t>
  </si>
  <si>
    <t xml:space="preserve"> 科栖实业(苏州)有限公司  </t>
  </si>
  <si>
    <t>2021-08-11 16:00</t>
  </si>
  <si>
    <t>苏新国土2021-WG-07号</t>
  </si>
  <si>
    <t xml:space="preserve"> ≥1.5</t>
  </si>
  <si>
    <t xml:space="preserve"> 江苏莱克新能源科技有限公司  </t>
  </si>
  <si>
    <t>苏新国土2021-WG-03号</t>
  </si>
  <si>
    <t xml:space="preserve"> 克林威尔智能科技(苏州)有限公司  </t>
  </si>
  <si>
    <t>2021-06-28 16:00</t>
  </si>
  <si>
    <t>苏新国土2021-WG-06号</t>
  </si>
  <si>
    <t>苏新国土2021-WG-05号</t>
  </si>
  <si>
    <t xml:space="preserve"> 苏州矩浪科技有限公司  </t>
  </si>
  <si>
    <t>苏新国土2020-WG-18号</t>
  </si>
  <si>
    <t xml:space="preserve"> 苏州昊帆生物股份有限公司  </t>
  </si>
  <si>
    <t>2021-03-08 16:00</t>
  </si>
  <si>
    <t>苏新国土2021-WG-01号</t>
  </si>
  <si>
    <t xml:space="preserve"> 苏州天准科技股份有限公司  </t>
  </si>
  <si>
    <t>苏州高新区科技城步青路东、培源街南</t>
  </si>
  <si>
    <t>苏新国土2020-WG-20号</t>
  </si>
  <si>
    <t xml:space="preserve"> ≥2且&lt;2.5</t>
  </si>
  <si>
    <t xml:space="preserve"> 工业(研发)用地</t>
  </si>
  <si>
    <t xml:space="preserve"> 苏州市伏泰信息科技股份有限公司  </t>
  </si>
  <si>
    <t>2021-02-20 16:00</t>
  </si>
  <si>
    <t>高新区科技城科灵路北、邦辰环保西</t>
  </si>
  <si>
    <t>苏新国土2020-WG-13号</t>
  </si>
  <si>
    <t xml:space="preserve"> 苏州启航电子有限公司  </t>
  </si>
  <si>
    <t>高新区浒墅关经开区青莲路东、华桥路北</t>
  </si>
  <si>
    <t>苏新国土2020-WG-23号</t>
  </si>
  <si>
    <t xml:space="preserve"> 长兴电子(苏州)有限公司  </t>
  </si>
  <si>
    <t>2021-02-02 16:00</t>
  </si>
  <si>
    <t>苏州高新区科技城浔阳江路东、九曲港北</t>
  </si>
  <si>
    <t>苏新国土2020-WG-22号</t>
  </si>
  <si>
    <t xml:space="preserve"> 苏州佳祺仕信息科技有限公司  </t>
  </si>
  <si>
    <t>苏州高新区狮山横塘街道横山路南、大轮浜绿化地西</t>
  </si>
  <si>
    <t>苏新国土2020-WG-21号</t>
  </si>
  <si>
    <t xml:space="preserve"> 沃尔斯工业发展(苏州)有限公司  </t>
  </si>
  <si>
    <t>高新区通安镇埃可森汽车饰件南、勤堡精密机械西</t>
  </si>
  <si>
    <t>苏新国土2020-WG-19号</t>
  </si>
  <si>
    <t xml:space="preserve"> 苏州汉奇数控设备有限公司  </t>
  </si>
  <si>
    <t>2020-12-11 16:00</t>
  </si>
  <si>
    <t>高新区浒墅关经济技术开发区建林路绿化地西、联建安华生物医学公司北</t>
  </si>
  <si>
    <t>苏新国土2020-WG-17号</t>
  </si>
  <si>
    <t xml:space="preserve"> 怡道生物科技(苏州)有限公司  </t>
  </si>
  <si>
    <t>年期修正系数</t>
    <phoneticPr fontId="134" type="noConversion"/>
  </si>
  <si>
    <t>楼面地价</t>
  </si>
  <si>
    <t>正常</t>
  </si>
  <si>
    <t>成本法</t>
  </si>
  <si>
    <t>总价</t>
  </si>
  <si>
    <t>成本比率</t>
  </si>
  <si>
    <t>https://wenku.baidu.com/view/22f7baf2baf3f90f76c66137ee06eff9aff8494f.html?_wkts_=1699584609712&amp;bdQuery=%E8%8B%8F%E5%B7%9E%E5%B8%82%E5%9F%BA%E5%87%86%E5%9C%B0%E4%BB%B7%E4%BF%AE%E6%AD%A3%E4%BD%93%E7%B3%BB&amp;needWelcomeRecommand=1</t>
    <phoneticPr fontId="134" type="noConversion"/>
  </si>
  <si>
    <r>
      <t>2</t>
    </r>
    <r>
      <rPr>
        <sz val="11"/>
        <color theme="1"/>
        <rFont val="宋体"/>
        <family val="3"/>
        <charset val="134"/>
        <scheme val="minor"/>
      </rPr>
      <t>020年公示地价</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</si>
</sst>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2"/>
      <color theme="1"/>
      <name val="宋体"/>
      <family val="2"/>
      <scheme val="minor"/>
    </font>
    <font>
      <u/>
      <sz val="11"/>
      <color theme="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xf numFmtId="0" fontId="271" fillId="0" borderId="0" applyNumberFormat="0" applyFill="0" applyBorder="0" applyAlignment="0" applyProtection="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69" fillId="0" borderId="0" xfId="0" applyFont="1" applyAlignment="1">
      <alignment horizontal="left" vertical="center"/>
    </xf>
    <xf numFmtId="14" fontId="269" fillId="23" borderId="0" xfId="19" applyNumberFormat="1" applyFont="1" applyFill="1" applyAlignment="1">
      <alignment horizontal="left" vertical="center"/>
    </xf>
    <xf numFmtId="0" fontId="269" fillId="23" borderId="0" xfId="19" applyNumberFormat="1" applyFont="1" applyFill="1" applyAlignment="1">
      <alignment horizontal="left" vertical="center"/>
    </xf>
    <xf numFmtId="14" fontId="269" fillId="9" borderId="0" xfId="19" applyNumberFormat="1" applyFont="1" applyFill="1" applyAlignment="1">
      <alignment horizontal="left" vertical="center"/>
    </xf>
    <xf numFmtId="0" fontId="269" fillId="9" borderId="0" xfId="19" applyNumberFormat="1" applyFont="1" applyFill="1" applyAlignment="1">
      <alignment horizontal="left" vertical="center"/>
    </xf>
    <xf numFmtId="14" fontId="269" fillId="0" borderId="0" xfId="19" applyNumberFormat="1" applyFont="1" applyAlignment="1">
      <alignment horizontal="left" vertical="center"/>
    </xf>
    <xf numFmtId="0" fontId="53" fillId="22" borderId="24" xfId="1" applyNumberFormat="1" applyFont="1" applyFill="1" applyBorder="1" applyAlignment="1" applyProtection="1">
      <alignment horizontal="center" vertical="center"/>
      <protection locked="0"/>
    </xf>
    <xf numFmtId="0" fontId="269" fillId="0" borderId="0" xfId="19" applyNumberFormat="1" applyFont="1" applyAlignment="1">
      <alignment horizontal="left" vertical="center"/>
    </xf>
    <xf numFmtId="0" fontId="44" fillId="22" borderId="24" xfId="0" applyFont="1" applyFill="1" applyBorder="1" applyAlignment="1" applyProtection="1">
      <alignment horizontal="center" vertical="center"/>
      <protection locked="0"/>
    </xf>
    <xf numFmtId="0" fontId="53" fillId="22" borderId="8" xfId="1" applyNumberFormat="1" applyFont="1" applyFill="1" applyBorder="1" applyAlignment="1" applyProtection="1">
      <alignment horizontal="center" vertical="center"/>
      <protection locked="0"/>
    </xf>
    <xf numFmtId="0" fontId="44" fillId="0" borderId="24" xfId="10" applyFont="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xf numFmtId="0" fontId="271" fillId="0" borderId="0" xfId="20">
      <alignment vertical="center"/>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38100</xdr:colOff>
      <xdr:row>1</xdr:row>
      <xdr:rowOff>47625</xdr:rowOff>
    </xdr:from>
    <xdr:to>
      <xdr:col>24</xdr:col>
      <xdr:colOff>474996</xdr:colOff>
      <xdr:row>25</xdr:row>
      <xdr:rowOff>123273</xdr:rowOff>
    </xdr:to>
    <xdr:pic>
      <xdr:nvPicPr>
        <xdr:cNvPr id="2" name="图片 1"/>
        <xdr:cNvPicPr>
          <a:picLocks noChangeAspect="1"/>
        </xdr:cNvPicPr>
      </xdr:nvPicPr>
      <xdr:blipFill>
        <a:blip xmlns:r="http://schemas.openxmlformats.org/officeDocument/2006/relationships" r:embed="rId1"/>
        <a:stretch>
          <a:fillRect/>
        </a:stretch>
      </xdr:blipFill>
      <xdr:spPr>
        <a:xfrm>
          <a:off x="7210425" y="228600"/>
          <a:ext cx="10038096" cy="4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64</xdr:row>
      <xdr:rowOff>28575</xdr:rowOff>
    </xdr:from>
    <xdr:to>
      <xdr:col>10</xdr:col>
      <xdr:colOff>741859</xdr:colOff>
      <xdr:row>90</xdr:row>
      <xdr:rowOff>75606</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11610975"/>
          <a:ext cx="8733334" cy="47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466725</xdr:colOff>
      <xdr:row>2</xdr:row>
      <xdr:rowOff>57150</xdr:rowOff>
    </xdr:from>
    <xdr:to>
      <xdr:col>19</xdr:col>
      <xdr:colOff>369859</xdr:colOff>
      <xdr:row>38</xdr:row>
      <xdr:rowOff>27808</xdr:rowOff>
    </xdr:to>
    <xdr:pic>
      <xdr:nvPicPr>
        <xdr:cNvPr id="2" name="图片 1"/>
        <xdr:cNvPicPr>
          <a:picLocks noChangeAspect="1"/>
        </xdr:cNvPicPr>
      </xdr:nvPicPr>
      <xdr:blipFill>
        <a:blip xmlns:r="http://schemas.openxmlformats.org/officeDocument/2006/relationships" r:embed="rId1"/>
        <a:stretch>
          <a:fillRect/>
        </a:stretch>
      </xdr:blipFill>
      <xdr:spPr>
        <a:xfrm>
          <a:off x="466725" y="400050"/>
          <a:ext cx="12933334" cy="6142858"/>
        </a:xfrm>
        <a:prstGeom prst="rect">
          <a:avLst/>
        </a:prstGeom>
      </xdr:spPr>
    </xdr:pic>
    <xdr:clientData/>
  </xdr:twoCellAnchor>
  <xdr:twoCellAnchor editAs="oneCell">
    <xdr:from>
      <xdr:col>1</xdr:col>
      <xdr:colOff>66675</xdr:colOff>
      <xdr:row>41</xdr:row>
      <xdr:rowOff>38100</xdr:rowOff>
    </xdr:from>
    <xdr:to>
      <xdr:col>11</xdr:col>
      <xdr:colOff>227723</xdr:colOff>
      <xdr:row>78</xdr:row>
      <xdr:rowOff>8736</xdr:rowOff>
    </xdr:to>
    <xdr:pic>
      <xdr:nvPicPr>
        <xdr:cNvPr id="3" name="图片 2"/>
        <xdr:cNvPicPr>
          <a:picLocks noChangeAspect="1"/>
        </xdr:cNvPicPr>
      </xdr:nvPicPr>
      <xdr:blipFill>
        <a:blip xmlns:r="http://schemas.openxmlformats.org/officeDocument/2006/relationships" r:embed="rId2"/>
        <a:stretch>
          <a:fillRect/>
        </a:stretch>
      </xdr:blipFill>
      <xdr:spPr>
        <a:xfrm>
          <a:off x="752475" y="7067550"/>
          <a:ext cx="7019048" cy="6314286"/>
        </a:xfrm>
        <a:prstGeom prst="rect">
          <a:avLst/>
        </a:prstGeom>
      </xdr:spPr>
    </xdr:pic>
    <xdr:clientData/>
  </xdr:twoCellAnchor>
  <xdr:twoCellAnchor editAs="oneCell">
    <xdr:from>
      <xdr:col>11</xdr:col>
      <xdr:colOff>561975</xdr:colOff>
      <xdr:row>41</xdr:row>
      <xdr:rowOff>114300</xdr:rowOff>
    </xdr:from>
    <xdr:to>
      <xdr:col>27</xdr:col>
      <xdr:colOff>484414</xdr:colOff>
      <xdr:row>71</xdr:row>
      <xdr:rowOff>56515</xdr:rowOff>
    </xdr:to>
    <xdr:pic>
      <xdr:nvPicPr>
        <xdr:cNvPr id="4" name="图片 3"/>
        <xdr:cNvPicPr>
          <a:picLocks noChangeAspect="1"/>
        </xdr:cNvPicPr>
      </xdr:nvPicPr>
      <xdr:blipFill>
        <a:blip xmlns:r="http://schemas.openxmlformats.org/officeDocument/2006/relationships" r:embed="rId3"/>
        <a:stretch>
          <a:fillRect/>
        </a:stretch>
      </xdr:blipFill>
      <xdr:spPr>
        <a:xfrm>
          <a:off x="8105775" y="7143750"/>
          <a:ext cx="10895239" cy="50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0.bin"/><Relationship Id="rId1" Type="http://schemas.openxmlformats.org/officeDocument/2006/relationships/hyperlink" Target="https://wenku.baidu.com/view/22f7baf2baf3f90f76c66137ee06eff9aff8494f.html?_wkts_=1699584609712&amp;bdQuery=%E8%8B%8F%E5%B7%9E%E5%B8%82%E5%9F%BA%E5%87%86%E5%9C%B0%E4%BB%B7%E4%BF%AE%E6%AD%A3%E4%BD%93%E7%B3%BB&amp;needWelcomeRecommand=1"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受贵公司委托，我公司对房地产抵押价值进行了预评估。</v>
      </c>
    </row>
    <row r="7" spans="1:2" s="1202" customFormat="1">
      <c r="A7" s="1200" t="s">
        <v>566</v>
      </c>
      <c r="B7" s="1201" t="str">
        <f>'预评函-1'!A7</f>
        <v>估价对象为房地产，为所有。根据《国有土地使用证》[]，估价对象（分摊）出让国有建设用地使用权面积为70820.8平方米，建筑面积为90300.22平方米。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估价对象为房地产,属开发建设的，该项目尚在开发建设中。根据《国有土地使用证》[]，估价对象（分摊）出让国有建设用地使用权面积为70820.8平方米，规划建筑面积为90300.22平方米。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2023年11月10日</v>
      </c>
    </row>
    <row r="13" spans="1:2" s="1202" customFormat="1">
      <c r="A13" s="1200" t="s">
        <v>529</v>
      </c>
      <c r="B13" s="1201" t="str">
        <f>'预评函-1'!A18</f>
        <v>本次估价的“房地产价值”是指在正常市场情况下，在价值时点2023年11月10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52822</v>
      </c>
    </row>
    <row r="21" spans="1:2" s="1202" customFormat="1">
      <c r="A21" s="1200" t="s">
        <v>537</v>
      </c>
      <c r="B21" s="1201">
        <f ca="1">'预评函-2'!D7</f>
        <v>5850</v>
      </c>
    </row>
    <row r="22" spans="1:2" s="1202" customFormat="1">
      <c r="A22" s="1200" t="s">
        <v>538</v>
      </c>
      <c r="B22" s="1201" t="str">
        <f ca="1">'预评函-2'!D6</f>
        <v>伍亿贰仟捌佰贰拾贰万元整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52822</v>
      </c>
    </row>
    <row r="31" spans="1:2" s="1202" customFormat="1">
      <c r="A31" s="1200" t="s">
        <v>576</v>
      </c>
      <c r="B31" s="1201">
        <f ca="1">'预评函-2'!D15</f>
        <v>5850</v>
      </c>
    </row>
    <row r="32" spans="1:2" s="1202" customFormat="1">
      <c r="A32" s="1200" t="s">
        <v>543</v>
      </c>
      <c r="B32" s="1201" t="str">
        <f ca="1">'预评函-2'!D14</f>
        <v>伍亿贰仟捌佰贰拾贰万元整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22396</v>
      </c>
    </row>
    <row r="39" spans="1:2" s="1202" customFormat="1">
      <c r="A39" s="1200" t="s">
        <v>545</v>
      </c>
      <c r="B39" s="1201">
        <f ca="1">'预评函-2'!D21</f>
        <v>2480</v>
      </c>
    </row>
    <row r="40" spans="1:2" s="1202" customFormat="1">
      <c r="A40" s="1200" t="s">
        <v>546</v>
      </c>
      <c r="B40" s="1201" t="str">
        <f ca="1">'预评函-2'!D20</f>
        <v>贰亿贰仟叁佰玖拾陆万元整</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90300.22</v>
      </c>
    </row>
    <row r="44" spans="1:2" s="1202" customFormat="1">
      <c r="A44" s="1200" t="s">
        <v>575</v>
      </c>
      <c r="B44" s="1201" t="str">
        <f>'预评函-3'!C2</f>
        <v>(分摊)土地面积</v>
      </c>
    </row>
    <row r="45" spans="1:2" s="1202" customFormat="1">
      <c r="A45" s="1200" t="s">
        <v>547</v>
      </c>
      <c r="B45" s="1201">
        <f>'预评函-3'!C4</f>
        <v>70820.800000000003</v>
      </c>
    </row>
    <row r="46" spans="1:2" s="1202" customFormat="1">
      <c r="A46" s="1200" t="s">
        <v>573</v>
      </c>
      <c r="B46" s="1201" t="str">
        <f>'预评函-3'!D2</f>
        <v>出让国有建设用地使用权价值</v>
      </c>
    </row>
    <row r="47" spans="1:2" s="1202" customFormat="1">
      <c r="A47" s="1200" t="s">
        <v>548</v>
      </c>
      <c r="B47" s="1201">
        <f ca="1">'预评函-3'!D4</f>
        <v>3222</v>
      </c>
    </row>
    <row r="48" spans="1:2" s="1202" customFormat="1">
      <c r="A48" s="1200" t="s">
        <v>549</v>
      </c>
      <c r="B48" s="1201">
        <f ca="1">'预评函-3'!E4</f>
        <v>357</v>
      </c>
    </row>
    <row r="49" spans="1:2" s="1202" customFormat="1">
      <c r="A49" s="1200" t="s">
        <v>550</v>
      </c>
      <c r="B49" s="1201" t="str">
        <f ca="1">'预评函-3'!D5</f>
        <v>叁仟贰佰贰拾贰万元整</v>
      </c>
    </row>
    <row r="50" spans="1:2" s="1202" customFormat="1">
      <c r="A50" s="1200" t="s">
        <v>574</v>
      </c>
      <c r="B50" s="1201" t="str">
        <f>'预评函-3'!F2</f>
        <v>在建建筑物价值</v>
      </c>
    </row>
    <row r="51" spans="1:2" s="1202" customFormat="1">
      <c r="A51" s="1200" t="s">
        <v>551</v>
      </c>
      <c r="B51" s="1201">
        <f ca="1">'预评函-3'!F4</f>
        <v>49600</v>
      </c>
    </row>
    <row r="52" spans="1:2" s="1202" customFormat="1">
      <c r="A52" s="1200" t="s">
        <v>552</v>
      </c>
      <c r="B52" s="1201">
        <f ca="1">'预评函-3'!G4</f>
        <v>5493</v>
      </c>
    </row>
    <row r="53" spans="1:2" s="1202" customFormat="1">
      <c r="A53" s="1200" t="s">
        <v>580</v>
      </c>
      <c r="B53" s="1201" t="str">
        <f ca="1">'预评函-3'!F5</f>
        <v>肆亿玖仟陆佰万元整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2580</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2581</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3" t="s">
        <v>385</v>
      </c>
      <c r="C54" s="1550" t="s">
        <v>583</v>
      </c>
    </row>
    <row r="55" spans="1:4">
      <c r="A55" s="3498"/>
      <c r="B55" s="1553" t="s">
        <v>386</v>
      </c>
      <c r="C55" s="1550" t="s">
        <v>584</v>
      </c>
    </row>
    <row r="56" spans="1:4">
      <c r="A56" s="3498"/>
      <c r="B56" s="1553" t="s">
        <v>387</v>
      </c>
      <c r="C56" s="1550" t="s">
        <v>588</v>
      </c>
    </row>
    <row r="57" spans="1:4">
      <c r="A57" s="349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13" sqref="B13"/>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9" t="s">
        <v>2583</v>
      </c>
      <c r="J2" s="3499"/>
      <c r="K2" s="3499"/>
      <c r="L2" s="3499"/>
      <c r="M2" s="3499"/>
      <c r="N2" s="3499"/>
      <c r="O2" s="3499"/>
      <c r="P2" s="3499"/>
      <c r="Q2" s="3499"/>
      <c r="R2" s="3499"/>
    </row>
    <row r="3" spans="1:18">
      <c r="A3" s="3018" t="s">
        <v>2504</v>
      </c>
      <c r="B3" s="3019">
        <f>项目基本情况!D3</f>
        <v>45240</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3.1</v>
      </c>
      <c r="D5" s="3023">
        <f>IF(ISERROR(ROUND(POWER(1+E5,A5-C5)*(POWER(1+E5,C5)-1)/(POWER(1+E5,A5)-1),3)),0,ROUND(POWER(1+E5,A5-C5)*(POWER(1+E5,C5)-1)/(POWER(1+E5,A5)-1),4))</f>
        <v>0.14460000000000001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13.11</v>
      </c>
      <c r="D6" s="3023">
        <f>IF(ISERROR(ROUND(POWER(1+E6,A6-C6)*(POWER(1+E6,C6)-1)/(POWER(1+E6,A6)-1),3)),0,ROUND(POWER(1+E6,A6-C6)*(POWER(1+E6,C6)-1)/(POWER(1+E6,A6)-1),4))</f>
        <v>0.46779999999999999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33.130000000000003</v>
      </c>
      <c r="D7" s="3023">
        <f>IF(ISERROR(ROUND(POWER(1+E7,A7-C7)*(POWER(1+E7,C7)-1)/(POWER(1+E7,A7)-1),3)),0,ROUND(POWER(1+E7,A7-C7)*(POWER(1+E7,C7)-1)/(POWER(1+E7,A7)-1),4))</f>
        <v>0.7772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50</v>
      </c>
      <c r="C11" s="3021" t="s">
        <v>2513</v>
      </c>
      <c r="D11" s="3027">
        <v>4.4999999999999998E-2</v>
      </c>
      <c r="E11" s="3021" t="s">
        <v>2514</v>
      </c>
      <c r="F11" s="3028">
        <f>ROUND(1-(1/(POWER(1+D11,B11))),4)</f>
        <v>0.88929999999999998</v>
      </c>
    </row>
    <row r="12" spans="1:18">
      <c r="A12" s="3018" t="s">
        <v>2515</v>
      </c>
      <c r="B12" s="3026">
        <v>30</v>
      </c>
      <c r="C12" s="3021" t="s">
        <v>2516</v>
      </c>
      <c r="D12" s="3027">
        <v>4.4999999999999998E-2</v>
      </c>
      <c r="E12" s="3021" t="s">
        <v>2517</v>
      </c>
      <c r="F12" s="3028">
        <f>ROUND(1-(1/(POWER(1+D12,B12))),4)</f>
        <v>0.73299999999999998</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4121.22</v>
      </c>
      <c r="C15" s="3021">
        <f>ROUND(F12/F11,4)</f>
        <v>0.82420000000000004</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5835.65</v>
      </c>
      <c r="C18" s="3030">
        <f>ROUND(F11/F12,4)</f>
        <v>1.2132000000000001</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4" sqref="G2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8"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0" t="str">
        <f>IF(B10="北京市","北京市",C10)&amp;F10&amp;IF(结果表!G1="在建","出让国有建设用地使用权及在建建筑物",IF(结果表!G1="土地","出让国有建设用地使用权",))&amp;B9&amp;"预评估"</f>
        <v>房地产抵押价值预评估</v>
      </c>
      <c r="C1" s="3501"/>
      <c r="D1" s="3501"/>
      <c r="E1" s="3501"/>
      <c r="F1" s="3501"/>
      <c r="G1" s="3501"/>
      <c r="H1" s="3501"/>
      <c r="I1" s="3502"/>
      <c r="J1" s="2469"/>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c r="C3" s="2372" t="s">
        <v>2170</v>
      </c>
      <c r="D3" s="2371">
        <v>45240</v>
      </c>
      <c r="E3" s="2661"/>
      <c r="F3" s="2661"/>
      <c r="G3" s="2661"/>
      <c r="H3" s="2661"/>
      <c r="I3" s="2661"/>
      <c r="J3" s="2469"/>
      <c r="K3" s="2366"/>
      <c r="L3" s="2367"/>
      <c r="M3" s="2367"/>
      <c r="N3" s="2368"/>
      <c r="O3" s="1575"/>
      <c r="P3" s="2368"/>
      <c r="Q3" s="2368"/>
      <c r="R3" s="2368"/>
      <c r="S3" s="1681"/>
      <c r="T3" s="1743"/>
      <c r="U3" s="1743"/>
      <c r="V3" s="1743"/>
      <c r="W3" s="1743"/>
      <c r="X3" s="1743"/>
      <c r="Y3" s="1743"/>
      <c r="Z3" s="1743"/>
      <c r="AA3" s="1743"/>
      <c r="AB3" s="1743"/>
    </row>
    <row r="4" spans="1:30" ht="13.5" thickBot="1">
      <c r="A4" s="1089"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5"/>
      <c r="P4" s="2368"/>
      <c r="Q4" s="2368"/>
      <c r="R4" s="2368"/>
      <c r="S4" s="1681"/>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5"/>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3382</v>
      </c>
      <c r="C8" s="2388"/>
      <c r="D8" s="3503" t="s">
        <v>2176</v>
      </c>
      <c r="E8" s="2389" t="s">
        <v>3383</v>
      </c>
      <c r="F8" s="2390"/>
      <c r="G8" s="2661"/>
      <c r="H8" s="2661"/>
      <c r="I8" s="2661"/>
      <c r="J8" s="2437"/>
      <c r="K8" s="2612"/>
      <c r="L8" s="2611"/>
      <c r="M8" s="2611"/>
      <c r="N8" s="2437"/>
      <c r="O8" s="2448"/>
      <c r="P8" s="2437"/>
      <c r="Q8" s="2437"/>
      <c r="R8" s="2437"/>
    </row>
    <row r="9" spans="1:30" ht="13.5" thickBot="1">
      <c r="A9" s="2391" t="s">
        <v>2177</v>
      </c>
      <c r="B9" s="2392" t="s">
        <v>3383</v>
      </c>
      <c r="C9" s="2393"/>
      <c r="D9" s="3504"/>
      <c r="E9" s="2392" t="s">
        <v>587</v>
      </c>
      <c r="F9" s="2394"/>
      <c r="G9" s="2663"/>
      <c r="H9" s="2663"/>
      <c r="I9" s="2663"/>
      <c r="J9" s="2437"/>
      <c r="K9" s="2614"/>
      <c r="L9" s="2611"/>
      <c r="M9" s="2611"/>
      <c r="N9" s="2437"/>
      <c r="O9" s="2448"/>
      <c r="P9" s="2437"/>
      <c r="Q9" s="2437"/>
      <c r="R9" s="2437"/>
    </row>
    <row r="10" spans="1:30" ht="13.5" thickTop="1">
      <c r="A10" s="2395" t="s">
        <v>2178</v>
      </c>
      <c r="B10" s="2396" t="s">
        <v>3384</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3385</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5"/>
      <c r="D13" s="855"/>
      <c r="E13" s="855"/>
      <c r="F13" s="855"/>
      <c r="G13" s="855"/>
      <c r="H13" s="855">
        <v>61007</v>
      </c>
      <c r="I13" s="855"/>
      <c r="J13" s="3060"/>
      <c r="K13" s="2611"/>
      <c r="L13" s="2611"/>
      <c r="M13" s="2437"/>
      <c r="N13" s="2448"/>
      <c r="O13" s="2437"/>
      <c r="P13" s="2437"/>
      <c r="Q13" s="2437"/>
      <c r="AD13" s="1743"/>
    </row>
    <row r="14" spans="1:30">
      <c r="A14" s="1080"/>
      <c r="B14" s="2405" t="s">
        <v>2190</v>
      </c>
      <c r="C14" s="2406"/>
      <c r="D14" s="2406"/>
      <c r="E14" s="2406"/>
      <c r="F14" s="2406"/>
      <c r="G14" s="2406"/>
      <c r="H14" s="2406">
        <v>50</v>
      </c>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43.19</v>
      </c>
      <c r="I15" s="2408" t="str">
        <f>IF(A13="出让",IF(I13="","",ROUNDDOWN(MIN((I13-$D$3)/365,I14),2)),I14)</f>
        <v/>
      </c>
      <c r="J15" s="3062"/>
      <c r="K15" s="2449"/>
      <c r="L15" s="2449"/>
      <c r="M15" s="2507"/>
      <c r="N15" s="2449"/>
      <c r="O15" s="2507"/>
      <c r="P15" s="2437"/>
      <c r="Q15" s="2437"/>
      <c r="AD15" s="1743"/>
    </row>
    <row r="16" spans="1:30">
      <c r="A16" s="2398" t="s">
        <v>2192</v>
      </c>
      <c r="B16" s="3510"/>
      <c r="C16" s="3511"/>
      <c r="D16" s="3512"/>
      <c r="E16" s="2411" t="s">
        <v>2193</v>
      </c>
      <c r="F16" s="3513"/>
      <c r="G16" s="3514"/>
      <c r="H16" s="3514"/>
      <c r="I16" s="3515"/>
      <c r="J16" s="2437"/>
      <c r="K16" s="2615"/>
      <c r="L16" s="2449"/>
      <c r="M16" s="2449"/>
      <c r="N16" s="2507"/>
      <c r="O16" s="2449"/>
      <c r="P16" s="2507"/>
      <c r="Q16" s="2437"/>
      <c r="R16" s="2437"/>
    </row>
    <row r="17" spans="1:28">
      <c r="A17" s="313" t="s">
        <v>2194</v>
      </c>
      <c r="B17" s="302" t="s">
        <v>2195</v>
      </c>
      <c r="C17" s="8">
        <f>'数据-汇总表'!E3</f>
        <v>90300.22</v>
      </c>
      <c r="D17" s="2320" t="s">
        <v>2196</v>
      </c>
      <c r="E17" s="3516" t="s">
        <v>2197</v>
      </c>
      <c r="F17" s="3517"/>
      <c r="G17" s="3517"/>
      <c r="H17" s="3517"/>
      <c r="I17" s="3518"/>
      <c r="J17" s="2437"/>
      <c r="K17" s="2616"/>
      <c r="L17" s="2449"/>
      <c r="M17" s="2449"/>
      <c r="N17" s="2507"/>
      <c r="O17" s="2449"/>
      <c r="P17" s="2507"/>
      <c r="Q17" s="2437"/>
      <c r="R17" s="2437"/>
      <c r="S17" s="2437"/>
      <c r="T17" s="2437"/>
      <c r="U17" s="2437"/>
      <c r="V17" s="2437"/>
    </row>
    <row r="18" spans="1:28" ht="24.75" thickBot="1">
      <c r="A18" s="2412" t="s">
        <v>2198</v>
      </c>
      <c r="B18" s="1089" t="s">
        <v>2199</v>
      </c>
      <c r="C18" s="2413">
        <f>'数据-汇总表'!D3</f>
        <v>70820.800000000003</v>
      </c>
      <c r="D18" s="1091" t="s">
        <v>2200</v>
      </c>
      <c r="E18" s="3519" t="s">
        <v>2201</v>
      </c>
      <c r="F18" s="3520"/>
      <c r="G18" s="3520"/>
      <c r="H18" s="3520"/>
      <c r="I18" s="3521"/>
      <c r="J18" s="2437"/>
      <c r="K18" s="2616"/>
      <c r="L18" s="2449"/>
      <c r="M18" s="2449"/>
      <c r="N18" s="2507"/>
      <c r="O18" s="2449"/>
      <c r="P18" s="2507"/>
      <c r="Q18" s="2437"/>
      <c r="R18" s="2437"/>
      <c r="S18" s="2437"/>
      <c r="T18" s="2437"/>
      <c r="U18" s="2437"/>
      <c r="V18" s="2437"/>
    </row>
    <row r="19" spans="1:28" ht="37.5" thickTop="1" thickBot="1">
      <c r="A19" s="327" t="s">
        <v>1055</v>
      </c>
      <c r="B19" s="307" t="s">
        <v>2202</v>
      </c>
      <c r="C19" s="1562"/>
      <c r="D19" s="1563" t="s">
        <v>2203</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2204</v>
      </c>
      <c r="B20" s="3506" t="s">
        <v>2205</v>
      </c>
      <c r="C20" s="3507"/>
      <c r="D20" s="3508" t="s">
        <v>2206</v>
      </c>
      <c r="E20" s="3509"/>
      <c r="F20" s="2645" t="s">
        <v>1056</v>
      </c>
      <c r="G20" s="2662"/>
      <c r="H20" s="2662"/>
      <c r="I20" s="2662"/>
      <c r="J20" s="2437"/>
      <c r="K20" s="3505"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7" t="s">
        <v>2209</v>
      </c>
      <c r="E21" s="2633" t="s">
        <v>1057</v>
      </c>
      <c r="F21" s="2646"/>
      <c r="G21" s="2662"/>
      <c r="H21" s="2662"/>
      <c r="I21" s="2662"/>
      <c r="J21" s="2437"/>
      <c r="K21" s="350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3"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3"/>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3"/>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4"/>
      <c r="B30" s="302" t="s">
        <v>2217</v>
      </c>
      <c r="C30" s="3525"/>
      <c r="D30" s="3526"/>
      <c r="E30" s="2662"/>
      <c r="F30" s="2662"/>
      <c r="G30" s="2662"/>
      <c r="H30" s="2662"/>
      <c r="I30" s="2662"/>
      <c r="J30" s="2437"/>
      <c r="K30" s="2614"/>
      <c r="L30" s="2611"/>
      <c r="M30" s="2611"/>
      <c r="N30" s="2437"/>
      <c r="O30" s="2448"/>
      <c r="P30" s="2437"/>
      <c r="Q30" s="2437"/>
      <c r="R30" s="2437"/>
      <c r="S30" s="2437"/>
      <c r="T30" s="2437"/>
      <c r="U30" s="2437"/>
      <c r="V30" s="2437"/>
    </row>
    <row r="31" spans="1:28">
      <c r="A31" s="3527" t="s">
        <v>2218</v>
      </c>
      <c r="B31" s="2420"/>
      <c r="C31" s="2321"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28"/>
      <c r="B32" s="2420"/>
      <c r="C32" s="2321"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28"/>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22" t="s">
        <v>2227</v>
      </c>
      <c r="T34" s="2426" t="str">
        <f>NUMBERSTRING(7-K34,1)&amp;"通"</f>
        <v>七通</v>
      </c>
      <c r="U34" s="2437"/>
      <c r="V34" s="2437"/>
    </row>
    <row r="35" spans="1:30">
      <c r="A35" s="2427"/>
      <c r="B35" s="3529" t="s">
        <v>2228</v>
      </c>
      <c r="C35" s="3529"/>
      <c r="D35" s="3529"/>
      <c r="E35" s="3529"/>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7"/>
      <c r="V35" s="2437"/>
    </row>
    <row r="36" spans="1:30">
      <c r="A36" s="2428"/>
      <c r="B36" s="664" t="s">
        <v>2184</v>
      </c>
      <c r="C36" s="664" t="s">
        <v>2185</v>
      </c>
      <c r="D36" s="664" t="s">
        <v>2183</v>
      </c>
      <c r="E36" s="664"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7"/>
      <c r="J40" s="2507"/>
      <c r="K40" s="2613"/>
      <c r="L40" s="2449"/>
      <c r="M40" s="2449"/>
      <c r="N40" s="2507"/>
      <c r="O40" s="2449"/>
      <c r="P40" s="2437"/>
      <c r="Q40" s="2437"/>
      <c r="R40" s="2437"/>
      <c r="S40" s="2437"/>
      <c r="T40" s="2437"/>
      <c r="U40" s="2437"/>
      <c r="V40" s="2437"/>
    </row>
    <row r="41" spans="1:30">
      <c r="A41" s="2434" t="s">
        <v>2232</v>
      </c>
      <c r="B41" s="1755"/>
      <c r="C41" s="1372"/>
      <c r="D41" s="2368"/>
      <c r="E41" s="2368"/>
      <c r="F41" s="2368"/>
      <c r="G41" s="2368"/>
      <c r="H41" s="2368"/>
      <c r="I41" s="1575"/>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9"/>
      <c r="B51" s="1569"/>
      <c r="C51" s="1050"/>
      <c r="D51" s="1050"/>
      <c r="E51" s="1050"/>
      <c r="F51" s="1050"/>
      <c r="G51" s="1050"/>
      <c r="H51" s="1050"/>
      <c r="I51" s="1050"/>
      <c r="J51" s="2435"/>
      <c r="K51" s="2436"/>
      <c r="L51" s="2436"/>
      <c r="M51" s="1050"/>
      <c r="N51" s="1050"/>
      <c r="O51" s="1050"/>
      <c r="P51" s="1050"/>
      <c r="Q51" s="1050"/>
      <c r="R51" s="1050"/>
    </row>
    <row r="52" spans="1:22" s="1741" customFormat="1">
      <c r="A52" s="1569"/>
      <c r="B52" s="1569"/>
      <c r="C52" s="1569"/>
      <c r="D52" s="1569"/>
      <c r="E52" s="1569"/>
      <c r="F52" s="1050"/>
      <c r="G52" s="1569"/>
      <c r="H52" s="1569"/>
      <c r="I52" s="1569"/>
      <c r="J52" s="2438"/>
      <c r="K52" s="2436"/>
      <c r="L52" s="2436"/>
      <c r="M52" s="2436"/>
      <c r="N52" s="1569"/>
      <c r="O52" s="1569"/>
      <c r="P52" s="1569"/>
      <c r="Q52" s="1569"/>
      <c r="R52" s="1569"/>
    </row>
    <row r="53" spans="1:22" s="1741" customFormat="1">
      <c r="A53" s="1569"/>
      <c r="B53" s="1569"/>
      <c r="C53" s="1569"/>
      <c r="D53" s="1569"/>
      <c r="E53" s="1569"/>
      <c r="F53" s="1050"/>
      <c r="G53" s="1569"/>
      <c r="H53" s="1569"/>
      <c r="I53" s="1569"/>
      <c r="J53" s="2438"/>
      <c r="K53" s="2436"/>
      <c r="L53" s="2436"/>
      <c r="M53" s="2436"/>
      <c r="N53" s="1569"/>
      <c r="O53" s="1569"/>
      <c r="P53" s="1569"/>
      <c r="Q53" s="1569"/>
      <c r="R53" s="1569"/>
    </row>
    <row r="54" spans="1:22" s="1741" customFormat="1">
      <c r="A54" s="1569"/>
      <c r="B54" s="1569"/>
      <c r="C54" s="1569"/>
      <c r="D54" s="1569"/>
      <c r="E54" s="1569"/>
      <c r="F54" s="1050"/>
      <c r="G54" s="1569"/>
      <c r="H54" s="1569"/>
      <c r="I54" s="1569"/>
      <c r="J54" s="2438"/>
      <c r="K54" s="2436"/>
      <c r="L54" s="2436"/>
      <c r="M54" s="2436"/>
      <c r="N54" s="1569"/>
      <c r="O54" s="1569"/>
      <c r="P54" s="1569"/>
      <c r="Q54" s="1569"/>
      <c r="R54" s="1569"/>
    </row>
    <row r="55" spans="1:22" s="1741" customFormat="1">
      <c r="A55" s="1569"/>
      <c r="B55" s="1569"/>
      <c r="C55" s="1569"/>
      <c r="D55" s="1569"/>
      <c r="E55" s="1569"/>
      <c r="F55" s="1050"/>
      <c r="G55" s="1569"/>
      <c r="H55" s="1569"/>
      <c r="I55" s="1569"/>
      <c r="J55" s="2438"/>
      <c r="K55" s="2436"/>
      <c r="L55" s="2436"/>
      <c r="M55" s="2436"/>
      <c r="N55" s="1569"/>
      <c r="O55" s="1569"/>
      <c r="P55" s="1569"/>
      <c r="Q55" s="1569"/>
      <c r="R55" s="1569"/>
    </row>
    <row r="56" spans="1:22" s="1741"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70820.800000000003</v>
      </c>
      <c r="B3" s="11">
        <f>IF(C3="否",G5-AT5,G5)</f>
        <v>90300.22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90300.22</v>
      </c>
      <c r="H5" s="13">
        <f t="shared" ref="H5:AT5" si="0">SUM(H13:H656)</f>
        <v>90300.22</v>
      </c>
      <c r="I5" s="13">
        <f t="shared" si="0"/>
        <v>85566.27</v>
      </c>
      <c r="J5" s="13">
        <f t="shared" si="0"/>
        <v>0</v>
      </c>
      <c r="K5" s="13">
        <f t="shared" si="0"/>
        <v>4733.95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90300.22</v>
      </c>
      <c r="BA5" s="15">
        <f t="shared" si="1"/>
        <v>90300.22</v>
      </c>
      <c r="BB5" s="15">
        <f t="shared" si="1"/>
        <v>85566.27</v>
      </c>
      <c r="BC5" s="15">
        <f t="shared" si="1"/>
        <v>4733.95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70820.800000000003</v>
      </c>
      <c r="F6" s="13" t="s">
        <v>0</v>
      </c>
      <c r="G6" s="13" t="s">
        <v>1</v>
      </c>
      <c r="H6" s="17">
        <f>SUMIF(I$12:AB$12,"总值",I6:AB6)</f>
        <v>70820.800000000003</v>
      </c>
      <c r="I6" s="13">
        <f t="shared" ref="I6:AB6" si="2">ROUND($A$3*I5/$B$3,2)</f>
        <v>67108.05</v>
      </c>
      <c r="J6" s="13">
        <f t="shared" si="2"/>
        <v>0</v>
      </c>
      <c r="K6" s="13">
        <f t="shared" si="2"/>
        <v>3712.75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70820.800000000003</v>
      </c>
      <c r="AZ6" s="13" t="s">
        <v>2</v>
      </c>
      <c r="BA6" s="13">
        <f>ROUND($AY$6*BA5/$AZ$5,2)</f>
        <v>70820.800000000003</v>
      </c>
      <c r="BB6" s="13">
        <f>ROUND($AY$6*BB5/$AZ$5,2)</f>
        <v>67108.05</v>
      </c>
      <c r="BC6" s="13">
        <f t="shared" ref="BC6:BH6" si="4">ROUND($AY$6*BC5/$AZ$5,2)</f>
        <v>3712.75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3387</v>
      </c>
      <c r="J9" s="808"/>
      <c r="K9" s="1602" t="s">
        <v>3388</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t="s">
        <v>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3386</v>
      </c>
      <c r="E13" s="13">
        <f>IF($C$3="是",ROUND($A$3*G13/$B$3,2),ROUND($A$3*(G13-AT13)/$B$3,2))</f>
        <v>70820.800000000003</v>
      </c>
      <c r="F13" s="29"/>
      <c r="G13" s="30">
        <f>H13+AC13+AT13</f>
        <v>90300.22</v>
      </c>
      <c r="H13" s="17">
        <f>SUMIF(I$12:AB$12,"总值",I13:AB13)</f>
        <v>90300.22</v>
      </c>
      <c r="I13" s="1625">
        <f>90300.22-K13</f>
        <v>85566.27</v>
      </c>
      <c r="J13" s="1625"/>
      <c r="K13" s="1625">
        <f>3411.56+1322.39</f>
        <v>4733.95</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70820.800000000003</v>
      </c>
      <c r="AZ13" s="13">
        <f>BA13+BL13</f>
        <v>90300.22</v>
      </c>
      <c r="BA13" s="13">
        <f>SUM(BB13:BK13)</f>
        <v>90300.22</v>
      </c>
      <c r="BB13" s="13">
        <f>IF($D13="是",I13-J13,0)</f>
        <v>85566.27</v>
      </c>
      <c r="BC13" s="13">
        <f>IF($D13="是",K13-L13,0)</f>
        <v>4733.95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9" t="s">
        <v>1131</v>
      </c>
      <c r="B2" s="3539"/>
      <c r="C2" s="3539"/>
      <c r="D2" s="795" t="s">
        <v>1107</v>
      </c>
      <c r="E2" s="1638" t="s">
        <v>1108</v>
      </c>
      <c r="F2" s="2657"/>
      <c r="G2" s="2648"/>
      <c r="H2" s="2649"/>
      <c r="I2" s="2323" t="s">
        <v>1132</v>
      </c>
      <c r="J2" s="2657"/>
      <c r="K2" s="2657"/>
      <c r="L2" s="2657"/>
      <c r="M2" s="2657"/>
      <c r="N2" s="2659"/>
      <c r="O2" s="2657"/>
      <c r="P2" s="2657"/>
    </row>
    <row r="3" spans="1:16" ht="15.75" thickBot="1">
      <c r="A3" s="3540" t="s">
        <v>1105</v>
      </c>
      <c r="B3" s="3540"/>
      <c r="C3" s="3540"/>
      <c r="D3" s="43">
        <f>'数据-基础表'!AY6</f>
        <v>70820.800000000003</v>
      </c>
      <c r="E3" s="43">
        <f>'数据-基础表'!AZ5</f>
        <v>90300.22</v>
      </c>
      <c r="F3" s="2657"/>
      <c r="G3" s="1144"/>
      <c r="H3" s="1025" t="s">
        <v>1106</v>
      </c>
      <c r="I3" s="854">
        <f>ROUND('数据-基础表'!B3/'数据-基础表'!A3,2)</f>
        <v>1.28</v>
      </c>
      <c r="J3" s="2657"/>
      <c r="K3" s="2657"/>
      <c r="L3" s="2657"/>
      <c r="M3" s="2657"/>
      <c r="N3" s="2659"/>
      <c r="O3" s="2657"/>
      <c r="P3" s="2657"/>
    </row>
    <row r="4" spans="1:16" ht="15">
      <c r="A4" s="3541"/>
      <c r="B4" s="3542"/>
      <c r="C4" s="3543"/>
      <c r="D4" s="1640" t="s">
        <v>1107</v>
      </c>
      <c r="E4" s="1641" t="s">
        <v>1108</v>
      </c>
      <c r="F4" s="2657"/>
      <c r="G4" s="2650" t="s">
        <v>1133</v>
      </c>
      <c r="H4" s="1025" t="s">
        <v>1113</v>
      </c>
      <c r="I4" s="854">
        <f>ROUND(SUMIF('数据-基础表'!I9:AS9,"地上",'数据-基础表'!I5:AS5)/'数据-基础表'!A3,2)</f>
        <v>1.21</v>
      </c>
      <c r="J4" s="2657"/>
      <c r="K4" s="2657"/>
      <c r="L4" s="2657"/>
      <c r="M4" s="2657"/>
      <c r="N4" s="2659"/>
      <c r="O4" s="2657"/>
      <c r="P4" s="2657"/>
    </row>
    <row r="5" spans="1:16">
      <c r="A5" s="44" t="s">
        <v>1109</v>
      </c>
      <c r="B5" s="3544" t="s">
        <v>1110</v>
      </c>
      <c r="C5" s="3544"/>
      <c r="D5" s="45">
        <f>ROUND($D$3*E5/$E$3,2)</f>
        <v>0</v>
      </c>
      <c r="E5" s="46">
        <f>SUMIF('数据-基础表'!$11:$11,"住宅",'数据-基础表'!$5:$5)</f>
        <v>0</v>
      </c>
      <c r="F5" s="2657"/>
      <c r="G5" s="1144"/>
      <c r="H5" s="1025" t="s">
        <v>1106</v>
      </c>
      <c r="I5" s="854">
        <f>ROUND(E31/D31,2)</f>
        <v>1.28</v>
      </c>
      <c r="J5" s="2657"/>
      <c r="K5" s="2657"/>
      <c r="L5" s="2657"/>
      <c r="M5" s="2657"/>
      <c r="N5" s="2657"/>
      <c r="O5" s="2657"/>
      <c r="P5" s="2657"/>
    </row>
    <row r="6" spans="1:16" ht="15" thickBot="1">
      <c r="A6" s="1643"/>
      <c r="B6" s="3544" t="s">
        <v>1111</v>
      </c>
      <c r="C6" s="3544"/>
      <c r="D6" s="45">
        <f>ROUND($D$3*E6/$E$3,2)</f>
        <v>70820.800000000003</v>
      </c>
      <c r="E6" s="46">
        <f>E3-E5</f>
        <v>90300.22</v>
      </c>
      <c r="F6" s="2657"/>
      <c r="G6" s="2651" t="s">
        <v>1112</v>
      </c>
      <c r="H6" s="1145" t="s">
        <v>1113</v>
      </c>
      <c r="I6" s="2652">
        <f>ROUND(F31/D31,2)</f>
        <v>1.21</v>
      </c>
      <c r="J6" s="2657"/>
      <c r="K6" s="2657"/>
      <c r="L6" s="2657"/>
      <c r="M6" s="2657"/>
      <c r="N6" s="2657"/>
      <c r="O6" s="2657"/>
      <c r="P6" s="2657"/>
    </row>
    <row r="7" spans="1:16" ht="15.75" thickBot="1">
      <c r="A7" s="3536"/>
      <c r="B7" s="3537"/>
      <c r="C7" s="3538"/>
      <c r="D7" s="1640" t="s">
        <v>1107</v>
      </c>
      <c r="E7" s="1644"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67108.05</v>
      </c>
      <c r="E8" s="48">
        <f>SUMIF('数据-基础表'!BB10:BK10,"地上",'数据-基础表'!BB5:BK5)</f>
        <v>85566.27</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67108.05</v>
      </c>
      <c r="E16" s="50">
        <f>SUM(E8:E15)</f>
        <v>85566.27</v>
      </c>
      <c r="F16" s="2657"/>
      <c r="G16" s="2658"/>
      <c r="H16" s="1647" t="s">
        <v>1135</v>
      </c>
      <c r="I16" s="1648"/>
      <c r="J16" s="1138"/>
      <c r="K16" s="3533" t="s">
        <v>1135</v>
      </c>
      <c r="L16" s="3534"/>
      <c r="M16" s="3534"/>
      <c r="N16" s="3534"/>
      <c r="O16" s="3534"/>
      <c r="P16" s="3535"/>
    </row>
    <row r="17" spans="1:19" ht="15">
      <c r="A17" s="1649" t="s">
        <v>1136</v>
      </c>
      <c r="B17" s="1650" t="s">
        <v>1137</v>
      </c>
      <c r="C17" s="1651" t="s">
        <v>1138</v>
      </c>
      <c r="D17" s="1652" t="s">
        <v>1126</v>
      </c>
      <c r="E17" s="1653" t="s">
        <v>1127</v>
      </c>
      <c r="F17" s="1654"/>
      <c r="G17" s="1655"/>
      <c r="H17" s="1656" t="s">
        <v>1139</v>
      </c>
      <c r="I17" s="1657" t="s">
        <v>1124</v>
      </c>
      <c r="J17" s="1138"/>
      <c r="K17" s="3530" t="s">
        <v>1140</v>
      </c>
      <c r="L17" s="3531"/>
      <c r="M17" s="3532"/>
      <c r="N17" s="3530" t="s">
        <v>1141</v>
      </c>
      <c r="O17" s="3531"/>
      <c r="P17" s="3532"/>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3390</v>
      </c>
      <c r="D19" s="45">
        <f>ROUND($D$3*E19/$E$3,2)</f>
        <v>70820.800000000003</v>
      </c>
      <c r="E19" s="53">
        <f t="shared" ref="E19:E26" si="1">SUM(F19:G19)</f>
        <v>90300.22</v>
      </c>
      <c r="F19" s="2793">
        <f>'数据-基础表'!I13</f>
        <v>85566.27</v>
      </c>
      <c r="G19" s="2794">
        <f>'数据-基础表'!K13</f>
        <v>4733.95</v>
      </c>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70820.800000000003</v>
      </c>
      <c r="S19" s="1026">
        <f t="shared" si="5"/>
        <v>90300.22</v>
      </c>
    </row>
    <row r="20" spans="1:19">
      <c r="A20" s="1669"/>
      <c r="B20" s="47" t="s">
        <v>1153</v>
      </c>
      <c r="C20" s="3415"/>
      <c r="D20" s="45">
        <f t="shared" ref="D20:D26" si="6">ROUND($D$3*E20/$E$3,2)</f>
        <v>0</v>
      </c>
      <c r="E20" s="53">
        <f t="shared" si="1"/>
        <v>0</v>
      </c>
      <c r="F20" s="2793"/>
      <c r="G20" s="2794"/>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70820.800000000003</v>
      </c>
      <c r="E27" s="1140">
        <f>IF(SUM(E19:E26)='数据-基础表'!BA5,SUM(E19:E26),IF(F27="地上面积有误","面积有误","地下面积有误"))</f>
        <v>90300.22</v>
      </c>
      <c r="F27" s="1139">
        <f>IF(SUM(F19:F26)=E8,SUM(F19:F26),"地上面积有误")</f>
        <v>85566.27</v>
      </c>
      <c r="G27" s="1141">
        <f>SUM(G19:G26)</f>
        <v>4733.95</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70820.800000000003</v>
      </c>
      <c r="S27" s="1025">
        <f>IF(SUM(S19:S26)=$E$3,SUM(S19:S26),SUM(S19:S26)&amp;"误差"&amp;ROUND(SUM(S19:S26)-E3,2))</f>
        <v>90300.22</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70820.800000000003</v>
      </c>
      <c r="E31" s="675">
        <f>E27+E30</f>
        <v>90300.22</v>
      </c>
      <c r="F31" s="676">
        <f>F27+F30</f>
        <v>85566.27</v>
      </c>
      <c r="G31" s="677">
        <f>G27+G30</f>
        <v>4733.95</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H11"/>
  <sheetViews>
    <sheetView workbookViewId="0">
      <selection activeCell="L2" sqref="L2"/>
    </sheetView>
  </sheetViews>
  <sheetFormatPr defaultRowHeight="14.25"/>
  <cols>
    <col min="1" max="5" width="9" style="3447"/>
    <col min="6" max="6" width="11.25" style="3447" customWidth="1"/>
    <col min="7" max="7" width="10.875" style="3447" customWidth="1"/>
    <col min="8" max="16384" width="9" style="3447"/>
  </cols>
  <sheetData>
    <row r="4" spans="4:8">
      <c r="D4" s="3447" t="s">
        <v>3392</v>
      </c>
      <c r="E4" s="3447" t="s">
        <v>3395</v>
      </c>
      <c r="F4" s="3447" t="s">
        <v>3393</v>
      </c>
      <c r="G4" s="3447" t="s">
        <v>3394</v>
      </c>
      <c r="H4" s="3447" t="s">
        <v>2595</v>
      </c>
    </row>
    <row r="5" spans="4:8">
      <c r="D5" s="3447">
        <v>1</v>
      </c>
      <c r="E5" s="3447">
        <v>3</v>
      </c>
      <c r="F5" s="3447">
        <v>13110.85</v>
      </c>
      <c r="H5" s="3447">
        <f>F5+G5</f>
        <v>13110.85</v>
      </c>
    </row>
    <row r="6" spans="4:8">
      <c r="D6" s="3447">
        <v>2</v>
      </c>
      <c r="E6" s="3447">
        <v>3</v>
      </c>
      <c r="F6" s="3447">
        <v>14557.89</v>
      </c>
      <c r="H6" s="3447">
        <f t="shared" ref="H6:H10" si="0">F6+G6</f>
        <v>14557.89</v>
      </c>
    </row>
    <row r="7" spans="4:8">
      <c r="D7" s="3447">
        <v>3</v>
      </c>
      <c r="E7" s="3447">
        <v>3</v>
      </c>
      <c r="F7" s="3447">
        <v>25433.72</v>
      </c>
      <c r="H7" s="3447">
        <f t="shared" si="0"/>
        <v>25433.72</v>
      </c>
    </row>
    <row r="8" spans="4:8">
      <c r="D8" s="3447">
        <v>4</v>
      </c>
      <c r="E8" s="3447">
        <v>3</v>
      </c>
      <c r="F8" s="3447">
        <v>17168.28</v>
      </c>
      <c r="H8" s="3447">
        <f t="shared" si="0"/>
        <v>17168.28</v>
      </c>
    </row>
    <row r="9" spans="4:8">
      <c r="D9" s="3447">
        <v>5</v>
      </c>
      <c r="E9" s="3447">
        <v>7</v>
      </c>
      <c r="F9" s="3447">
        <f>11970.89-G9</f>
        <v>8559.33</v>
      </c>
      <c r="G9" s="3447">
        <v>3411.56</v>
      </c>
      <c r="H9" s="3447">
        <f t="shared" si="0"/>
        <v>11970.89</v>
      </c>
    </row>
    <row r="10" spans="4:8">
      <c r="D10" s="3447">
        <v>6</v>
      </c>
      <c r="E10" s="3447">
        <v>6</v>
      </c>
      <c r="F10" s="3447">
        <f>8058.59-G10</f>
        <v>6736.2</v>
      </c>
      <c r="G10" s="3447">
        <v>1322.39</v>
      </c>
      <c r="H10" s="3447">
        <f t="shared" si="0"/>
        <v>8058.59</v>
      </c>
    </row>
    <row r="11" spans="4:8">
      <c r="D11" s="3447" t="s">
        <v>2595</v>
      </c>
      <c r="F11" s="3447">
        <f>SUM(F5:F10)</f>
        <v>85566.26999999999</v>
      </c>
      <c r="G11" s="3447">
        <f>SUM(G5:G10)</f>
        <v>4733.95</v>
      </c>
      <c r="H11" s="3447">
        <f>SUM(H5:H10)</f>
        <v>90300.219999999987</v>
      </c>
    </row>
  </sheetData>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N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3" customWidth="1"/>
    <col min="2" max="2" width="12" style="1681" customWidth="1"/>
    <col min="3" max="3" width="12.75" style="1681" customWidth="1"/>
    <col min="4" max="4" width="9.125" style="1744"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45240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苏州精雕</v>
      </c>
      <c r="B6" s="1712" t="str">
        <f>IF(A6=0,"","经营性")</f>
        <v>经营性</v>
      </c>
      <c r="C6" s="1713" t="s">
        <v>3</v>
      </c>
      <c r="D6" s="857">
        <f>SUMIF(项目基本情况!C$12:I$12,C6,项目基本情况!C$14:I$14)</f>
        <v>50</v>
      </c>
      <c r="E6" s="856">
        <f>IF(B6="","",SUMIF(项目基本情况!C$12:I$12,C6,项目基本情况!C$13:I$13))</f>
        <v>61007</v>
      </c>
      <c r="F6" s="64">
        <f>SUMIF(项目基本情况!C$12:I$12,C6,项目基本情况!C$15:I$15)</f>
        <v>43.19</v>
      </c>
      <c r="G6" s="65">
        <f>IF(ISERROR(ROUND(POWER(1+H6,D6-F6)*(POWER(1+H6,F6)-1)/(POWER(1+H6,D6)-1),3)),0,ROUND(POWER(1+H6,D6-F6)*(POWER(1+H6,F6)-1)/(POWER(1+H6,D6)-1),3))</f>
        <v>0.95599999999999996</v>
      </c>
      <c r="H6" s="731">
        <v>4.4999999999999998E-2</v>
      </c>
      <c r="I6" s="731">
        <v>0.05</v>
      </c>
      <c r="J6" s="66">
        <v>7.0000000000000007E-2</v>
      </c>
      <c r="K6" s="1029">
        <f>SUMIF('数据-汇总表'!C$19:C$33,A6,'数据-汇总表'!E$19:E$33)</f>
        <v>90300.22</v>
      </c>
      <c r="L6" s="732">
        <v>4000</v>
      </c>
      <c r="M6" s="67">
        <f t="shared" ref="M6:M14" si="0">ROUND(K6*L6/10000,0)</f>
        <v>36120</v>
      </c>
      <c r="N6" s="730">
        <v>0.9</v>
      </c>
      <c r="O6" s="67" t="str">
        <f>IF($N$5="成新度","——",ROUND(M6*N6,0))</f>
        <v>——</v>
      </c>
      <c r="P6" s="68" t="str">
        <f>IF($N$5="成新度","——",M6-O6)</f>
        <v>——</v>
      </c>
      <c r="Q6" s="733">
        <v>0.1</v>
      </c>
      <c r="R6" s="69">
        <f ca="1">SUMIF('数据-汇总表'!C$19:C$33,A6,'数据-汇总表'!R$19:R$27)</f>
        <v>70820.800000000003</v>
      </c>
      <c r="S6" s="51">
        <f>IF('数据-汇总表'!$I$17="按面积比例",SUMIF('数据-汇总表'!C$19:C$33,A6,'数据-汇总表'!K$19:K$33),SUMIF('数据-汇总表'!C$19:C$33,A6,'数据-汇总表'!N$19:N$33))</f>
        <v>0</v>
      </c>
      <c r="T6" s="1171">
        <f>ROUND($L$14*S6/10000,0)</f>
        <v>0</v>
      </c>
      <c r="U6" s="3426">
        <v>1.2</v>
      </c>
      <c r="V6" s="70">
        <v>0.02</v>
      </c>
      <c r="W6" s="70">
        <v>0.15</v>
      </c>
      <c r="X6" s="1039"/>
      <c r="Y6" s="71">
        <f>N6</f>
        <v>0.9</v>
      </c>
      <c r="Z6" s="72"/>
      <c r="AA6" s="66"/>
      <c r="AB6" s="66"/>
      <c r="AC6" s="1039"/>
      <c r="AD6" s="73"/>
      <c r="AE6" s="1040">
        <f ca="1">IF(AN6="",0,SUMIF(INDIRECT("'"&amp;AN6&amp;"'"&amp;"!E:E"),$AE$5,INDIRECT("'"&amp;AN6&amp;"'"&amp;"!F:F")))</f>
        <v>43.19</v>
      </c>
      <c r="AF6" s="1347"/>
      <c r="AG6" s="138">
        <f>IF(AF6="",0,AE6-AF6)</f>
        <v>0</v>
      </c>
      <c r="AH6" s="74"/>
      <c r="AI6" s="76">
        <v>365</v>
      </c>
      <c r="AJ6" s="77"/>
      <c r="AK6" s="78">
        <v>5.0000000000000001E-3</v>
      </c>
      <c r="AL6" s="79">
        <v>1.5E-3</v>
      </c>
      <c r="AM6" s="80">
        <v>0.01</v>
      </c>
      <c r="AN6" s="1714" t="s">
        <v>3397</v>
      </c>
      <c r="AO6" s="52">
        <f ca="1">SUMIF(INDIRECT("'"&amp;AN6&amp;"'"&amp;"!A:A"),"总价",INDIRECT("'"&amp;AN6&amp;"'"&amp;"!B:B"))</f>
        <v>57509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0.95599999999999996</v>
      </c>
      <c r="H16" s="90">
        <f>ROUND(SUMPRODUCT(H6:H13,K6:K13)/SUMPRODUCT((H6:H13&gt;0)*(K6:K13)),3)</f>
        <v>4.4999999999999998E-2</v>
      </c>
      <c r="I16" s="91"/>
      <c r="J16" s="91"/>
      <c r="K16" s="92">
        <f>SUM(K6:K15)</f>
        <v>90300.22</v>
      </c>
      <c r="L16" s="93">
        <f>ROUND(M16*10000/SUM(K6:K14),0)</f>
        <v>4000</v>
      </c>
      <c r="M16" s="93">
        <f>SUM(M6:M14)</f>
        <v>36120</v>
      </c>
      <c r="N16" s="94">
        <f>ROUND(SUMPRODUCT(M6:M14,N6:N14)/M16,3)</f>
        <v>0.9</v>
      </c>
      <c r="O16" s="93">
        <f>SUM(O6:O14)</f>
        <v>0</v>
      </c>
      <c r="P16" s="93">
        <f>SUM(P6:P14)</f>
        <v>0</v>
      </c>
      <c r="Q16" s="95">
        <f>ROUND(SUMPRODUCT(Q6:Q13,K6:K13)/SUMPRODUCT((Q6:Q13&gt;0)*(K6:K13)),2)</f>
        <v>0.1</v>
      </c>
      <c r="R16" s="1033">
        <f ca="1">SUM(R6:R13)</f>
        <v>70820.800000000003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2020</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2304</v>
      </c>
      <c r="D19" s="2674"/>
      <c r="E19" s="2671"/>
      <c r="F19" s="2671"/>
      <c r="G19" s="2671"/>
      <c r="H19" s="2671"/>
      <c r="I19" s="2671"/>
      <c r="J19" s="2671"/>
      <c r="K19" s="2670"/>
      <c r="L19" s="2670"/>
      <c r="M19" s="2669"/>
      <c r="N19" s="2669">
        <f>1-(2023-N18)/60</f>
        <v>0.95</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c r="C27" s="2799" t="s">
        <v>2306</v>
      </c>
      <c r="D27" s="2677" t="s">
        <v>3396</v>
      </c>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105</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3456">
        <v>180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180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3453">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2299</v>
      </c>
      <c r="D45" s="2674" t="s">
        <v>3396</v>
      </c>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10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3455" t="s">
        <v>110</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3457">
        <v>18</v>
      </c>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3457">
        <v>16</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3457">
        <v>14</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3457">
        <v>10</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3457">
        <v>6</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3457">
        <v>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3457">
        <v>4</v>
      </c>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80" customFormat="1">
      <c r="A134" s="1741"/>
      <c r="D134" s="1742"/>
      <c r="K134" s="24"/>
      <c r="L134" s="24"/>
    </row>
    <row r="135" spans="1:12" s="1680" customFormat="1">
      <c r="A135" s="1741"/>
      <c r="D135" s="1742"/>
      <c r="K135" s="24"/>
      <c r="L135" s="24"/>
    </row>
    <row r="136" spans="1:12" s="1680" customFormat="1">
      <c r="A136" s="1741"/>
      <c r="D136" s="1742"/>
      <c r="K136" s="24"/>
      <c r="L136" s="24"/>
    </row>
    <row r="137" spans="1:12" s="1680" customFormat="1">
      <c r="A137" s="1741"/>
      <c r="D137" s="1742"/>
      <c r="K137" s="24"/>
      <c r="L137" s="24"/>
    </row>
    <row r="138" spans="1:12" s="1680" customFormat="1">
      <c r="A138" s="1741"/>
      <c r="D138" s="1742"/>
      <c r="K138" s="24"/>
      <c r="L138" s="24"/>
    </row>
    <row r="139" spans="1:12" s="1680" customFormat="1">
      <c r="A139" s="1741"/>
      <c r="D139" s="1742"/>
      <c r="K139" s="24"/>
      <c r="L139" s="24"/>
    </row>
    <row r="140" spans="1:12" s="1680" customFormat="1">
      <c r="A140" s="1741"/>
      <c r="D140" s="1742"/>
      <c r="K140" s="24"/>
      <c r="L140" s="24"/>
    </row>
    <row r="141" spans="1:12" s="1680" customFormat="1">
      <c r="A141" s="1741"/>
      <c r="D141" s="1742"/>
      <c r="K141" s="24"/>
      <c r="L141" s="24"/>
    </row>
    <row r="142" spans="1:12" s="1680" customFormat="1">
      <c r="A142" s="1741"/>
      <c r="D142" s="1742"/>
      <c r="K142" s="24"/>
      <c r="L142" s="24"/>
    </row>
    <row r="143" spans="1:12" s="1680" customFormat="1">
      <c r="A143" s="1741"/>
      <c r="D143" s="1742"/>
      <c r="K143" s="24"/>
      <c r="L143" s="24"/>
    </row>
    <row r="144" spans="1:12" s="1680" customFormat="1">
      <c r="A144" s="1741"/>
      <c r="D144" s="1742"/>
      <c r="K144" s="24"/>
      <c r="L144" s="24"/>
    </row>
    <row r="145" spans="1:12" s="1680" customFormat="1">
      <c r="A145" s="1741"/>
      <c r="D145" s="1742"/>
      <c r="K145" s="24"/>
      <c r="L145" s="24"/>
    </row>
    <row r="146" spans="1:12" s="1680" customFormat="1">
      <c r="A146" s="1741"/>
      <c r="D146" s="1742"/>
      <c r="K146" s="24"/>
      <c r="L146" s="24"/>
    </row>
    <row r="147" spans="1:12" s="1680" customFormat="1">
      <c r="A147" s="1741"/>
      <c r="D147" s="1742"/>
      <c r="K147" s="24"/>
      <c r="L147" s="24"/>
    </row>
    <row r="148" spans="1:12" s="1680" customFormat="1">
      <c r="A148" s="1741"/>
      <c r="D148" s="1742"/>
      <c r="K148" s="24"/>
      <c r="L148" s="24"/>
    </row>
    <row r="149" spans="1:12" s="1680" customFormat="1">
      <c r="A149" s="1741"/>
      <c r="D149" s="1742"/>
      <c r="K149" s="24"/>
      <c r="L149" s="24"/>
    </row>
    <row r="150" spans="1:12" s="1680" customFormat="1">
      <c r="A150" s="1741"/>
      <c r="D150" s="1742"/>
      <c r="K150" s="24"/>
      <c r="L150" s="24"/>
    </row>
    <row r="151" spans="1:12" s="1680" customFormat="1">
      <c r="A151" s="1741"/>
      <c r="D151" s="1742"/>
      <c r="K151" s="24"/>
      <c r="L151" s="24"/>
    </row>
    <row r="152" spans="1:12" s="1680" customFormat="1">
      <c r="A152" s="1741"/>
      <c r="D152" s="1742"/>
      <c r="K152" s="24"/>
      <c r="L152" s="24"/>
    </row>
    <row r="153" spans="1:12" s="1680" customFormat="1">
      <c r="A153" s="1741"/>
      <c r="D153" s="1742"/>
      <c r="K153" s="24"/>
      <c r="L153" s="24"/>
    </row>
    <row r="154" spans="1:12" s="1680" customFormat="1">
      <c r="A154" s="1741"/>
      <c r="D154" s="1742"/>
      <c r="K154" s="24"/>
      <c r="L154" s="24"/>
    </row>
    <row r="155" spans="1:12" s="1680" customFormat="1">
      <c r="A155" s="1741"/>
      <c r="D155" s="1742"/>
      <c r="K155" s="24"/>
      <c r="L155" s="24"/>
    </row>
    <row r="156" spans="1:12" s="1680" customFormat="1">
      <c r="A156" s="1741"/>
      <c r="D156" s="1742"/>
      <c r="K156" s="24"/>
      <c r="L156" s="24"/>
    </row>
    <row r="157" spans="1:12" s="1680" customFormat="1">
      <c r="A157" s="1741"/>
      <c r="D157" s="1742"/>
      <c r="K157" s="24"/>
      <c r="L157" s="24"/>
    </row>
    <row r="158" spans="1:12" s="1680" customFormat="1">
      <c r="A158" s="1741"/>
      <c r="D158" s="1742"/>
      <c r="K158" s="24"/>
      <c r="L158" s="24"/>
    </row>
    <row r="159" spans="1:12" s="1680" customFormat="1">
      <c r="A159" s="1741"/>
      <c r="D159" s="1742"/>
      <c r="K159" s="24"/>
      <c r="L159" s="24"/>
    </row>
    <row r="160" spans="1:12" s="1680" customFormat="1">
      <c r="A160" s="1741"/>
      <c r="D160" s="1742"/>
      <c r="K160" s="24"/>
      <c r="L160" s="24"/>
    </row>
    <row r="161" spans="1:12" s="1680" customFormat="1">
      <c r="A161" s="1741"/>
      <c r="D161" s="1742"/>
      <c r="K161" s="24"/>
      <c r="L161" s="24"/>
    </row>
    <row r="162" spans="1:12" s="1680" customFormat="1">
      <c r="A162" s="1741"/>
      <c r="D162" s="1742"/>
      <c r="K162" s="24"/>
      <c r="L162" s="24"/>
    </row>
    <row r="163" spans="1:12" s="1680" customFormat="1">
      <c r="A163" s="1741"/>
      <c r="D163" s="1742"/>
      <c r="K163" s="24"/>
      <c r="L163" s="24"/>
    </row>
    <row r="164" spans="1:12" s="1680" customFormat="1">
      <c r="A164" s="1741"/>
      <c r="D164" s="1742"/>
      <c r="K164" s="24"/>
      <c r="L164" s="24"/>
    </row>
    <row r="165" spans="1:12" s="1680" customFormat="1">
      <c r="A165" s="1741"/>
      <c r="D165" s="1742"/>
      <c r="K165" s="24"/>
      <c r="L165" s="24"/>
    </row>
    <row r="166" spans="1:12" s="1680" customFormat="1">
      <c r="A166" s="1741"/>
      <c r="D166" s="1742"/>
      <c r="K166" s="24"/>
      <c r="L166" s="24"/>
    </row>
    <row r="167" spans="1:12" s="1680" customFormat="1">
      <c r="A167" s="1741"/>
      <c r="D167" s="1742"/>
      <c r="K167" s="24"/>
      <c r="L167" s="24"/>
    </row>
    <row r="168" spans="1:12" s="1680" customFormat="1">
      <c r="A168" s="1741"/>
      <c r="D168" s="1742"/>
      <c r="K168" s="24"/>
      <c r="L168" s="24"/>
    </row>
    <row r="169" spans="1:12" s="1680" customFormat="1">
      <c r="A169" s="1741"/>
      <c r="D169" s="1742"/>
      <c r="K169" s="24"/>
      <c r="L169" s="24"/>
    </row>
    <row r="170" spans="1:12" s="1680" customFormat="1">
      <c r="A170" s="1741"/>
      <c r="D170" s="1742"/>
      <c r="K170" s="24"/>
      <c r="L170" s="24"/>
    </row>
    <row r="171" spans="1:12" s="1680" customFormat="1">
      <c r="A171" s="1741"/>
      <c r="D171" s="1742"/>
      <c r="K171" s="24"/>
      <c r="L171" s="24"/>
    </row>
    <row r="172" spans="1:12" s="1680" customFormat="1">
      <c r="A172" s="1741"/>
      <c r="D172" s="1742"/>
      <c r="K172" s="24"/>
      <c r="L172" s="24"/>
    </row>
    <row r="173" spans="1:12" s="1680" customFormat="1">
      <c r="A173" s="1741"/>
      <c r="D173" s="1742"/>
      <c r="K173" s="24"/>
      <c r="L173" s="24"/>
    </row>
    <row r="174" spans="1:12" s="1680"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45" t="s">
        <v>2285</v>
      </c>
      <c r="B1" s="3546"/>
      <c r="C1" s="3546"/>
      <c r="D1" s="3546"/>
      <c r="E1" s="3546"/>
      <c r="F1" s="3546"/>
      <c r="G1" s="354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2"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0</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45240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0</v>
      </c>
      <c r="C5" s="2510">
        <f ca="1">IF(B5=D14,结果表!H102,ROUND(B5*10000/$B$1,0))</f>
        <v>5850</v>
      </c>
      <c r="D5" s="2510" t="e">
        <f>ROUND(B5*10000/$B$2,0)</f>
        <v>#DIV/0!</v>
      </c>
      <c r="E5" s="2684"/>
      <c r="F5" s="2685"/>
      <c r="G5" s="2685"/>
      <c r="H5" s="2686"/>
      <c r="I5" s="2686"/>
      <c r="J5" s="2686"/>
      <c r="K5" s="2686"/>
    </row>
    <row r="6" spans="1:11" ht="16.5">
      <c r="A6" s="2510" t="s">
        <v>656</v>
      </c>
      <c r="B6" s="2510">
        <f>SUM(G14:G23)</f>
        <v>0</v>
      </c>
      <c r="C6" s="2510">
        <f ca="1">IF(B6=G14,结果表!H108,ROUND(B6*10000/$B$1,0))</f>
        <v>5850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f ca="1">IF(B8=I14,结果表!H112,ROUND(B8*10000/$B$1,0))</f>
        <v>2480</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c r="C14" s="2516"/>
      <c r="D14" s="2516"/>
      <c r="E14" s="2516" t="e">
        <f>ROUND(D14*10000/B14,0)</f>
        <v>#DIV/0!</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G26" sqref="G26"/>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6" t="s">
        <v>1262</v>
      </c>
      <c r="B1" s="1745"/>
      <c r="C1" s="1746"/>
      <c r="D1" s="1745"/>
      <c r="E1" s="1745"/>
      <c r="F1" s="1747" t="s">
        <v>1263</v>
      </c>
      <c r="G1" s="1560"/>
      <c r="H1" s="1748" t="str">
        <f>IF(G1="现房","——","估价对象范围")</f>
        <v>估价对象范围</v>
      </c>
      <c r="I1" s="1749"/>
    </row>
    <row r="2" spans="1:12" ht="21.75" customHeight="1" thickBot="1">
      <c r="A2" s="3614" t="str">
        <f>项目基本情况!S2</f>
        <v>房地产</v>
      </c>
      <c r="B2" s="3615"/>
      <c r="C2" s="3615"/>
      <c r="D2" s="3615"/>
      <c r="E2" s="3615"/>
      <c r="F2" s="3615"/>
      <c r="G2" s="3615"/>
      <c r="H2" s="3615"/>
      <c r="I2" s="3616"/>
    </row>
    <row r="3" spans="1:12" ht="12.75">
      <c r="A3" s="3618" t="s">
        <v>1264</v>
      </c>
      <c r="B3" s="3619"/>
      <c r="C3" s="3619"/>
      <c r="D3" s="3619"/>
      <c r="E3" s="3619"/>
      <c r="F3" s="3619"/>
      <c r="G3" s="3619"/>
      <c r="H3" s="3619"/>
      <c r="I3" s="3619"/>
    </row>
    <row r="4" spans="1:12" ht="14.25">
      <c r="A4" s="1752" t="s">
        <v>1265</v>
      </c>
      <c r="B4" s="1753" t="s">
        <v>1266</v>
      </c>
      <c r="C4" s="1754" t="s">
        <v>3608</v>
      </c>
      <c r="D4" s="1754" t="s">
        <v>3397</v>
      </c>
      <c r="E4" s="3623" t="s">
        <v>1267</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617">
        <v>25</v>
      </c>
      <c r="C5" s="3620"/>
      <c r="D5" s="3608"/>
      <c r="E5" s="131" t="s">
        <v>1269</v>
      </c>
      <c r="F5" s="1755"/>
      <c r="G5" s="1755"/>
      <c r="H5" s="1755"/>
      <c r="I5" s="1372"/>
    </row>
    <row r="6" spans="1:12" ht="12.75">
      <c r="A6" s="3562"/>
      <c r="B6" s="3617"/>
      <c r="C6" s="3622"/>
      <c r="D6" s="3608"/>
      <c r="E6" s="131" t="s">
        <v>1270</v>
      </c>
      <c r="F6" s="1755"/>
      <c r="G6" s="1755"/>
      <c r="H6" s="1755"/>
      <c r="I6" s="1372"/>
    </row>
    <row r="7" spans="1:12" ht="12.75">
      <c r="A7" s="3562"/>
      <c r="B7" s="3617"/>
      <c r="C7" s="3621"/>
      <c r="D7" s="3608"/>
      <c r="E7" s="131" t="s">
        <v>1271</v>
      </c>
      <c r="F7" s="1755"/>
      <c r="G7" s="1755"/>
      <c r="H7" s="1755"/>
      <c r="I7" s="1372"/>
    </row>
    <row r="8" spans="1:12" ht="12.75">
      <c r="A8" s="3562" t="s">
        <v>1272</v>
      </c>
      <c r="B8" s="3617">
        <v>15</v>
      </c>
      <c r="C8" s="3620"/>
      <c r="D8" s="3608"/>
      <c r="E8" s="131" t="s">
        <v>1273</v>
      </c>
      <c r="F8" s="1755"/>
      <c r="G8" s="1755"/>
      <c r="H8" s="1755"/>
      <c r="I8" s="1372"/>
    </row>
    <row r="9" spans="1:12" ht="12.75">
      <c r="A9" s="3562"/>
      <c r="B9" s="3617"/>
      <c r="C9" s="3621"/>
      <c r="D9" s="3608"/>
      <c r="E9" s="131" t="s">
        <v>1274</v>
      </c>
      <c r="F9" s="1755"/>
      <c r="G9" s="1755"/>
      <c r="H9" s="1755"/>
      <c r="I9" s="1372"/>
    </row>
    <row r="10" spans="1:12" ht="12.75">
      <c r="A10" s="3562" t="s">
        <v>1275</v>
      </c>
      <c r="B10" s="3617">
        <v>15</v>
      </c>
      <c r="C10" s="3620"/>
      <c r="D10" s="3608"/>
      <c r="E10" s="131" t="s">
        <v>1276</v>
      </c>
      <c r="F10" s="1755"/>
      <c r="G10" s="1755"/>
      <c r="H10" s="1755"/>
      <c r="I10" s="1372"/>
    </row>
    <row r="11" spans="1:12" ht="12.75">
      <c r="A11" s="3562"/>
      <c r="B11" s="3617"/>
      <c r="C11" s="3621"/>
      <c r="D11" s="3608"/>
      <c r="E11" s="131" t="s">
        <v>1277</v>
      </c>
      <c r="F11" s="1755"/>
      <c r="G11" s="1755"/>
      <c r="H11" s="1755"/>
      <c r="I11" s="1372"/>
    </row>
    <row r="12" spans="1:12" ht="12.75">
      <c r="A12" s="3562" t="s">
        <v>1278</v>
      </c>
      <c r="B12" s="3617">
        <v>15</v>
      </c>
      <c r="C12" s="3620"/>
      <c r="D12" s="3608"/>
      <c r="E12" s="131" t="s">
        <v>1279</v>
      </c>
      <c r="F12" s="1755"/>
      <c r="G12" s="1755"/>
      <c r="H12" s="1755"/>
      <c r="I12" s="1372"/>
    </row>
    <row r="13" spans="1:12" ht="12.75">
      <c r="A13" s="3562"/>
      <c r="B13" s="3617"/>
      <c r="C13" s="3621"/>
      <c r="D13" s="3608"/>
      <c r="E13" s="131" t="s">
        <v>1280</v>
      </c>
      <c r="F13" s="1755"/>
      <c r="G13" s="1755"/>
      <c r="H13" s="1755"/>
      <c r="I13" s="1372"/>
    </row>
    <row r="14" spans="1:12" ht="12.75">
      <c r="A14" s="3562" t="s">
        <v>1281</v>
      </c>
      <c r="B14" s="3617">
        <v>30</v>
      </c>
      <c r="C14" s="3620">
        <v>5</v>
      </c>
      <c r="D14" s="3608">
        <v>5</v>
      </c>
      <c r="E14" s="131" t="s">
        <v>1282</v>
      </c>
      <c r="F14" s="1755"/>
      <c r="G14" s="1755"/>
      <c r="H14" s="1755"/>
      <c r="I14" s="1372"/>
    </row>
    <row r="15" spans="1:12" ht="12.75">
      <c r="A15" s="3562"/>
      <c r="B15" s="3617"/>
      <c r="C15" s="3622"/>
      <c r="D15" s="3608"/>
      <c r="E15" s="131" t="s">
        <v>1283</v>
      </c>
      <c r="F15" s="1755"/>
      <c r="G15" s="1755"/>
      <c r="H15" s="1755"/>
      <c r="I15" s="1372"/>
    </row>
    <row r="16" spans="1:12" ht="12.75">
      <c r="A16" s="3562"/>
      <c r="B16" s="3617"/>
      <c r="C16" s="3621"/>
      <c r="D16" s="3608"/>
      <c r="E16" s="131" t="s">
        <v>1284</v>
      </c>
      <c r="F16" s="1755"/>
      <c r="G16" s="1755"/>
      <c r="H16" s="1755"/>
      <c r="I16" s="1372"/>
    </row>
    <row r="17" spans="1:36" ht="15">
      <c r="A17" s="1756" t="s">
        <v>1285</v>
      </c>
      <c r="B17" s="56"/>
      <c r="C17" s="132">
        <f>SUM(C5:C16)</f>
        <v>5</v>
      </c>
      <c r="D17" s="132">
        <f>SUM(D5:D16)</f>
        <v>5</v>
      </c>
      <c r="E17" s="129"/>
      <c r="F17" s="129"/>
      <c r="G17" s="129"/>
      <c r="H17" s="129"/>
      <c r="I17" s="129"/>
      <c r="K17" s="302"/>
      <c r="L17" s="302" t="s">
        <v>1286</v>
      </c>
      <c r="M17" s="302" t="s">
        <v>1287</v>
      </c>
    </row>
    <row r="18" spans="1:36" ht="31.9" customHeight="1" thickBot="1">
      <c r="A18" s="1757" t="s">
        <v>1288</v>
      </c>
      <c r="B18" s="1758"/>
      <c r="C18" s="133">
        <f>ROUND(C17/SUM(C17:D17),2)</f>
        <v>0.5</v>
      </c>
      <c r="D18" s="133">
        <f>1-C18</f>
        <v>0.5</v>
      </c>
      <c r="E18" s="3639" t="s">
        <v>2130</v>
      </c>
      <c r="F18" s="3640"/>
      <c r="G18" s="3640"/>
      <c r="H18" s="3640"/>
      <c r="I18" s="3640"/>
      <c r="K18" s="302" t="s">
        <v>1289</v>
      </c>
      <c r="L18" s="302">
        <f>IF(C1="",'数据-汇总表'!E3,SUMIF(项目类型,C1,'数据-汇总表'!E17:E26)+SUMIF(项目类型,C1,'数据-汇总表'!I17:I26))</f>
        <v>90300.22</v>
      </c>
      <c r="M18" s="302">
        <f>IF(C1="",'数据-汇总表'!E3,SUMIF(项目类型,C1,'数据-汇总表'!E17:E26))</f>
        <v>90300.22</v>
      </c>
    </row>
    <row r="19" spans="1:36" ht="15">
      <c r="A19" s="1759" t="s">
        <v>1290</v>
      </c>
      <c r="B19" s="1760" t="s">
        <v>1291</v>
      </c>
      <c r="C19" s="134">
        <f ca="1">SUMIF(INDIRECT("'"&amp;C4&amp;"'"&amp;"!A:A"),结果表!B19,INDIRECT("'"&amp;C4&amp;"'"&amp;"!B:B"))</f>
        <v>48135</v>
      </c>
      <c r="D19" s="135">
        <f ca="1">SUMIF(INDIRECT("'"&amp;D4&amp;"'"&amp;"!A:A"),结果表!B19,INDIRECT("'"&amp;D4&amp;"'"&amp;"!B:B"))</f>
        <v>57509</v>
      </c>
      <c r="E19" s="1759" t="s">
        <v>1292</v>
      </c>
      <c r="F19" s="1760" t="s">
        <v>1291</v>
      </c>
      <c r="G19" s="136">
        <f ca="1">ROUND(C19*$C$18+D19*$D$18,0)</f>
        <v>52822</v>
      </c>
      <c r="H19" s="1761" t="s">
        <v>1293</v>
      </c>
      <c r="I19" s="129"/>
      <c r="K19" s="302" t="s">
        <v>1294</v>
      </c>
      <c r="L19" s="302">
        <f>IF(C1="",'数据-汇总表'!D3,SUMIF(项目类型,C1,'数据-汇总表'!D17:D26)+SUMIF(项目类型,C1,'数据-汇总表'!H17:H27))</f>
        <v>70820.800000000003</v>
      </c>
      <c r="M19" s="302">
        <f>IF(C1="",'数据-汇总表'!D3,SUMIF(项目类型,C1,'数据-汇总表'!D17:D26))</f>
        <v>70820.800000000003</v>
      </c>
    </row>
    <row r="20" spans="1:36" ht="15">
      <c r="A20" s="1762"/>
      <c r="B20" s="1025" t="s">
        <v>1295</v>
      </c>
      <c r="C20" s="137">
        <f ca="1">SUMIF(INDIRECT("'"&amp;C4&amp;"'"&amp;"!A:A"),结果表!B20,INDIRECT("'"&amp;C4&amp;"'"&amp;"!B:B"))</f>
        <v>5331</v>
      </c>
      <c r="D20" s="138">
        <f ca="1">SUMIF(INDIRECT("'"&amp;D4&amp;"'"&amp;"!A:A"),结果表!B20,INDIRECT("'"&amp;D4&amp;"'"&amp;"!B:B"))</f>
        <v>6369</v>
      </c>
      <c r="E20" s="1762"/>
      <c r="F20" s="1025" t="s">
        <v>1295</v>
      </c>
      <c r="G20" s="139">
        <f ca="1">ROUND(C20*$C$18+D20*$D$18,0)</f>
        <v>5850</v>
      </c>
      <c r="H20" s="807" t="s">
        <v>1296</v>
      </c>
      <c r="I20" s="129"/>
    </row>
    <row r="21" spans="1:36" ht="15" customHeight="1" thickBot="1">
      <c r="A21" s="827"/>
      <c r="B21" s="1763" t="s">
        <v>1297</v>
      </c>
      <c r="C21" s="718">
        <f ca="1">ROUND(C19*10000/L19,0)</f>
        <v>6797</v>
      </c>
      <c r="D21" s="719">
        <f ca="1">ROUND(D19*10000/L19,0)</f>
        <v>8120</v>
      </c>
      <c r="E21" s="827"/>
      <c r="F21" s="1763" t="s">
        <v>1297</v>
      </c>
      <c r="G21" s="140">
        <f ca="1">ROUND(G19*10000/L19,0)</f>
        <v>7459</v>
      </c>
      <c r="H21" s="1764" t="s">
        <v>1296</v>
      </c>
      <c r="I21" s="129"/>
    </row>
    <row r="22" spans="1:36" ht="15" thickBot="1">
      <c r="A22" s="1687" t="s">
        <v>1298</v>
      </c>
      <c r="B22" s="1765"/>
      <c r="C22" s="1766"/>
      <c r="D22" s="720">
        <f ca="1">IF(C19&lt;D19,D19/C19-1,C19/D19-1)</f>
        <v>0.19474394930923444</v>
      </c>
      <c r="E22" s="129"/>
      <c r="F22" s="129"/>
      <c r="G22" s="129"/>
      <c r="H22" s="129"/>
      <c r="I22" s="129"/>
    </row>
    <row r="23" spans="1:36" ht="13.5" thickBot="1">
      <c r="A23" s="1745"/>
      <c r="B23" s="1745"/>
      <c r="C23" s="1745"/>
      <c r="D23" s="1745"/>
      <c r="E23" s="129"/>
      <c r="F23" s="129"/>
      <c r="G23" s="129"/>
      <c r="H23" s="129"/>
      <c r="I23" s="129"/>
    </row>
    <row r="24" spans="1:36" ht="14.25">
      <c r="A24" s="3632" t="s">
        <v>1299</v>
      </c>
      <c r="B24" s="1760" t="s">
        <v>1291</v>
      </c>
      <c r="C24" s="136">
        <f>IF(B30=0,0,D30)</f>
        <v>0</v>
      </c>
      <c r="D24" s="1767"/>
      <c r="E24" s="129"/>
      <c r="F24" s="129"/>
      <c r="G24" s="129"/>
      <c r="H24" s="129"/>
      <c r="I24" s="129"/>
    </row>
    <row r="25" spans="1:36" ht="14.25">
      <c r="A25" s="3633"/>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52822</v>
      </c>
      <c r="D32" s="1773" t="s">
        <v>3609</v>
      </c>
      <c r="E32" s="129"/>
      <c r="F32" s="129"/>
      <c r="G32" s="129"/>
      <c r="H32" s="129"/>
      <c r="I32" s="129"/>
    </row>
    <row r="33" spans="1:15" ht="15">
      <c r="A33" s="785" t="s">
        <v>1306</v>
      </c>
      <c r="B33" s="1774"/>
      <c r="C33" s="1775" t="s">
        <v>3610</v>
      </c>
      <c r="D33" s="1776" t="s">
        <v>3608</v>
      </c>
      <c r="E33" s="1777" t="s">
        <v>1307</v>
      </c>
      <c r="F33" s="1778" t="str">
        <f>IF(D32="楼面单价","取值（单价）","取值（总价）")</f>
        <v>取值（总价）</v>
      </c>
      <c r="G33" s="129"/>
      <c r="H33" s="129"/>
      <c r="I33" s="129"/>
    </row>
    <row r="34" spans="1:15" ht="15">
      <c r="A34" s="1779"/>
      <c r="B34" s="1780" t="s">
        <v>1308</v>
      </c>
      <c r="C34" s="148">
        <f ca="1">IF(C33="自定义",F34,C32-C35)</f>
        <v>3222</v>
      </c>
      <c r="D34" s="860">
        <f ca="1">IF(C33="自定义",ROUND(C34/C32,3),IF(C33="收益比率",SUMIF(INDIRECT("'"&amp;D33&amp;"'"&amp;"!b:b"),"土地收益比率",INDIRECT("'"&amp;D33&amp;"'"&amp;"!c:c")),SUMIF(INDIRECT("'"&amp;D33&amp;"'"&amp;"!b:b"),"土地成本比率",INDIRECT("'"&amp;D33&amp;"'"&amp;"!c:c"))))</f>
        <v>6.1000000000000054E-2</v>
      </c>
      <c r="E34" s="1781" t="s">
        <v>1309</v>
      </c>
      <c r="F34" s="1329"/>
      <c r="G34" s="129"/>
      <c r="H34" s="129"/>
      <c r="I34" s="129"/>
    </row>
    <row r="35" spans="1:15" ht="15.75" thickBot="1">
      <c r="A35" s="1782"/>
      <c r="B35" s="1783" t="s">
        <v>1310</v>
      </c>
      <c r="C35" s="1169">
        <f ca="1">IF(C33="自定义",F35,ROUND(C32*D35,0))</f>
        <v>49600</v>
      </c>
      <c r="D35" s="1170">
        <f ca="1">IF(C33="自定义",ROUND(C35/C32,3),IF(C33="收益比率",SUMIF(INDIRECT("'"&amp;D33&amp;"'"&amp;"!b:b"),"建筑物收益比率",INDIRECT("'"&amp;D33&amp;"'"&amp;"!c:c")),SUMIF(INDIRECT("'"&amp;D33&amp;"'"&amp;"!b:b"),"建筑物成本比率",INDIRECT("'"&amp;D33&amp;"'"&amp;"!c:c"))))</f>
        <v>0.93899999999999995</v>
      </c>
      <c r="E35" s="1784" t="s">
        <v>1311</v>
      </c>
      <c r="F35" s="154"/>
      <c r="G35" s="129"/>
      <c r="H35" s="129"/>
      <c r="I35" s="129"/>
    </row>
    <row r="36" spans="1:15" ht="15.75" thickBot="1">
      <c r="A36" s="3609" t="s">
        <v>1312</v>
      </c>
      <c r="B36" s="1785" t="s">
        <v>1313</v>
      </c>
      <c r="C36" s="145"/>
      <c r="D36" s="1786"/>
      <c r="E36" s="1787"/>
      <c r="F36" s="1788"/>
      <c r="G36" s="129"/>
      <c r="H36" s="129"/>
      <c r="I36" s="129"/>
    </row>
    <row r="37" spans="1:15" ht="15.75" thickBot="1">
      <c r="A37" s="3610"/>
      <c r="B37" s="1673" t="s">
        <v>1314</v>
      </c>
      <c r="C37" s="147"/>
      <c r="D37" s="1138"/>
      <c r="E37" s="1138"/>
      <c r="F37" s="1788"/>
      <c r="G37" s="129"/>
      <c r="H37" s="129"/>
      <c r="I37" s="129"/>
    </row>
    <row r="38" spans="1:15" ht="15.75" thickBot="1">
      <c r="A38" s="3611"/>
      <c r="B38" s="1789" t="s">
        <v>1315</v>
      </c>
      <c r="C38" s="673"/>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6"/>
      <c r="B43" s="1576"/>
      <c r="C43" s="1576"/>
      <c r="D43" s="1576"/>
      <c r="E43" s="1576"/>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9" t="s">
        <v>1326</v>
      </c>
      <c r="B45" s="3630"/>
      <c r="C45" s="3631"/>
      <c r="D45" s="155">
        <f ca="1">ROUND(H101*F45,0)</f>
        <v>52822</v>
      </c>
      <c r="E45" s="156" t="s">
        <v>1327</v>
      </c>
      <c r="F45" s="157">
        <v>1</v>
      </c>
      <c r="G45" s="158" t="s">
        <v>1328</v>
      </c>
      <c r="H45" s="129"/>
      <c r="I45" s="129"/>
      <c r="J45" s="3549" t="s">
        <v>1329</v>
      </c>
      <c r="K45" s="3549"/>
      <c r="L45" s="3549"/>
      <c r="M45" s="3549"/>
      <c r="N45" s="3549"/>
      <c r="O45" s="3549"/>
    </row>
    <row r="46" spans="1:15" ht="14.25" customHeight="1">
      <c r="A46" s="3626" t="s">
        <v>1330</v>
      </c>
      <c r="B46" s="3627"/>
      <c r="C46" s="3627"/>
      <c r="D46" s="3627"/>
      <c r="E46" s="3627"/>
      <c r="F46" s="3627"/>
      <c r="G46" s="3628"/>
      <c r="H46" s="1804"/>
      <c r="I46" s="159"/>
      <c r="J46" s="2521">
        <v>1</v>
      </c>
      <c r="K46" s="3550" t="s">
        <v>1331</v>
      </c>
      <c r="L46" s="3550"/>
      <c r="M46" s="3551"/>
      <c r="N46" s="3551"/>
      <c r="O46" s="3551"/>
    </row>
    <row r="47" spans="1:15" ht="12" customHeight="1">
      <c r="A47" s="160" t="s">
        <v>1332</v>
      </c>
      <c r="B47" s="161"/>
      <c r="C47" s="162"/>
      <c r="D47" s="1086" t="s">
        <v>1333</v>
      </c>
      <c r="E47" s="302" t="s">
        <v>1334</v>
      </c>
      <c r="F47" s="163" t="s">
        <v>1335</v>
      </c>
      <c r="G47" s="2544" t="s">
        <v>1336</v>
      </c>
      <c r="H47" s="2545"/>
      <c r="I47" s="159"/>
      <c r="J47" s="2521">
        <v>2</v>
      </c>
      <c r="K47" s="3550" t="s">
        <v>1337</v>
      </c>
      <c r="L47" s="3550"/>
      <c r="M47" s="3552">
        <f>'数据-取费表'!B2</f>
        <v>45240</v>
      </c>
      <c r="N47" s="3552"/>
      <c r="O47" s="3552"/>
    </row>
    <row r="48" spans="1:15" ht="25.5">
      <c r="A48" s="3612" t="s">
        <v>1338</v>
      </c>
      <c r="B48" s="3613"/>
      <c r="C48" s="3613"/>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50" t="s">
        <v>1340</v>
      </c>
      <c r="L48" s="3550"/>
      <c r="M48" s="3553">
        <f ca="1">H101</f>
        <v>52822</v>
      </c>
      <c r="N48" s="3553"/>
      <c r="O48" s="3553"/>
    </row>
    <row r="49" spans="1:35" ht="25.5" customHeight="1">
      <c r="A49" s="2331" t="s">
        <v>1341</v>
      </c>
      <c r="B49" s="3598" t="s">
        <v>1342</v>
      </c>
      <c r="C49" s="3598"/>
      <c r="D49" s="1589">
        <v>0</v>
      </c>
      <c r="E49" s="324" t="s">
        <v>1343</v>
      </c>
      <c r="F49" s="2422" t="s">
        <v>28</v>
      </c>
      <c r="G49" s="3581"/>
      <c r="H49" s="2308" t="s">
        <v>2133</v>
      </c>
      <c r="I49" s="2309"/>
      <c r="J49" s="2521">
        <v>4</v>
      </c>
      <c r="K49" s="3550" t="str">
        <f>IF(项目基本情况!E8="房地产抵押价值","房地产抵押价值","抵押担保权已注销时的房地产抵押价值")</f>
        <v>房地产抵押价值</v>
      </c>
      <c r="L49" s="3550"/>
      <c r="M49" s="3553">
        <f ca="1">IF(项目基本情况!E8="房地产抵押价值",H107,H109)</f>
        <v>52822</v>
      </c>
      <c r="N49" s="3553"/>
      <c r="O49" s="3553"/>
    </row>
    <row r="50" spans="1:35" ht="25.5" customHeight="1">
      <c r="A50" s="2549"/>
      <c r="B50" s="3598" t="s">
        <v>1344</v>
      </c>
      <c r="C50" s="3598"/>
      <c r="D50" s="2550"/>
      <c r="E50" s="332"/>
      <c r="F50" s="2422"/>
      <c r="G50" s="3582"/>
      <c r="H50" s="2310" t="s">
        <v>2134</v>
      </c>
      <c r="I50" s="2309"/>
      <c r="J50" s="3549" t="s">
        <v>1345</v>
      </c>
      <c r="K50" s="3549"/>
      <c r="L50" s="3549"/>
      <c r="M50" s="3549"/>
      <c r="N50" s="3549"/>
      <c r="O50" s="3549"/>
    </row>
    <row r="51" spans="1:35" ht="20.45" customHeight="1">
      <c r="A51" s="2551"/>
      <c r="B51" s="3598" t="s">
        <v>1346</v>
      </c>
      <c r="C51" s="3598"/>
      <c r="D51" s="1086"/>
      <c r="E51" s="327"/>
      <c r="F51" s="2422"/>
      <c r="G51" s="3583"/>
      <c r="H51" s="2310" t="s">
        <v>2135</v>
      </c>
      <c r="I51" s="2309"/>
      <c r="J51" s="2522" t="s">
        <v>1347</v>
      </c>
      <c r="K51" s="3550" t="s">
        <v>1348</v>
      </c>
      <c r="L51" s="3550"/>
      <c r="M51" s="2522" t="s">
        <v>1349</v>
      </c>
      <c r="N51" s="2522" t="s">
        <v>1350</v>
      </c>
      <c r="O51" s="2522" t="s">
        <v>1351</v>
      </c>
    </row>
    <row r="52" spans="1:35" ht="24" customHeight="1">
      <c r="A52" s="2333" t="s">
        <v>1352</v>
      </c>
      <c r="B52" s="3598" t="s">
        <v>1353</v>
      </c>
      <c r="C52" s="3598"/>
      <c r="D52" s="1086">
        <f ca="1">ROUND(D45*'数据-取费表'!B41/(1+'数据-取费表'!C42),0)</f>
        <v>2817</v>
      </c>
      <c r="E52" s="2332" t="s">
        <v>1354</v>
      </c>
      <c r="F52" s="2552">
        <f>'数据-取费表'!B41</f>
        <v>5.6000000000000001E-2</v>
      </c>
      <c r="G52" s="2553"/>
      <c r="H52" s="2542"/>
      <c r="I52" s="1805"/>
      <c r="J52" s="2521">
        <v>1</v>
      </c>
      <c r="K52" s="3575" t="s">
        <v>1355</v>
      </c>
      <c r="L52" s="3575"/>
      <c r="M52" s="2523" t="b">
        <f>D48</f>
        <v>0</v>
      </c>
      <c r="N52" s="2521" t="str">
        <f>E48</f>
        <v>销售额×税（费）率</v>
      </c>
      <c r="O52" s="2524">
        <f>F48</f>
        <v>5.6000000000000001E-2</v>
      </c>
    </row>
    <row r="53" spans="1:35" ht="12" customHeight="1">
      <c r="A53" s="2333" t="s">
        <v>1356</v>
      </c>
      <c r="B53" s="3599" t="s">
        <v>2290</v>
      </c>
      <c r="C53" s="3600"/>
      <c r="D53" s="1086">
        <f ca="1">ROUND(D45*'数据-取费表'!B41/(1+'数据-取费表'!C42),0)</f>
        <v>2817</v>
      </c>
      <c r="E53" s="2332" t="s">
        <v>1354</v>
      </c>
      <c r="F53" s="2552">
        <f>'数据-取费表'!B41</f>
        <v>5.6000000000000001E-2</v>
      </c>
      <c r="G53" s="2553"/>
      <c r="H53" s="2542"/>
      <c r="I53" s="1805"/>
      <c r="J53" s="2521">
        <v>2</v>
      </c>
      <c r="K53" s="3575" t="s">
        <v>1357</v>
      </c>
      <c r="L53" s="3575"/>
      <c r="M53" s="2523">
        <f t="shared" ref="M53:O54" ca="1" si="0">D55</f>
        <v>26</v>
      </c>
      <c r="N53" s="2521" t="str">
        <f t="shared" si="0"/>
        <v>销售额×税（费）率</v>
      </c>
      <c r="O53" s="2524" t="str">
        <f t="shared" si="0"/>
        <v>免征</v>
      </c>
    </row>
    <row r="54" spans="1:35" ht="12" customHeight="1">
      <c r="A54" s="2333" t="s">
        <v>1358</v>
      </c>
      <c r="B54" s="3599" t="s">
        <v>2291</v>
      </c>
      <c r="C54" s="3600"/>
      <c r="D54" s="1086">
        <f ca="1">C68</f>
        <v>2817</v>
      </c>
      <c r="E54" s="327" t="s">
        <v>1359</v>
      </c>
      <c r="F54" s="2552">
        <f>'数据-取费表'!B41</f>
        <v>5.6000000000000001E-2</v>
      </c>
      <c r="G54" s="2553"/>
      <c r="H54" s="2554"/>
      <c r="I54" s="1805"/>
      <c r="J54" s="2521">
        <v>3</v>
      </c>
      <c r="K54" s="3575" t="s">
        <v>1360</v>
      </c>
      <c r="L54" s="3575"/>
      <c r="M54" s="2523">
        <f t="shared" ca="1" si="0"/>
        <v>29897</v>
      </c>
      <c r="N54" s="2521" t="str">
        <f t="shared" si="0"/>
        <v>增值额×税（费）率</v>
      </c>
      <c r="O54" s="2525" t="str">
        <f t="shared" si="0"/>
        <v>免征</v>
      </c>
    </row>
    <row r="55" spans="1:35" ht="24" customHeight="1">
      <c r="A55" s="3635" t="s">
        <v>1361</v>
      </c>
      <c r="B55" s="3613"/>
      <c r="C55" s="3613"/>
      <c r="D55" s="2322">
        <f ca="1">IF(H55="个人住宅",0,ROUND(D45*I55,0))</f>
        <v>26</v>
      </c>
      <c r="E55" s="2332" t="s">
        <v>1362</v>
      </c>
      <c r="F55" s="2552" t="str">
        <f>IF(H55="正常",I55,"免征")</f>
        <v>免征</v>
      </c>
      <c r="G55" s="2553"/>
      <c r="H55" s="2548"/>
      <c r="I55" s="165">
        <f>'数据-取费表'!B49</f>
        <v>5.0000000000000001E-4</v>
      </c>
      <c r="J55" s="2521">
        <f>IF(H59="非个人房产","",4)</f>
        <v>4</v>
      </c>
      <c r="K55" s="3575" t="str">
        <f>IF(H59="非个人房产","——","个人所得税")</f>
        <v>个人所得税</v>
      </c>
      <c r="L55" s="3575"/>
      <c r="M55" s="2526">
        <f ca="1">D59</f>
        <v>503</v>
      </c>
      <c r="N55" s="2038" t="str">
        <f>E59</f>
        <v>差额计税</v>
      </c>
      <c r="O55" s="2527">
        <f>F59</f>
        <v>0.01</v>
      </c>
    </row>
    <row r="56" spans="1:35" ht="24.75">
      <c r="A56" s="3635" t="s">
        <v>1363</v>
      </c>
      <c r="B56" s="3613"/>
      <c r="C56" s="3613"/>
      <c r="D56" s="2322">
        <f ca="1">IF(H56="个人住宅",D57,D58)</f>
        <v>29897</v>
      </c>
      <c r="E56" s="2332" t="s">
        <v>1364</v>
      </c>
      <c r="F56" s="2552" t="str">
        <f>IF(H56="正常",F58,"免征")</f>
        <v>免征</v>
      </c>
      <c r="G56" s="2555" t="s">
        <v>1365</v>
      </c>
      <c r="H56" s="2556"/>
      <c r="I56" s="1806"/>
      <c r="J56" s="2521" t="str">
        <f>IF(项目基本情况!K6="上海银行",IF(J55="",4,J55+1),"")</f>
        <v/>
      </c>
      <c r="K56" s="3556" t="str">
        <f>IF(项目基本情况!K6="上海银行","其他处置费用","")</f>
        <v/>
      </c>
      <c r="L56" s="3557"/>
      <c r="M56" s="2523" t="str">
        <f>IF(项目基本情况!K6="上海银行",M69,"")</f>
        <v/>
      </c>
      <c r="N56" s="3556" t="str">
        <f>IF(项目基本情况!K6="上海银行","包含处置中涉及的律师、诉讼、拍卖、评估等费用","")</f>
        <v/>
      </c>
      <c r="O56" s="3559"/>
    </row>
    <row r="57" spans="1:35" ht="12.75">
      <c r="A57" s="2333" t="s">
        <v>1341</v>
      </c>
      <c r="B57" s="3599" t="s">
        <v>1366</v>
      </c>
      <c r="C57" s="3600"/>
      <c r="D57" s="1589">
        <v>0</v>
      </c>
      <c r="E57" s="324" t="s">
        <v>1343</v>
      </c>
      <c r="F57" s="302"/>
      <c r="G57" s="2553"/>
      <c r="H57" s="2557"/>
      <c r="I57" s="1806"/>
      <c r="J57" s="3575">
        <f>IF(AND(J55="",J56=""),4,IF(项目基本情况!K6="上海银行",结果表!J56+1,结果表!J55+1))</f>
        <v>5</v>
      </c>
      <c r="K57" s="3575" t="s">
        <v>1367</v>
      </c>
      <c r="L57" s="2528" t="s">
        <v>1368</v>
      </c>
      <c r="M57" s="2529"/>
      <c r="N57" s="2530">
        <f ca="1">SUMIF(M52:M56,"&lt;9e307")</f>
        <v>30426</v>
      </c>
      <c r="O57" s="2531"/>
      <c r="P57" s="2688">
        <f ca="1">N57/M49</f>
        <v>0.57600999583506873</v>
      </c>
    </row>
    <row r="58" spans="1:35" ht="24.75">
      <c r="A58" s="2333" t="s">
        <v>1352</v>
      </c>
      <c r="B58" s="3599" t="s">
        <v>1369</v>
      </c>
      <c r="C58" s="3598"/>
      <c r="D58" s="2322">
        <f ca="1">IF(H58="转让取得",C81,C97)</f>
        <v>29897</v>
      </c>
      <c r="E58" s="2332" t="s">
        <v>1364</v>
      </c>
      <c r="F58" s="302" t="s">
        <v>28</v>
      </c>
      <c r="G58" s="2553"/>
      <c r="H58" s="2556"/>
      <c r="I58" s="1806"/>
      <c r="J58" s="3575"/>
      <c r="K58" s="3575"/>
      <c r="L58" s="2528" t="s">
        <v>1370</v>
      </c>
      <c r="M58" s="2532"/>
      <c r="N58" s="2533" t="str">
        <f ca="1">NUMBERSTRING(INT(N57*10000),2)&amp;"元整"</f>
        <v>叁亿零肆佰贰拾陆万元整</v>
      </c>
      <c r="O58" s="2534"/>
    </row>
    <row r="59" spans="1:35" ht="24.75" thickBot="1">
      <c r="A59" s="3579" t="s">
        <v>1371</v>
      </c>
      <c r="B59" s="3580"/>
      <c r="C59" s="3580"/>
      <c r="D59" s="2558">
        <f ca="1">IF(H59="非个人房产","——",IF(H59="个人住宅（满五唯一有凭证）",0,IF(H59="个人其他（无凭证）",ROUND(D45*F59,0),ROUND(C67*F59,0))))</f>
        <v>503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7">
        <f>J57+1</f>
        <v>6</v>
      </c>
      <c r="K59" s="3575" t="s">
        <v>1372</v>
      </c>
      <c r="L59" s="2521" t="s">
        <v>1368</v>
      </c>
      <c r="M59" s="2535"/>
      <c r="N59" s="2536">
        <f ca="1">M49-N57</f>
        <v>22396</v>
      </c>
      <c r="O59" s="2537"/>
    </row>
    <row r="60" spans="1:35" ht="12" customHeight="1">
      <c r="A60" s="1807"/>
      <c r="B60" s="1745"/>
      <c r="C60" s="1745"/>
      <c r="D60" s="1745"/>
      <c r="E60" s="1577"/>
      <c r="F60" s="1806"/>
      <c r="G60" s="1806"/>
      <c r="H60" s="1808"/>
      <c r="I60" s="129"/>
      <c r="J60" s="3578"/>
      <c r="K60" s="3575"/>
      <c r="L60" s="2528" t="s">
        <v>1370</v>
      </c>
      <c r="M60" s="2532"/>
      <c r="N60" s="2533" t="str">
        <f ca="1">NUMBERSTRING(INT(N59*10000),2)&amp;"元整"</f>
        <v>贰亿贰仟叁佰玖拾陆万元整</v>
      </c>
      <c r="O60" s="2534"/>
    </row>
    <row r="61" spans="1:35" ht="13.5" thickBot="1">
      <c r="A61" s="3634" t="s">
        <v>1373</v>
      </c>
      <c r="B61" s="3634"/>
      <c r="C61" s="3634"/>
      <c r="D61" s="3634"/>
      <c r="E61" s="3634"/>
      <c r="F61" s="1806"/>
      <c r="G61" s="1806"/>
      <c r="H61" s="1808"/>
      <c r="I61" s="129"/>
      <c r="J61" s="2521">
        <f>J59+1</f>
        <v>7</v>
      </c>
      <c r="K61" s="3575" t="s">
        <v>1374</v>
      </c>
      <c r="L61" s="3575"/>
      <c r="M61" s="2538"/>
      <c r="N61" s="2539">
        <f ca="1">ROUND(N59*10000/'数据-汇总表'!E3,0)</f>
        <v>2480</v>
      </c>
      <c r="O61" s="2540"/>
    </row>
    <row r="62" spans="1:35" ht="12.75">
      <c r="A62" s="3594" t="s">
        <v>1375</v>
      </c>
      <c r="B62" s="3595"/>
      <c r="C62" s="2019"/>
      <c r="D62" s="2019" t="s">
        <v>1376</v>
      </c>
      <c r="E62" s="166" t="s">
        <v>1377</v>
      </c>
      <c r="F62" s="1806"/>
      <c r="G62" s="1806"/>
      <c r="H62" s="1808"/>
      <c r="I62" s="129"/>
    </row>
    <row r="63" spans="1:35" ht="12.75">
      <c r="A63" s="173" t="s">
        <v>330</v>
      </c>
      <c r="B63" s="167" t="s">
        <v>1378</v>
      </c>
      <c r="C63" s="2562">
        <f ca="1">ROUND((C64+C65)/(1+'数据-取费表'!C42),0)</f>
        <v>50307</v>
      </c>
      <c r="D63" s="167"/>
      <c r="E63" s="168"/>
      <c r="F63" s="1806"/>
      <c r="G63" s="1806"/>
      <c r="H63" s="1808"/>
      <c r="I63" s="129"/>
      <c r="J63" s="3558" t="s">
        <v>1379</v>
      </c>
      <c r="K63" s="1331" t="s">
        <v>1380</v>
      </c>
      <c r="L63" s="1331">
        <f ca="1">IF(M49&gt;10000,M49*0.5%,IF(AND(M49&gt;1000,M49&lt;=10000),M49*1%,IF(AND(M49&gt;100,M49&lt;=1000),M49*3%,IF(AND(M49&gt;10,M49&lt;=100),M49*5%,M49*8%))))</f>
        <v>264.11</v>
      </c>
      <c r="M63" s="302">
        <f ca="1">ROUND(L63,1)</f>
        <v>264.10000000000002</v>
      </c>
      <c r="N63" s="2541"/>
      <c r="Z63" s="1750"/>
      <c r="AI63" s="1751"/>
    </row>
    <row r="64" spans="1:35" ht="14.25" customHeight="1">
      <c r="A64" s="169" t="s">
        <v>325</v>
      </c>
      <c r="B64" s="170" t="s">
        <v>1381</v>
      </c>
      <c r="C64" s="2563">
        <f ca="1">D45</f>
        <v>52822</v>
      </c>
      <c r="D64" s="170" t="s">
        <v>26</v>
      </c>
      <c r="E64" s="172"/>
      <c r="F64" s="1806"/>
      <c r="G64" s="1806"/>
      <c r="H64" s="1808"/>
      <c r="I64" s="129"/>
      <c r="J64" s="3558"/>
      <c r="K64" s="1331" t="s">
        <v>1382</v>
      </c>
      <c r="L64" s="1331">
        <f ca="1">IF(M49&gt;2000,M49*0.5%,IF(AND(M49&gt;1000,M49&lt;=2000),M49*0.6%,IF(AND(M49&gt;500,M49&lt;=1000),M49*0.7%,IF(AND(M49&gt;200,M49&lt;=500),M49*0.8%,IF(AND(M49&gt;100,M49&lt;=200),M49*0.9%,IF(AND(M49&gt;50,M49&lt;=100),M49*1%,IF(AND(M49&gt;20,M49&lt;=50),M49*1.5%,IF(AND(M49&gt;10,M49&lt;=20),M49*2%,IF(AND(M49&gt;1,M49&lt;=10),M49*2.5%)))))))))</f>
        <v>264.11</v>
      </c>
      <c r="M64" s="302">
        <f t="shared" ref="M64:M65" ca="1" si="1">ROUND(L64,1)</f>
        <v>264.10000000000002</v>
      </c>
      <c r="N64" s="2542" t="s">
        <v>1383</v>
      </c>
      <c r="Z64" s="1750"/>
      <c r="AI64" s="1751"/>
    </row>
    <row r="65" spans="1:35" ht="14.25" customHeight="1">
      <c r="A65" s="169" t="s">
        <v>326</v>
      </c>
      <c r="B65" s="170" t="s">
        <v>1384</v>
      </c>
      <c r="C65" s="2564"/>
      <c r="D65" s="170"/>
      <c r="E65" s="172"/>
      <c r="F65" s="1806"/>
      <c r="G65" s="1806"/>
      <c r="H65" s="1808"/>
      <c r="I65" s="129"/>
      <c r="J65" s="3558"/>
      <c r="K65" s="1331" t="s">
        <v>1385</v>
      </c>
      <c r="L65" s="1331">
        <f ca="1">IF(M49&gt;1000,M49*0.1%,IF(AND(M49&gt;500,M49&lt;=1000),M49*0.5%,IF(AND(M49&gt;50,M49&lt;=500),M49*1%,IF(AND(M49&gt;1,M49&lt;=50),M49*1.5%))))</f>
        <v>52.822000000000003</v>
      </c>
      <c r="M65" s="302">
        <f t="shared" ca="1" si="1"/>
        <v>52.8</v>
      </c>
      <c r="N65" s="2542" t="s">
        <v>1383</v>
      </c>
      <c r="Z65" s="1750"/>
      <c r="AI65" s="1751"/>
    </row>
    <row r="66" spans="1:35" ht="14.25" customHeight="1">
      <c r="A66" s="173" t="s">
        <v>327</v>
      </c>
      <c r="B66" s="174" t="s">
        <v>1386</v>
      </c>
      <c r="C66" s="2565"/>
      <c r="D66" s="174" t="s">
        <v>26</v>
      </c>
      <c r="E66" s="1337" t="s">
        <v>671</v>
      </c>
      <c r="F66" s="1806"/>
      <c r="G66" s="1806"/>
      <c r="H66" s="1808"/>
      <c r="I66" s="129"/>
      <c r="J66" s="3558"/>
      <c r="K66" s="1331" t="s">
        <v>1387</v>
      </c>
      <c r="L66" s="1331">
        <f ca="1">M49*0.5%</f>
        <v>264.11</v>
      </c>
      <c r="M66" s="302">
        <f ca="1">IF(L66&gt;0.5,0.5,ROUND(L66,0))</f>
        <v>0.5</v>
      </c>
      <c r="N66" s="2542" t="s">
        <v>1388</v>
      </c>
      <c r="Z66" s="1750"/>
      <c r="AI66" s="1751"/>
    </row>
    <row r="67" spans="1:35" ht="14.25" customHeight="1">
      <c r="A67" s="173" t="s">
        <v>328</v>
      </c>
      <c r="B67" s="174" t="s">
        <v>1389</v>
      </c>
      <c r="C67" s="2566">
        <f ca="1">C63-C66</f>
        <v>50307</v>
      </c>
      <c r="D67" s="170" t="s">
        <v>26</v>
      </c>
      <c r="E67" s="172"/>
      <c r="F67" s="1806"/>
      <c r="G67" s="1806"/>
      <c r="H67" s="1808"/>
      <c r="I67" s="129"/>
      <c r="J67" s="3558"/>
      <c r="K67" s="1331" t="s">
        <v>1390</v>
      </c>
      <c r="L67" s="1331">
        <f ca="1">IF(M49&gt;=10000,(8.25+(M49-10000)*0.01%),IF(AND(M49&gt;=8000,M49&lt;10000),(7.85+(M49-8000)*0.02%),IF(AND(M49&gt;=5000,M49&lt;8000),(6.65+(M49-5000)*0.04%),IF(AND(M49&gt;=2000,M49&lt;5000),(4.25+(PM49-2000)*0.08%),IF(AND(M49&gt;=1000,M49&lt;2000),(2.75+(M49-1000)*0.15%),IF(AND(M49&gt;=100,M49&lt;1000),(0.5+(M49-100)*0.25%),IF(AND(M49&gt;0,M49&lt;100),M49*0.5%)))))))</f>
        <v>12.5322</v>
      </c>
      <c r="M67" s="302">
        <f ca="1">ROUND(L67*0.9,1)</f>
        <v>11.3</v>
      </c>
      <c r="N67" s="2541"/>
      <c r="Z67" s="1750"/>
      <c r="AI67" s="1751"/>
    </row>
    <row r="68" spans="1:35" ht="14.25" customHeight="1" thickBot="1">
      <c r="A68" s="176" t="s">
        <v>329</v>
      </c>
      <c r="B68" s="177" t="s">
        <v>1391</v>
      </c>
      <c r="C68" s="2567">
        <f ca="1">IF(C67&lt;=0,0,ROUND(C67*D68,0))</f>
        <v>2817</v>
      </c>
      <c r="D68" s="2568">
        <f>'数据-取费表'!B41</f>
        <v>5.6000000000000001E-2</v>
      </c>
      <c r="E68" s="178"/>
      <c r="F68" s="1806"/>
      <c r="G68" s="1806"/>
      <c r="H68" s="1808"/>
      <c r="I68" s="129"/>
      <c r="J68" s="3558"/>
      <c r="K68" s="1331" t="s">
        <v>1392</v>
      </c>
      <c r="L68" s="1331">
        <f ca="1">IF(M49&gt;10000,M49*0.5%,IF(AND(M49&gt;5000,M49&lt;=10000),M49*1%,IF(AND(M49&gt;1000,M49&lt;=5000),M49*2%,IF(AND(M49&gt;200,M49&lt;=1000),M49*3%,M49*5%))))</f>
        <v>264.11</v>
      </c>
      <c r="M68" s="302">
        <f ca="1">ROUND(L68,1)</f>
        <v>264.10000000000002</v>
      </c>
      <c r="N68" s="2541"/>
      <c r="Z68" s="1750"/>
      <c r="AI68" s="1751"/>
    </row>
    <row r="69" spans="1:35" s="1770" customFormat="1" ht="16.5" customHeight="1">
      <c r="A69" s="1809"/>
      <c r="B69" s="1810"/>
      <c r="C69" s="1811"/>
      <c r="D69" s="1812"/>
      <c r="E69" s="1813"/>
      <c r="F69" s="1577"/>
      <c r="G69" s="1577"/>
      <c r="H69" s="1576"/>
      <c r="I69" s="1745"/>
      <c r="J69" s="3558"/>
      <c r="K69" s="1331" t="s">
        <v>1393</v>
      </c>
      <c r="L69" s="1331"/>
      <c r="M69" s="302">
        <f ca="1">ROUND(SUM(M63:M68),0)</f>
        <v>857</v>
      </c>
      <c r="N69" s="2543">
        <f ca="1">M69/M49</f>
        <v>1.6224300480860248E-2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02" t="s">
        <v>1394</v>
      </c>
      <c r="B70" s="3603"/>
      <c r="C70" s="3603"/>
      <c r="D70" s="3603"/>
      <c r="E70" s="3603"/>
      <c r="F70" s="3603"/>
      <c r="G70" s="3603"/>
      <c r="H70" s="360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4" t="s">
        <v>1375</v>
      </c>
      <c r="B71" s="3595"/>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50307</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302</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9" t="s">
        <v>1402</v>
      </c>
      <c r="F76" s="3598"/>
      <c r="G76" s="3598"/>
      <c r="H76" s="360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302</v>
      </c>
      <c r="D78" s="2575">
        <f>'数据-取费表'!B43</f>
        <v>6.000000000000001E-3</v>
      </c>
      <c r="E78" s="3591" t="s">
        <v>1406</v>
      </c>
      <c r="F78" s="3592"/>
      <c r="G78" s="3592"/>
      <c r="H78" s="359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50005</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165.57947019867549</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29897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2" t="s">
        <v>1410</v>
      </c>
      <c r="B83" s="3603"/>
      <c r="C83" s="3603"/>
      <c r="D83" s="3603"/>
      <c r="E83" s="3603"/>
      <c r="F83" s="3603"/>
      <c r="G83" s="3603"/>
      <c r="H83" s="360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4" t="s">
        <v>1375</v>
      </c>
      <c r="B84" s="3595"/>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50307</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302</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60" t="s">
        <v>2128</v>
      </c>
      <c r="H90" s="3561"/>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91" t="s">
        <v>1419</v>
      </c>
      <c r="F91" s="3592"/>
      <c r="G91" s="359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91" t="s">
        <v>1422</v>
      </c>
      <c r="F92" s="3592"/>
      <c r="G92" s="3592"/>
      <c r="H92" s="3593"/>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302</v>
      </c>
      <c r="D93" s="2575">
        <f>'数据-取费表'!B43</f>
        <v>6.000000000000001E-3</v>
      </c>
      <c r="E93" s="3591" t="s">
        <v>1406</v>
      </c>
      <c r="F93" s="3592"/>
      <c r="G93" s="3592"/>
      <c r="H93" s="359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6" t="s">
        <v>1426</v>
      </c>
      <c r="F94" s="3637"/>
      <c r="G94" s="3637"/>
      <c r="H94" s="363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50005</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165.57947019867549</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29897</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7"/>
      <c r="F98" s="1577"/>
      <c r="G98" s="1577"/>
      <c r="H98" s="1576"/>
      <c r="I98" s="129"/>
    </row>
    <row r="99" spans="1:35" ht="21.75" customHeight="1" thickBot="1">
      <c r="A99" s="1798" t="s">
        <v>1427</v>
      </c>
      <c r="B99" s="1745"/>
      <c r="C99" s="1745"/>
      <c r="D99" s="1745"/>
      <c r="E99" s="1577"/>
      <c r="F99" s="1577"/>
      <c r="G99" s="1577"/>
      <c r="H99" s="1576"/>
      <c r="I99" s="129"/>
    </row>
    <row r="100" spans="1:35" ht="18.75" customHeight="1">
      <c r="A100" s="3541" t="s">
        <v>1428</v>
      </c>
      <c r="B100" s="3542"/>
      <c r="C100" s="3542"/>
      <c r="D100" s="3576"/>
      <c r="E100" s="3542" t="s">
        <v>1429</v>
      </c>
      <c r="F100" s="3542"/>
      <c r="G100" s="3542"/>
      <c r="H100" s="3576"/>
      <c r="I100" s="129"/>
    </row>
    <row r="101" spans="1:35" ht="18.75" customHeight="1">
      <c r="A101" s="3584" t="s">
        <v>1430</v>
      </c>
      <c r="B101" s="3585"/>
      <c r="C101" s="2583" t="str">
        <f>C4</f>
        <v>成本法</v>
      </c>
      <c r="D101" s="2584" t="str">
        <f>D4</f>
        <v>收益法</v>
      </c>
      <c r="E101" s="3554" t="s">
        <v>1431</v>
      </c>
      <c r="F101" s="3555"/>
      <c r="G101" s="1825" t="s">
        <v>1432</v>
      </c>
      <c r="H101" s="2593">
        <f ca="1">H118</f>
        <v>52822</v>
      </c>
      <c r="I101" s="129"/>
    </row>
    <row r="102" spans="1:35" ht="18.75" customHeight="1">
      <c r="A102" s="3586" t="s">
        <v>1433</v>
      </c>
      <c r="B102" s="2582" t="s">
        <v>1432</v>
      </c>
      <c r="C102" s="2583">
        <f ca="1">IF(D32="楼面单价",ROUND(C19,0),C19)</f>
        <v>48135</v>
      </c>
      <c r="D102" s="2584">
        <f ca="1">IF(D32="楼面单价",ROUND(D19,0),D19)</f>
        <v>57509</v>
      </c>
      <c r="E102" s="3554"/>
      <c r="F102" s="3555"/>
      <c r="G102" s="1825" t="s">
        <v>1434</v>
      </c>
      <c r="H102" s="2553">
        <f ca="1">I118</f>
        <v>5850</v>
      </c>
      <c r="I102" s="129"/>
    </row>
    <row r="103" spans="1:35" ht="42.75" customHeight="1">
      <c r="A103" s="3586"/>
      <c r="B103" s="2582" t="s">
        <v>1434</v>
      </c>
      <c r="C103" s="2585">
        <f ca="1">C20</f>
        <v>5331</v>
      </c>
      <c r="D103" s="2586">
        <f ca="1">D20</f>
        <v>6369</v>
      </c>
      <c r="E103" s="3547" t="s">
        <v>1435</v>
      </c>
      <c r="F103" s="3548"/>
      <c r="G103" s="1826" t="s">
        <v>1436</v>
      </c>
      <c r="H103" s="2593">
        <f>IF(D36="正常操作",H104+H105+H106,H105+H106)</f>
        <v>0</v>
      </c>
      <c r="I103" s="129"/>
    </row>
    <row r="104" spans="1:35" ht="18.75" customHeight="1">
      <c r="A104" s="3586" t="s">
        <v>1437</v>
      </c>
      <c r="B104" s="2587" t="s">
        <v>1432</v>
      </c>
      <c r="C104" s="2588">
        <f ca="1">H118</f>
        <v>52822</v>
      </c>
      <c r="D104" s="2589"/>
      <c r="E104" s="1673" t="s">
        <v>1438</v>
      </c>
      <c r="F104" s="1665"/>
      <c r="G104" s="1826" t="s">
        <v>1436</v>
      </c>
      <c r="H104" s="2594">
        <f>IF(D36="同一抵押权人同一抵押物续贷",C36&amp;"（续贷，未扣减，详见特别提示）",C36)</f>
        <v>0</v>
      </c>
      <c r="I104" s="129"/>
    </row>
    <row r="105" spans="1:35" ht="18.75" customHeight="1" thickBot="1">
      <c r="A105" s="3596"/>
      <c r="B105" s="2590" t="s">
        <v>1434</v>
      </c>
      <c r="C105" s="2591">
        <f ca="1">I118</f>
        <v>5850</v>
      </c>
      <c r="D105" s="2592"/>
      <c r="E105" s="1673" t="s">
        <v>1439</v>
      </c>
      <c r="F105" s="1665"/>
      <c r="G105" s="1826" t="s">
        <v>1436</v>
      </c>
      <c r="H105" s="2595">
        <f>C37</f>
        <v>0</v>
      </c>
      <c r="I105" s="129"/>
    </row>
    <row r="106" spans="1:35" ht="18.75" customHeight="1">
      <c r="A106" s="1745" t="s">
        <v>1440</v>
      </c>
      <c r="B106" s="1745"/>
      <c r="C106" s="1745"/>
      <c r="D106" s="1745"/>
      <c r="E106" s="1827" t="s">
        <v>1441</v>
      </c>
      <c r="F106" s="1665"/>
      <c r="G106" s="1826" t="s">
        <v>1436</v>
      </c>
      <c r="H106" s="2595">
        <f>C38</f>
        <v>0</v>
      </c>
      <c r="I106" s="129"/>
    </row>
    <row r="107" spans="1:35" ht="18.75" customHeight="1">
      <c r="A107" s="129"/>
      <c r="B107" s="129"/>
      <c r="C107" s="129"/>
      <c r="D107" s="129"/>
      <c r="E107" s="3587" t="str">
        <f>IF(项目基本情况!E8="已注销","——","3.房地产抵押价值")</f>
        <v>3.房地产抵押价值</v>
      </c>
      <c r="F107" s="3555"/>
      <c r="G107" s="1825" t="s">
        <v>1432</v>
      </c>
      <c r="H107" s="2593">
        <f ca="1">IF(E107="——","——",H101-H103)</f>
        <v>52822</v>
      </c>
      <c r="I107" s="129"/>
    </row>
    <row r="108" spans="1:35" ht="18.75" customHeight="1">
      <c r="A108" s="129"/>
      <c r="B108" s="129"/>
      <c r="C108" s="129"/>
      <c r="D108" s="129"/>
      <c r="E108" s="3587"/>
      <c r="F108" s="3555"/>
      <c r="G108" s="1825" t="s">
        <v>1434</v>
      </c>
      <c r="H108" s="2553">
        <f ca="1">IF(H107=H101,H102,ROUND(H107*10000/'数据-汇总表'!E3,0))</f>
        <v>5850</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55"/>
      <c r="G109" s="1825" t="s">
        <v>1432</v>
      </c>
      <c r="H109" s="2596" t="str">
        <f>IF(E109="——","——",H101-H105-H106)</f>
        <v>——</v>
      </c>
      <c r="I109" s="129"/>
    </row>
    <row r="110" spans="1:35" ht="18.75" customHeight="1">
      <c r="A110" s="129"/>
      <c r="B110" s="129"/>
      <c r="C110" s="129"/>
      <c r="D110" s="129"/>
      <c r="E110" s="3587"/>
      <c r="F110" s="3555"/>
      <c r="G110" s="1825" t="s">
        <v>1434</v>
      </c>
      <c r="H110" s="2553" t="str">
        <f>IF(H109="——","——",ROUND(H109*10000/'数据-汇总表'!E3,0))</f>
        <v>——</v>
      </c>
      <c r="I110" s="129"/>
    </row>
    <row r="111" spans="1:35" ht="18.75" customHeight="1">
      <c r="A111" s="129"/>
      <c r="B111" s="129"/>
      <c r="C111" s="129"/>
      <c r="D111" s="129"/>
      <c r="E111" s="3588" t="str">
        <f>IF(项目基本情况!E9="抵押净值",IF(OR(项目基本情况!E8="已注销",项目基本情况!E8="房地产抵押价值"),"4.抵押净值","5.抵押净值"),"——")</f>
        <v>4.抵押净值</v>
      </c>
      <c r="F111" s="3574"/>
      <c r="G111" s="1825" t="s">
        <v>1432</v>
      </c>
      <c r="H111" s="2593">
        <f ca="1">IF(E111="——","——",N59)</f>
        <v>22396</v>
      </c>
      <c r="I111" s="129"/>
    </row>
    <row r="112" spans="1:35" ht="18.75" customHeight="1" thickBot="1">
      <c r="A112" s="129"/>
      <c r="B112" s="129"/>
      <c r="C112" s="129"/>
      <c r="D112" s="129"/>
      <c r="E112" s="3589"/>
      <c r="F112" s="3590"/>
      <c r="G112" s="1828" t="s">
        <v>1434</v>
      </c>
      <c r="H112" s="2597">
        <f ca="1">IF(E111="——","——",N61)</f>
        <v>2480</v>
      </c>
      <c r="I112" s="129"/>
    </row>
    <row r="113" spans="1:27" ht="18.75" customHeight="1">
      <c r="A113" s="129"/>
      <c r="B113" s="129"/>
      <c r="C113" s="129"/>
      <c r="D113" s="129"/>
      <c r="E113" s="3597" t="s">
        <v>1440</v>
      </c>
      <c r="F113" s="3597"/>
      <c r="G113" s="3597"/>
      <c r="H113" s="3597"/>
      <c r="I113" s="129"/>
    </row>
    <row r="114" spans="1:27" ht="3.75" customHeight="1">
      <c r="A114" s="1745"/>
      <c r="B114" s="1745"/>
      <c r="C114" s="1745"/>
      <c r="D114" s="1745"/>
      <c r="E114" s="1807"/>
      <c r="F114" s="1807"/>
      <c r="G114" s="1807"/>
      <c r="H114" s="1807"/>
      <c r="I114" s="1745"/>
    </row>
    <row r="115" spans="1:27" ht="18.75" customHeight="1">
      <c r="A115" s="3605" t="s">
        <v>1442</v>
      </c>
      <c r="B115" s="3606"/>
      <c r="C115" s="3606"/>
      <c r="D115" s="3606"/>
      <c r="E115" s="3606"/>
      <c r="F115" s="3606"/>
      <c r="G115" s="3606"/>
      <c r="H115" s="3606"/>
      <c r="I115" s="3607"/>
    </row>
    <row r="116" spans="1:27" ht="27" customHeight="1">
      <c r="A116" s="3562" t="s">
        <v>1443</v>
      </c>
      <c r="B116" s="3566" t="s">
        <v>1444</v>
      </c>
      <c r="C116" s="3566" t="s">
        <v>1445</v>
      </c>
      <c r="D116" s="3572" t="s">
        <v>1446</v>
      </c>
      <c r="E116" s="3573"/>
      <c r="F116" s="3604" t="s">
        <v>1447</v>
      </c>
      <c r="G116" s="3604"/>
      <c r="H116" s="3562" t="s">
        <v>1448</v>
      </c>
      <c r="I116" s="3562"/>
    </row>
    <row r="117" spans="1:27" ht="18.75" customHeight="1">
      <c r="A117" s="3562"/>
      <c r="B117" s="3567"/>
      <c r="C117" s="3567"/>
      <c r="D117" s="2327" t="s">
        <v>1449</v>
      </c>
      <c r="E117" s="2327" t="s">
        <v>1450</v>
      </c>
      <c r="F117" s="2327" t="s">
        <v>1449</v>
      </c>
      <c r="G117" s="2327" t="s">
        <v>1451</v>
      </c>
      <c r="H117" s="2327" t="s">
        <v>1449</v>
      </c>
      <c r="I117" s="2327" t="s">
        <v>1451</v>
      </c>
    </row>
    <row r="118" spans="1:27" ht="24.75" customHeight="1">
      <c r="A118" s="2598" t="str">
        <f>项目基本情况!S2</f>
        <v>房地产</v>
      </c>
      <c r="B118" s="2327">
        <f>M18</f>
        <v>90300.22</v>
      </c>
      <c r="C118" s="2327">
        <f>M19</f>
        <v>70820.800000000003</v>
      </c>
      <c r="D118" s="2327">
        <f ca="1">ROUND(IF(D32="总价",C34,E118*B118/10000),0)</f>
        <v>3222</v>
      </c>
      <c r="E118" s="2327">
        <f ca="1">ROUND(IF(C33="自定义",IF(D32="楼面单价",C34,D118*10000/B118),I118-G118),0)</f>
        <v>357</v>
      </c>
      <c r="F118" s="2327">
        <f ca="1">ROUND(IF(D32="总价",C35,G118*B118/10000),0)</f>
        <v>49600</v>
      </c>
      <c r="G118" s="2327">
        <f ca="1">ROUND(IF(D32="楼面单价",C35,F118*10000/B118),0)</f>
        <v>5493</v>
      </c>
      <c r="H118" s="2327">
        <f ca="1">ROUND(IF(D32="总价",C32,I118*B118/10000),0)</f>
        <v>52822</v>
      </c>
      <c r="I118" s="2327">
        <f ca="1">ROUND(IF(D32="楼面单价",C32,H118*10000/B118),0)</f>
        <v>5850</v>
      </c>
    </row>
    <row r="119" spans="1:27" ht="18.75" customHeight="1">
      <c r="A119" s="3562" t="s">
        <v>1452</v>
      </c>
      <c r="B119" s="3562"/>
      <c r="C119" s="3562"/>
      <c r="D119" s="3568" t="str">
        <f ca="1">NUMBERSTRING(INT(D118*10000),2)&amp;"元整"</f>
        <v>叁仟贰佰贰拾贰万元整</v>
      </c>
      <c r="E119" s="3569"/>
      <c r="F119" s="3568" t="str">
        <f ca="1">NUMBERSTRING(INT(F118*10000),2)&amp;"元整"</f>
        <v>肆亿玖仟陆佰万元整</v>
      </c>
      <c r="G119" s="3569"/>
      <c r="H119" s="3568" t="str">
        <f ca="1">NUMBERSTRING(INT(H118*10000),2)&amp;"元整"</f>
        <v>伍亿贰仟捌佰贰拾贰万元整</v>
      </c>
      <c r="I119" s="3569"/>
    </row>
    <row r="120" spans="1:27" ht="18.75" customHeight="1">
      <c r="A120" s="3563" t="str">
        <f>IF(项目基本情况!B9="房地产市场价值","",MID(E103,3,LEN(E103)-2))</f>
        <v>估价师知悉的法定优先受偿款</v>
      </c>
      <c r="B120" s="3564"/>
      <c r="C120" s="3565"/>
      <c r="D120" s="3563">
        <f>H103</f>
        <v>0</v>
      </c>
      <c r="E120" s="3564"/>
      <c r="F120" s="3564"/>
      <c r="G120" s="3564"/>
      <c r="H120" s="3564"/>
      <c r="I120" s="356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8" t="s">
        <v>1452</v>
      </c>
      <c r="B121" s="3570"/>
      <c r="C121" s="3569"/>
      <c r="D121" s="3568" t="str">
        <f>IF(D120=0,"零元整",NUMBERSTRING(INT(D120*10000),2)&amp;"元整")</f>
        <v>零元整</v>
      </c>
      <c r="E121" s="3570"/>
      <c r="F121" s="3570"/>
      <c r="G121" s="3570"/>
      <c r="H121" s="3570"/>
      <c r="I121" s="3569"/>
      <c r="AA121" s="724"/>
    </row>
    <row r="122" spans="1:27" ht="18.75" customHeight="1">
      <c r="A122" s="3574" t="str">
        <f>IF(项目基本情况!B9="房地产市场价值","",MID(E107,3,LEN(E107)-2))</f>
        <v>房地产抵押价值</v>
      </c>
      <c r="B122" s="3574"/>
      <c r="C122" s="3574"/>
      <c r="D122" s="3563">
        <f ca="1">H107</f>
        <v>52822</v>
      </c>
      <c r="E122" s="3564"/>
      <c r="F122" s="3564"/>
      <c r="G122" s="3564"/>
      <c r="H122" s="3564"/>
      <c r="I122" s="3565"/>
      <c r="AA122" s="724"/>
    </row>
    <row r="123" spans="1:27" ht="18.75" customHeight="1">
      <c r="A123" s="3562" t="s">
        <v>1452</v>
      </c>
      <c r="B123" s="3562"/>
      <c r="C123" s="3562"/>
      <c r="D123" s="3568" t="str">
        <f ca="1">NUMBERSTRING(INT(D122*10000),2)&amp;"元整"</f>
        <v>伍亿贰仟捌佰贰拾贰万元整</v>
      </c>
      <c r="E123" s="3570"/>
      <c r="F123" s="3570"/>
      <c r="G123" s="3570"/>
      <c r="H123" s="3570"/>
      <c r="I123" s="3569"/>
      <c r="AA123" s="724"/>
    </row>
    <row r="124" spans="1:27" ht="18.75" customHeight="1">
      <c r="A124" s="3574" t="str">
        <f>IF(项目基本情况!B9="房地产市场价值","",MID(E109,3,LEN(E109)-2))</f>
        <v/>
      </c>
      <c r="B124" s="3574"/>
      <c r="C124" s="3574"/>
      <c r="D124" s="3563" t="str">
        <f>H109</f>
        <v>——</v>
      </c>
      <c r="E124" s="3564"/>
      <c r="F124" s="3564"/>
      <c r="G124" s="3564"/>
      <c r="H124" s="3564"/>
      <c r="I124" s="3565"/>
      <c r="AA124" s="724"/>
    </row>
    <row r="125" spans="1:27" ht="18.75" customHeight="1">
      <c r="A125" s="3562" t="s">
        <v>1452</v>
      </c>
      <c r="B125" s="3562"/>
      <c r="C125" s="3562"/>
      <c r="D125" s="3568" t="e">
        <f>NUMBERSTRING(INT(D124*10000),2)&amp;"元整"</f>
        <v>#VALUE!</v>
      </c>
      <c r="E125" s="3570"/>
      <c r="F125" s="3570"/>
      <c r="G125" s="3570"/>
      <c r="H125" s="3570"/>
      <c r="I125" s="3569"/>
      <c r="AA125" s="724"/>
    </row>
    <row r="126" spans="1:27" ht="18.75" customHeight="1">
      <c r="A126" s="3574" t="str">
        <f>IF(项目基本情况!B9="房地产市场价值","",MID(E111,3,LEN(E111)-2))</f>
        <v>抵押净值</v>
      </c>
      <c r="B126" s="3574"/>
      <c r="C126" s="3574"/>
      <c r="D126" s="3563">
        <f ca="1">H111</f>
        <v>22396</v>
      </c>
      <c r="E126" s="3564"/>
      <c r="F126" s="3564"/>
      <c r="G126" s="3564"/>
      <c r="H126" s="3564"/>
      <c r="I126" s="3565"/>
      <c r="AA126" s="724"/>
    </row>
    <row r="127" spans="1:27" ht="18.75" customHeight="1">
      <c r="A127" s="3562" t="s">
        <v>1452</v>
      </c>
      <c r="B127" s="3562"/>
      <c r="C127" s="3562"/>
      <c r="D127" s="3568" t="str">
        <f ca="1">NUMBERSTRING(INT(D126*10000),2)&amp;"元整"</f>
        <v>贰亿贰仟叁佰玖拾陆万元整</v>
      </c>
      <c r="E127" s="3570"/>
      <c r="F127" s="3570"/>
      <c r="G127" s="3570"/>
      <c r="H127" s="3570"/>
      <c r="I127" s="3569"/>
      <c r="AA127" s="724"/>
    </row>
    <row r="128" spans="1:27" ht="21.75" customHeight="1">
      <c r="A128" s="3571" t="s">
        <v>1453</v>
      </c>
      <c r="B128" s="3571"/>
      <c r="C128" s="3571"/>
      <c r="D128" s="3571"/>
      <c r="E128" s="3571"/>
      <c r="F128" s="3571"/>
      <c r="G128" s="3571"/>
      <c r="H128" s="3571"/>
      <c r="I128" s="3571"/>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8" t="str">
        <f>项目基本情况!B1</f>
        <v>房地产抵押价值预评估</v>
      </c>
      <c r="C37" s="3458"/>
      <c r="D37" s="3458"/>
      <c r="E37" s="3458"/>
      <c r="F37" s="3458"/>
      <c r="G37" s="3458"/>
      <c r="H37" s="3458"/>
      <c r="I37" s="3458"/>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36" sqref="K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t="s">
        <v>3389</v>
      </c>
      <c r="C1" s="198"/>
      <c r="D1" s="198"/>
      <c r="E1" s="198"/>
      <c r="F1" s="198"/>
      <c r="G1" s="1125">
        <f>MATCH(B1,'数据-取费表'!A6:A16,0)+5</f>
        <v>6</v>
      </c>
    </row>
    <row r="2" spans="1:9" s="200" customFormat="1" ht="18" customHeight="1">
      <c r="A2" s="201" t="s">
        <v>1462</v>
      </c>
      <c r="B2" s="202">
        <f ca="1">IF(D2="——",C52,C52-E2)</f>
        <v>48135</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5331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2279</v>
      </c>
      <c r="D5" s="211" t="s">
        <v>1469</v>
      </c>
      <c r="E5" s="212" t="s">
        <v>1470</v>
      </c>
      <c r="F5" s="212" t="s">
        <v>1471</v>
      </c>
      <c r="G5" s="213"/>
    </row>
    <row r="6" spans="1:9" s="214" customFormat="1" ht="13.5" customHeight="1">
      <c r="A6" s="777" t="s">
        <v>1472</v>
      </c>
      <c r="B6" s="215" t="s">
        <v>1473</v>
      </c>
      <c r="C6" s="216">
        <f>'土地比较法-工业'!B2</f>
        <v>1292</v>
      </c>
      <c r="D6" s="217"/>
      <c r="E6" s="218"/>
      <c r="F6" s="218"/>
      <c r="G6" s="219"/>
    </row>
    <row r="7" spans="1:9" s="214" customFormat="1" ht="13.5" customHeight="1">
      <c r="A7" s="777" t="s">
        <v>1474</v>
      </c>
      <c r="B7" s="215" t="s">
        <v>1475</v>
      </c>
      <c r="C7" s="220">
        <f>ROUND(C6*F7,0)</f>
        <v>39</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948</v>
      </c>
      <c r="D8" s="222"/>
      <c r="E8" s="220"/>
      <c r="F8" s="221"/>
      <c r="G8" s="1854" t="s">
        <v>3402</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5" t="s">
        <v>3403</v>
      </c>
      <c r="H9" s="1136"/>
      <c r="I9" s="1856" t="s">
        <v>1479</v>
      </c>
    </row>
    <row r="10" spans="1:9" s="214" customFormat="1" ht="13.5" customHeight="1">
      <c r="A10" s="778" t="s">
        <v>356</v>
      </c>
      <c r="B10" s="224" t="s">
        <v>1480</v>
      </c>
      <c r="C10" s="225">
        <f ca="1">ROUND(D10*E10/10000,0)</f>
        <v>948</v>
      </c>
      <c r="D10" s="844">
        <f ca="1">IF(B1="",'数据-汇总表'!E6,IF(INDIRECT("'数据-取费表'!c"&amp;$G$1)="住宅",INDIRECT("'数据-取费表'!s"&amp;$G$1),INDIRECT("'数据-取费表'!k"&amp;$G$1)+INDIRECT("'数据-取费表'!s"&amp;$G$1)))</f>
        <v>90300.22</v>
      </c>
      <c r="E10" s="225">
        <f>'数据-取费表'!B28</f>
        <v>105</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90300.22</v>
      </c>
      <c r="E19" s="211">
        <f>'数据-取费表'!B31</f>
        <v>180</v>
      </c>
      <c r="F19" s="231"/>
      <c r="G19" s="1854" t="s">
        <v>3404</v>
      </c>
    </row>
    <row r="20" spans="1:7" s="214" customFormat="1" ht="13.5" customHeight="1">
      <c r="A20" s="255" t="s">
        <v>1493</v>
      </c>
      <c r="B20" s="210" t="s">
        <v>1494</v>
      </c>
      <c r="C20" s="232">
        <f ca="1">ROUND((C5+C19)*F20,0)</f>
        <v>46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162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160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2</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233</v>
      </c>
      <c r="D27" s="235">
        <f ca="1">C29</f>
        <v>2E-3</v>
      </c>
      <c r="E27" s="236" t="s">
        <v>1514</v>
      </c>
      <c r="F27" s="246">
        <f ca="1">IF(B1="",'数据-取费表'!Q16,INDIRECT("'数据-取费表'!q"&amp;$G$1))</f>
        <v>0.1</v>
      </c>
      <c r="G27" s="247" t="s">
        <v>1515</v>
      </c>
    </row>
    <row r="28" spans="1:7" s="214" customFormat="1" ht="13.5" customHeight="1">
      <c r="A28" s="779" t="s">
        <v>346</v>
      </c>
      <c r="B28" s="248" t="s">
        <v>1516</v>
      </c>
      <c r="C28" s="249">
        <f ca="1">ROUND((C5+C19+C20)*F27*'数据-取费表'!B21/'数据-取费表'!B20,0)</f>
        <v>233</v>
      </c>
      <c r="D28" s="235"/>
      <c r="E28" s="236"/>
      <c r="F28" s="246"/>
      <c r="G28" s="247"/>
    </row>
    <row r="29" spans="1:7" s="214" customFormat="1" ht="13.5" customHeight="1">
      <c r="A29" s="779"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2944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40093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36120</v>
      </c>
      <c r="D34" s="217"/>
      <c r="E34" s="220"/>
      <c r="F34" s="257">
        <f ca="1">IF('数据-取费表'!B24=0,1,IF(B1="",'数据-取费表'!N16,INDIRECT("'数据-取费表'!n"&amp;$G$1)))</f>
        <v>1</v>
      </c>
      <c r="G34" s="219" t="s">
        <v>1526</v>
      </c>
    </row>
    <row r="35" spans="1:7" ht="13.5" customHeight="1">
      <c r="A35" s="779" t="s">
        <v>351</v>
      </c>
      <c r="B35" s="215" t="s">
        <v>1527</v>
      </c>
      <c r="C35" s="220">
        <f ca="1">ROUND(C34*F35,0)</f>
        <v>1806</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1625</v>
      </c>
      <c r="D37" s="217">
        <f ca="1">D19</f>
        <v>90300.22</v>
      </c>
      <c r="E37" s="249">
        <f>'数据-取费表'!B35</f>
        <v>180</v>
      </c>
      <c r="F37" s="259"/>
      <c r="G37" s="261" t="s">
        <v>1532</v>
      </c>
    </row>
    <row r="38" spans="1:7" ht="13.5" customHeight="1">
      <c r="A38" s="779" t="s">
        <v>354</v>
      </c>
      <c r="B38" s="215" t="s">
        <v>1533</v>
      </c>
      <c r="C38" s="220">
        <f ca="1">ROUND(C34*F38,0)</f>
        <v>542</v>
      </c>
      <c r="D38" s="220"/>
      <c r="E38" s="220"/>
      <c r="F38" s="259">
        <f>'数据-取费表'!B36</f>
        <v>1.4999999999999999E-2</v>
      </c>
      <c r="G38" s="219" t="s">
        <v>1528</v>
      </c>
    </row>
    <row r="39" spans="1:7" s="214" customFormat="1" ht="13.5" customHeight="1">
      <c r="A39" s="255" t="s">
        <v>1534</v>
      </c>
      <c r="B39" s="210" t="s">
        <v>1535</v>
      </c>
      <c r="C39" s="232">
        <f ca="1">ROUND(C33*F20,0)</f>
        <v>802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1411</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1383</v>
      </c>
      <c r="D42" s="238"/>
      <c r="E42" s="238"/>
      <c r="F42" s="239"/>
      <c r="G42" s="3641" t="s">
        <v>1544</v>
      </c>
    </row>
    <row r="43" spans="1:7" ht="13.5" customHeight="1">
      <c r="A43" s="779" t="s">
        <v>347</v>
      </c>
      <c r="B43" s="215" t="s">
        <v>1545</v>
      </c>
      <c r="C43" s="238">
        <f ca="1">ROUND(IF('数据-取费表'!B22&lt;=1,C39*F22*'数据-取费表'!B21/2,C39*(POWER((1+F22),'数据-取费表'!B21/2)-1)),0)</f>
        <v>28</v>
      </c>
      <c r="D43" s="238"/>
      <c r="E43" s="238"/>
      <c r="F43" s="239"/>
      <c r="G43" s="3642"/>
    </row>
    <row r="44" spans="1:7" ht="13.5" customHeight="1">
      <c r="A44" s="779" t="s">
        <v>348</v>
      </c>
      <c r="B44" s="215" t="s">
        <v>1546</v>
      </c>
      <c r="C44" s="238">
        <f ca="1">ROUND(IF('数据-取费表'!B22&lt;=1,C40*F22*'数据-取费表'!B21/2,C40*(POWER((1+F22),'数据-取费表'!B21/2)-1)),4)</f>
        <v>6.9999999999999999E-4</v>
      </c>
      <c r="D44" s="238"/>
      <c r="E44" s="238"/>
      <c r="F44" s="239"/>
      <c r="G44" s="3643"/>
    </row>
    <row r="45" spans="1:7" s="214" customFormat="1" ht="13.5" customHeight="1">
      <c r="A45" s="255" t="s">
        <v>1547</v>
      </c>
      <c r="B45" s="244" t="s">
        <v>1513</v>
      </c>
      <c r="C45" s="245">
        <f ca="1">C46</f>
        <v>4090</v>
      </c>
      <c r="D45" s="235">
        <f ca="1">C47</f>
        <v>2E-3</v>
      </c>
      <c r="E45" s="236" t="s">
        <v>1539</v>
      </c>
      <c r="F45" s="246">
        <f ca="1">F27</f>
        <v>0.1</v>
      </c>
      <c r="G45" s="247" t="s">
        <v>1548</v>
      </c>
    </row>
    <row r="46" spans="1:7" s="214" customFormat="1" ht="13.5" customHeight="1">
      <c r="A46" s="779" t="s">
        <v>346</v>
      </c>
      <c r="B46" s="248" t="s">
        <v>1549</v>
      </c>
      <c r="C46" s="249">
        <f ca="1">ROUND((C33+C39)*F27,0)</f>
        <v>4090</v>
      </c>
      <c r="D46" s="263"/>
      <c r="E46" s="236"/>
      <c r="F46" s="246"/>
      <c r="G46" s="247"/>
    </row>
    <row r="47" spans="1:7" s="214" customFormat="1" ht="13.5" customHeight="1">
      <c r="A47" s="779" t="s">
        <v>347</v>
      </c>
      <c r="B47" s="248" t="s">
        <v>1550</v>
      </c>
      <c r="C47" s="238">
        <f ca="1">ROUND(C40*F27,4)</f>
        <v>2E-3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50212</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45191</v>
      </c>
      <c r="D51" s="232"/>
      <c r="E51" s="232"/>
      <c r="F51" s="264"/>
      <c r="G51" s="234" t="s">
        <v>1560</v>
      </c>
    </row>
    <row r="52" spans="1:7" s="208" customFormat="1" ht="16.5" thickBot="1">
      <c r="A52" s="265" t="s">
        <v>1561</v>
      </c>
      <c r="B52" s="266"/>
      <c r="C52" s="267">
        <f ca="1">C31+C51</f>
        <v>48135</v>
      </c>
      <c r="D52" s="266"/>
      <c r="E52" s="266"/>
      <c r="F52" s="266"/>
      <c r="G52" s="268"/>
    </row>
    <row r="55" spans="1:7" ht="15">
      <c r="B55" s="270" t="s">
        <v>1562</v>
      </c>
      <c r="C55" s="271"/>
    </row>
    <row r="56" spans="1:7">
      <c r="B56" s="273" t="s">
        <v>802</v>
      </c>
      <c r="C56" s="275">
        <f ca="1">1-C57</f>
        <v>6.1000000000000054E-2</v>
      </c>
    </row>
    <row r="57" spans="1:7">
      <c r="B57" s="273" t="s">
        <v>803</v>
      </c>
      <c r="C57" s="274">
        <f ca="1">ROUND(C51/C52,3)</f>
        <v>0.93899999999999995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7"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48512.934300000001</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5372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9481523</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9481523</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9481523</v>
      </c>
      <c r="D10" s="844">
        <f ca="1">IF(B1="",'数据-汇总表'!E6,IF(INDIRECT("'数据-取费表'!c"&amp;$G$1)="住宅",INDIRECT("'数据-取费表'!s"&amp;$G$1),INDIRECT("'数据-取费表'!k"&amp;$G$1)+INDIRECT("'数据-取费表'!s"&amp;$G$1)))</f>
        <v>90300.22</v>
      </c>
      <c r="E10" s="225">
        <f>'数据-取费表'!B28</f>
        <v>105</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16254040</v>
      </c>
      <c r="D19" s="848">
        <f ca="1">D9+D10</f>
        <v>90300.22</v>
      </c>
      <c r="E19" s="211">
        <f>'数据-取费表'!B31</f>
        <v>180</v>
      </c>
      <c r="F19" s="231"/>
      <c r="G19" s="1854"/>
    </row>
    <row r="20" spans="1:7" s="214" customFormat="1" ht="13.5" customHeight="1">
      <c r="A20" s="255" t="s">
        <v>1574</v>
      </c>
      <c r="B20" s="210" t="s">
        <v>1575</v>
      </c>
      <c r="C20" s="232">
        <f ca="1">ROUND((C5+C19)*F20,0)</f>
        <v>514711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1824143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665510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1140875</v>
      </c>
      <c r="D24" s="238"/>
      <c r="E24" s="238"/>
      <c r="F24" s="239"/>
      <c r="G24" s="240" t="s">
        <v>1586</v>
      </c>
    </row>
    <row r="25" spans="1:7" s="214" customFormat="1" ht="24">
      <c r="A25" s="779" t="s">
        <v>1476</v>
      </c>
      <c r="B25" s="215" t="s">
        <v>1587</v>
      </c>
      <c r="C25" s="1127">
        <f ca="1">ROUND(IF('数据-取费表'!B22&lt;=1,C20*F22*'数据-取费表'!B22/2,C20*(POWER((1+F22),'数据-取费表'!B22/2)-1)),0)</f>
        <v>17758</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2625027</v>
      </c>
      <c r="D27" s="235">
        <f ca="1">C29</f>
        <v>2E-3</v>
      </c>
      <c r="E27" s="236" t="s">
        <v>1514</v>
      </c>
      <c r="F27" s="246">
        <f ca="1">IF(B1="",'数据-取费表'!Q16,INDIRECT("'数据-取费表'!q"&amp;$G$1))</f>
        <v>0.1</v>
      </c>
      <c r="G27" s="247" t="s">
        <v>1515</v>
      </c>
    </row>
    <row r="28" spans="1:7" s="214" customFormat="1" ht="13.5" customHeight="1">
      <c r="A28" s="779" t="s">
        <v>346</v>
      </c>
      <c r="B28" s="248" t="s">
        <v>1516</v>
      </c>
      <c r="C28" s="249">
        <f ca="1">ROUND((C5+C19+C20)*F27,0)</f>
        <v>2625027</v>
      </c>
      <c r="D28" s="235"/>
      <c r="E28" s="236"/>
      <c r="F28" s="246"/>
      <c r="G28" s="247"/>
    </row>
    <row r="29" spans="1:7" s="214" customFormat="1" ht="13.5" customHeight="1">
      <c r="A29" s="779"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33224506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400932977</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361200880</v>
      </c>
      <c r="D34" s="217"/>
      <c r="E34" s="220"/>
      <c r="F34" s="257"/>
      <c r="G34" s="219"/>
    </row>
    <row r="35" spans="1:7" ht="13.5" customHeight="1">
      <c r="A35" s="779" t="s">
        <v>351</v>
      </c>
      <c r="B35" s="215" t="s">
        <v>1527</v>
      </c>
      <c r="C35" s="220">
        <f ca="1">ROUND(C34*F35,0)</f>
        <v>18060044</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16254040</v>
      </c>
      <c r="D37" s="217">
        <f ca="1">D19</f>
        <v>90300.22</v>
      </c>
      <c r="E37" s="249">
        <f>'数据-取费表'!B35</f>
        <v>180</v>
      </c>
      <c r="F37" s="259"/>
      <c r="G37" s="261"/>
    </row>
    <row r="38" spans="1:7" ht="13.5" customHeight="1">
      <c r="A38" s="779" t="s">
        <v>354</v>
      </c>
      <c r="B38" s="215" t="s">
        <v>1533</v>
      </c>
      <c r="C38" s="220">
        <f ca="1">ROUND(C34*F38,0)</f>
        <v>5418013</v>
      </c>
      <c r="D38" s="220"/>
      <c r="E38" s="220"/>
      <c r="F38" s="259">
        <f>'数据-取费表'!B36</f>
        <v>1.4999999999999999E-2</v>
      </c>
      <c r="G38" s="219" t="s">
        <v>1528</v>
      </c>
    </row>
    <row r="39" spans="1:7" s="214" customFormat="1" ht="13.5" customHeight="1">
      <c r="A39" s="255" t="s">
        <v>1534</v>
      </c>
      <c r="B39" s="210" t="s">
        <v>1535</v>
      </c>
      <c r="C39" s="232">
        <f ca="1">ROUND(C33*F20,0)</f>
        <v>8018660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14108832</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13832188</v>
      </c>
      <c r="D42" s="238"/>
      <c r="E42" s="238"/>
      <c r="F42" s="239"/>
      <c r="G42" s="3641" t="s">
        <v>1591</v>
      </c>
    </row>
    <row r="43" spans="1:7" ht="13.5" customHeight="1">
      <c r="A43" s="779" t="s">
        <v>347</v>
      </c>
      <c r="B43" s="215" t="s">
        <v>1545</v>
      </c>
      <c r="C43" s="238">
        <f ca="1">ROUND(IF('数据-取费表'!B22&lt;=1,C39*F22*'数据-取费表'!B20/2,C39*(POWER((1+F22),'数据-取费表'!B20/2)-1)),0)</f>
        <v>276644</v>
      </c>
      <c r="D43" s="238"/>
      <c r="E43" s="238"/>
      <c r="F43" s="239"/>
      <c r="G43" s="3642"/>
    </row>
    <row r="44" spans="1:7" ht="13.5" customHeight="1">
      <c r="A44" s="779" t="s">
        <v>348</v>
      </c>
      <c r="B44" s="215" t="s">
        <v>1546</v>
      </c>
      <c r="C44" s="238">
        <f ca="1">ROUND(IF('数据-取费表'!B22&lt;=1,C40*F22*'数据-取费表'!B20/2,C40*(POWER((1+F22),'数据-取费表'!B20/2)-1)),4)</f>
        <v>6.9999999999999999E-4</v>
      </c>
      <c r="D44" s="238"/>
      <c r="E44" s="238"/>
      <c r="F44" s="239"/>
      <c r="G44" s="3643"/>
    </row>
    <row r="45" spans="1:7" s="214" customFormat="1" ht="13.5" customHeight="1">
      <c r="A45" s="255" t="s">
        <v>1547</v>
      </c>
      <c r="B45" s="244" t="s">
        <v>1513</v>
      </c>
      <c r="C45" s="245">
        <f ca="1">C46</f>
        <v>40895164</v>
      </c>
      <c r="D45" s="235">
        <f ca="1">C47</f>
        <v>2E-3</v>
      </c>
      <c r="E45" s="236" t="s">
        <v>1539</v>
      </c>
      <c r="F45" s="246">
        <f ca="1">F27</f>
        <v>0.1</v>
      </c>
      <c r="G45" s="247" t="s">
        <v>1548</v>
      </c>
    </row>
    <row r="46" spans="1:7" s="214" customFormat="1" ht="13.5" customHeight="1">
      <c r="A46" s="779" t="s">
        <v>346</v>
      </c>
      <c r="B46" s="248" t="s">
        <v>1549</v>
      </c>
      <c r="C46" s="249">
        <f ca="1">ROUND((C33+C39)*F27,0)</f>
        <v>40895164</v>
      </c>
      <c r="D46" s="263"/>
      <c r="E46" s="236"/>
      <c r="F46" s="246"/>
      <c r="G46" s="247"/>
    </row>
    <row r="47" spans="1:7" s="214" customFormat="1" ht="13.5" customHeight="1">
      <c r="A47" s="779"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502116486</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451904837</v>
      </c>
      <c r="D51" s="232"/>
      <c r="E51" s="232"/>
      <c r="F51" s="264"/>
      <c r="G51" s="234" t="s">
        <v>1560</v>
      </c>
    </row>
    <row r="52" spans="1:7" s="208" customFormat="1" ht="16.5" thickBot="1">
      <c r="A52" s="265" t="s">
        <v>1561</v>
      </c>
      <c r="B52" s="266"/>
      <c r="C52" s="267">
        <f ca="1">C31+C51</f>
        <v>485129343</v>
      </c>
      <c r="D52" s="266"/>
      <c r="E52" s="266"/>
      <c r="F52" s="266"/>
      <c r="G52" s="268"/>
    </row>
    <row r="55" spans="1:7" ht="15">
      <c r="B55" s="270" t="s">
        <v>1562</v>
      </c>
      <c r="C55" s="271"/>
    </row>
    <row r="56" spans="1:7">
      <c r="B56" s="273" t="s">
        <v>802</v>
      </c>
      <c r="C56" s="275">
        <f ca="1">1-C57</f>
        <v>6.7999999999999949E-2</v>
      </c>
    </row>
    <row r="57" spans="1:7">
      <c r="B57" s="273" t="s">
        <v>803</v>
      </c>
      <c r="C57" s="274">
        <f ca="1">ROUND(C51/C52,3)</f>
        <v>0.93200000000000005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-1034</v>
      </c>
      <c r="C2" s="276" t="s">
        <v>1595</v>
      </c>
      <c r="D2" s="276"/>
      <c r="E2" s="2804"/>
      <c r="F2" s="2804"/>
      <c r="G2" s="2804"/>
      <c r="H2" s="2804"/>
      <c r="I2" s="2804"/>
      <c r="J2" s="2804"/>
      <c r="K2" s="2804"/>
    </row>
    <row r="3" spans="1:33" ht="18" customHeight="1" thickBot="1">
      <c r="A3" s="203" t="s">
        <v>1464</v>
      </c>
      <c r="B3" s="204">
        <f ca="1">ROUND(B2*10000/IF(C1="",'数据-汇总表'!E3,INDIRECT("'数据-取费表'!K"&amp;$K$1)),0)</f>
        <v>-115</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90300.22</v>
      </c>
      <c r="E14" s="21">
        <f>'数据-取费表'!B35</f>
        <v>180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90300.22</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948</v>
      </c>
      <c r="D18" s="845"/>
      <c r="E18" s="21"/>
      <c r="F18" s="803"/>
      <c r="G18" s="1860"/>
      <c r="H18" s="1186"/>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948</v>
      </c>
      <c r="D20" s="845">
        <f ca="1">IF(C1="",'数据-汇总表'!E6,IF(INDIRECT("'数据-取费表'!c"&amp;$K$1)="住宅",INDIRECT("'数据-取费表'!s"&amp;$K$1),INDIRECT("'数据-取费表'!k"&amp;$K$1)+INDIRECT("'数据-取费表'!s"&amp;$K$1)))</f>
        <v>90300.22</v>
      </c>
      <c r="E20" s="21">
        <f>'数据-取费表'!B28</f>
        <v>105</v>
      </c>
      <c r="F20" s="803"/>
      <c r="G20" s="12"/>
      <c r="H20" s="808"/>
      <c r="I20" s="808"/>
      <c r="J20" s="808"/>
      <c r="K20" s="809"/>
    </row>
    <row r="21" spans="1:33" s="802" customFormat="1" ht="13.5" customHeight="1">
      <c r="A21" s="789" t="s">
        <v>357</v>
      </c>
      <c r="B21" s="812" t="s">
        <v>1628</v>
      </c>
      <c r="C21" s="813">
        <f ca="1">C16+C17+C18</f>
        <v>948</v>
      </c>
      <c r="D21" s="814"/>
      <c r="E21" s="281"/>
      <c r="F21" s="281"/>
      <c r="G21" s="131" t="s">
        <v>1629</v>
      </c>
      <c r="H21" s="806"/>
      <c r="I21" s="806"/>
      <c r="J21" s="806"/>
      <c r="K21" s="807"/>
    </row>
    <row r="22" spans="1:33" s="802" customFormat="1" ht="13.5" customHeight="1">
      <c r="A22" s="789" t="s">
        <v>1601</v>
      </c>
      <c r="B22" s="812" t="s">
        <v>1630</v>
      </c>
      <c r="C22" s="813">
        <f ca="1">ROUND(C21*F22,0)</f>
        <v>19</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97</v>
      </c>
      <c r="D28" s="280">
        <f ca="1">C29</f>
        <v>0</v>
      </c>
      <c r="E28" s="282" t="s">
        <v>12</v>
      </c>
      <c r="F28" s="288">
        <f ca="1">IF(C1="",'数据-取费表'!Q16,INDIRECT("'数据-取费表'!q"&amp;$K$1))</f>
        <v>0.1</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97</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-1034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3389</v>
      </c>
      <c r="D1" s="1361" t="s">
        <v>43</v>
      </c>
      <c r="E1" s="1362" t="s">
        <v>678</v>
      </c>
      <c r="F1" s="1061">
        <f ca="1">J53</f>
        <v>43.19</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57509</v>
      </c>
      <c r="C2" s="1386" t="s">
        <v>805</v>
      </c>
      <c r="D2" s="1386"/>
      <c r="E2" s="1387"/>
      <c r="F2" s="1388"/>
      <c r="G2" s="2704"/>
      <c r="H2" s="2693"/>
      <c r="I2" s="2693"/>
      <c r="J2" s="2693"/>
      <c r="K2" s="2694"/>
      <c r="L2" s="2693"/>
      <c r="M2" s="2693"/>
    </row>
    <row r="3" spans="1:37" ht="18" customHeight="1" thickBot="1">
      <c r="A3" s="1389" t="s">
        <v>806</v>
      </c>
      <c r="B3" s="1390">
        <f ca="1">IF(ISERROR(B2*10000/F43),0,ROUND(B2*10000/F43,0))</f>
        <v>6369</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3366</v>
      </c>
      <c r="D5" s="1363" t="s">
        <v>693</v>
      </c>
      <c r="E5" s="1070"/>
      <c r="F5" s="1071"/>
      <c r="G5" s="1383"/>
      <c r="H5" s="299">
        <v>1</v>
      </c>
      <c r="I5" s="300" t="s">
        <v>692</v>
      </c>
      <c r="J5" s="1069">
        <f ca="1">J6+J10+J12</f>
        <v>0</v>
      </c>
      <c r="K5" s="1363" t="s">
        <v>693</v>
      </c>
      <c r="L5" s="1070"/>
      <c r="M5" s="1071"/>
    </row>
    <row r="6" spans="1:37" ht="18" customHeight="1">
      <c r="A6" s="1068" t="s">
        <v>398</v>
      </c>
      <c r="B6" s="3646" t="s">
        <v>694</v>
      </c>
      <c r="C6" s="1073">
        <f ca="1">ROUND(F6*F8*F7*(1-F9)/10000,0)</f>
        <v>3362</v>
      </c>
      <c r="D6" s="155" t="s">
        <v>2108</v>
      </c>
      <c r="E6" s="302" t="s">
        <v>696</v>
      </c>
      <c r="F6" s="303">
        <f ca="1">INDIRECT("'数据-取费表'!u"&amp;$G$1)</f>
        <v>1.2</v>
      </c>
      <c r="G6" s="1383"/>
      <c r="H6" s="1068" t="s">
        <v>398</v>
      </c>
      <c r="I6" s="3646" t="s">
        <v>694</v>
      </c>
      <c r="J6" s="301">
        <f ca="1">ROUND(M6*M8*M7*(1-M9)/10000,0)</f>
        <v>0</v>
      </c>
      <c r="K6" s="155" t="s">
        <v>2107</v>
      </c>
      <c r="L6" s="302" t="s">
        <v>696</v>
      </c>
      <c r="M6" s="303">
        <f ca="1">INDIRECT("'数据-取费表'!z"&amp;$G$1)</f>
        <v>0</v>
      </c>
    </row>
    <row r="7" spans="1:37" ht="18" customHeight="1">
      <c r="A7" s="1072"/>
      <c r="B7" s="3647"/>
      <c r="C7" s="1074"/>
      <c r="D7" s="307"/>
      <c r="E7" s="1075" t="s">
        <v>697</v>
      </c>
      <c r="F7" s="303">
        <f ca="1">IF(INDIRECT("'数据-取费表'!ah"&amp;$G$1)="",INDIRECT("'数据-取费表'!k"&amp;$G$1),INDIRECT("'数据-取费表'!ah"&amp;$G$1))</f>
        <v>90300.22</v>
      </c>
      <c r="G7" s="1383"/>
      <c r="H7" s="304"/>
      <c r="I7" s="3647"/>
      <c r="J7" s="306"/>
      <c r="K7" s="307"/>
      <c r="L7" s="302" t="s">
        <v>697</v>
      </c>
      <c r="M7" s="303">
        <f ca="1">F7</f>
        <v>90300.22</v>
      </c>
    </row>
    <row r="8" spans="1:37" ht="18" customHeight="1">
      <c r="A8" s="304"/>
      <c r="B8" s="3647"/>
      <c r="C8" s="306"/>
      <c r="D8" s="307"/>
      <c r="E8" s="302" t="s">
        <v>698</v>
      </c>
      <c r="F8" s="303">
        <f ca="1">INDIRECT("'数据-取费表'!ai"&amp;$G$1)</f>
        <v>365</v>
      </c>
      <c r="G8" s="1383"/>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0.15</v>
      </c>
      <c r="G9" s="1383"/>
      <c r="H9" s="304"/>
      <c r="I9" s="3648"/>
      <c r="J9" s="306"/>
      <c r="K9" s="307"/>
      <c r="L9" s="313" t="s">
        <v>699</v>
      </c>
      <c r="M9" s="314">
        <f ca="1">INDIRECT("'数据-取费表'!ab"&amp;$G$1)</f>
        <v>0</v>
      </c>
    </row>
    <row r="10" spans="1:37" ht="18" customHeight="1">
      <c r="A10" s="1068" t="s">
        <v>402</v>
      </c>
      <c r="B10" s="1364" t="s">
        <v>700</v>
      </c>
      <c r="C10" s="316">
        <f ca="1">ROUND(IF(F10="押一",C6/12*F11,IF(F10="押二",C6/12*2*F11,IF(F10="押三",C6/12*3*F11,C11*F11))),0)</f>
        <v>4</v>
      </c>
      <c r="D10" s="1365" t="s">
        <v>2116</v>
      </c>
      <c r="E10" s="313" t="s">
        <v>701</v>
      </c>
      <c r="F10" s="1115" t="s">
        <v>3398</v>
      </c>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45191</v>
      </c>
      <c r="D13" s="1080" t="s">
        <v>705</v>
      </c>
      <c r="E13" s="1080" t="s">
        <v>706</v>
      </c>
      <c r="F13" s="1081">
        <f ca="1">INDIRECT("'数据-取费表'!y"&amp;$G$1)</f>
        <v>0.9</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36120</v>
      </c>
      <c r="D14" s="1344" t="s">
        <v>708</v>
      </c>
      <c r="E14" s="1341"/>
      <c r="F14" s="319"/>
      <c r="G14" s="1383"/>
      <c r="H14" s="981" t="s">
        <v>398</v>
      </c>
      <c r="I14" s="302" t="s">
        <v>709</v>
      </c>
      <c r="J14" s="21">
        <f ca="1">C29</f>
        <v>50212</v>
      </c>
      <c r="K14" s="12"/>
      <c r="L14" s="806"/>
      <c r="M14" s="807"/>
    </row>
    <row r="15" spans="1:37" s="1396" customFormat="1" ht="18" customHeight="1" thickBot="1">
      <c r="A15" s="981" t="s">
        <v>399</v>
      </c>
      <c r="B15" s="302" t="s">
        <v>710</v>
      </c>
      <c r="C15" s="21">
        <f ca="1">ROUND(C14*F15,0)</f>
        <v>1806</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322</v>
      </c>
      <c r="K16" s="1086" t="s">
        <v>715</v>
      </c>
      <c r="L16" s="1087"/>
      <c r="M16" s="1071"/>
    </row>
    <row r="17" spans="1:37" s="1396" customFormat="1" ht="18" customHeight="1">
      <c r="A17" s="981" t="s">
        <v>681</v>
      </c>
      <c r="B17" s="302" t="s">
        <v>716</v>
      </c>
      <c r="C17" s="21">
        <f ca="1">ROUND(F17*(F43+INDIRECT("'数据-取费表'!S"&amp;$G$1))/10000,0)</f>
        <v>1625</v>
      </c>
      <c r="D17" s="302" t="s">
        <v>717</v>
      </c>
      <c r="E17" s="302" t="s">
        <v>718</v>
      </c>
      <c r="F17" s="23">
        <f>'数据-取费表'!B35</f>
        <v>180</v>
      </c>
      <c r="G17" s="1395"/>
      <c r="H17" s="981" t="s">
        <v>398</v>
      </c>
      <c r="I17" s="302" t="s">
        <v>719</v>
      </c>
      <c r="J17" s="2314">
        <f ca="1">ROUND(IF(AND(项目基本情况!B11="自然人",项目基本情况!B10="北京市"),J6*M17/(1+'数据-取费表'!C42),J18+J19+J20),2)</f>
        <v>70.819999999999993</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542</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40093</v>
      </c>
      <c r="D19" s="131" t="s">
        <v>726</v>
      </c>
      <c r="E19" s="1359"/>
      <c r="F19" s="23"/>
      <c r="G19" s="1383"/>
      <c r="H19" s="981"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1" t="s">
        <v>402</v>
      </c>
      <c r="B20" s="302" t="s">
        <v>728</v>
      </c>
      <c r="C20" s="21">
        <f ca="1">ROUND(C19*F20,0)</f>
        <v>802</v>
      </c>
      <c r="D20" s="323" t="s">
        <v>729</v>
      </c>
      <c r="E20" s="302" t="s">
        <v>712</v>
      </c>
      <c r="F20" s="322">
        <f>'数据-取费表'!B37</f>
        <v>0.02</v>
      </c>
      <c r="G20" s="1395"/>
      <c r="H20" s="981" t="s">
        <v>680</v>
      </c>
      <c r="I20" s="155" t="s">
        <v>730</v>
      </c>
      <c r="J20" s="22">
        <f ca="1">ROUND(M20*M21/10000,2)</f>
        <v>70.819999999999993</v>
      </c>
      <c r="K20" s="324" t="s">
        <v>731</v>
      </c>
      <c r="L20" s="302" t="s">
        <v>732</v>
      </c>
      <c r="M20" s="325">
        <f>'数据-取费表'!B52</f>
        <v>10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70820.800000000003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251.06</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1411</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-322</v>
      </c>
      <c r="K25" s="1094" t="s">
        <v>753</v>
      </c>
      <c r="L25" s="1095"/>
      <c r="M25" s="1096"/>
    </row>
    <row r="26" spans="1:37">
      <c r="A26" s="981" t="s">
        <v>397</v>
      </c>
      <c r="B26" s="302" t="s">
        <v>754</v>
      </c>
      <c r="C26" s="21">
        <f ca="1">ROUND((C19+C20)*F26,0)</f>
        <v>4090</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50212</v>
      </c>
      <c r="D29" s="1091"/>
      <c r="E29" s="1089"/>
      <c r="F29" s="1092"/>
      <c r="G29" s="1395"/>
      <c r="H29" s="334" t="s">
        <v>396</v>
      </c>
      <c r="I29" s="335" t="s">
        <v>768</v>
      </c>
      <c r="J29" s="336">
        <f ca="1">ROUND(J26/(1+F40)^F41,0)</f>
        <v>0</v>
      </c>
      <c r="K29" s="337" t="s">
        <v>769</v>
      </c>
      <c r="L29" s="338"/>
      <c r="M29" s="339">
        <f ca="1">INDIRECT("'数据-取费表'!k"&amp;$G$1)</f>
        <v>90300.22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987</v>
      </c>
      <c r="D30" s="1086" t="s">
        <v>715</v>
      </c>
      <c r="E30" s="1087"/>
      <c r="F30" s="1071"/>
      <c r="G30" s="1383"/>
      <c r="H30" s="2695"/>
      <c r="I30" s="1397"/>
      <c r="J30" s="1398"/>
      <c r="K30" s="2473"/>
      <c r="L30" s="2696"/>
      <c r="M30" s="2697"/>
    </row>
    <row r="31" spans="1:37" ht="18" customHeight="1">
      <c r="A31" s="981" t="s">
        <v>398</v>
      </c>
      <c r="B31" s="302" t="s">
        <v>719</v>
      </c>
      <c r="C31" s="2314">
        <f ca="1">ROUND(IF(AND(项目基本情况!B11="自然人",项目基本情况!B10="北京市"),C6*F31/(1+'数据-取费表'!C42),C32+C33+C34),2)</f>
        <v>634.36</v>
      </c>
      <c r="D31" s="1344" t="s">
        <v>720</v>
      </c>
      <c r="E31" s="1343" t="s">
        <v>770</v>
      </c>
      <c r="F31" s="2313" t="str">
        <f>IF(项目基本情况!B11="企业","——",IF(M47="住宅",IF(F6*F7*F8/12/(1+'数据-取费表'!F30)&gt;100000,4%,2.5%),IF(F6*F7*F8/12/(1+'数据-取费表'!F30)&gt;100000,12%,7%)))</f>
        <v>——</v>
      </c>
      <c r="G31" s="1383"/>
      <c r="H31" s="2806" t="s">
        <v>2309</v>
      </c>
      <c r="I31" s="1397"/>
      <c r="J31" s="1398"/>
      <c r="K31" s="2473"/>
      <c r="L31" s="2696"/>
      <c r="M31" s="2697"/>
    </row>
    <row r="32" spans="1:37" ht="18" customHeight="1">
      <c r="A32" s="981" t="s">
        <v>397</v>
      </c>
      <c r="B32" s="302" t="s">
        <v>723</v>
      </c>
      <c r="C32" s="21">
        <f ca="1">IF(项目基本情况!B11="自然人","——",ROUND(C6*F32/(1+'数据-取费表'!C42),2))</f>
        <v>179.31</v>
      </c>
      <c r="D32" s="1343" t="s">
        <v>724</v>
      </c>
      <c r="E32" s="302" t="s">
        <v>712</v>
      </c>
      <c r="F32" s="331">
        <f>'数据-取费表'!B41</f>
        <v>5.6000000000000001E-2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384.23</v>
      </c>
      <c r="D33" s="1369" t="s">
        <v>3339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70.819999999999993</v>
      </c>
      <c r="D34" s="324" t="s">
        <v>731</v>
      </c>
      <c r="E34" s="302" t="s">
        <v>732</v>
      </c>
      <c r="F34" s="325">
        <f>'数据-取费表'!B52</f>
        <v>10</v>
      </c>
      <c r="G34" s="1383"/>
      <c r="H34" s="2695"/>
      <c r="I34" s="1397"/>
      <c r="J34" s="1398"/>
      <c r="K34" s="2700"/>
      <c r="L34" s="2701"/>
      <c r="M34" s="2701"/>
    </row>
    <row r="35" spans="1:18" ht="18" customHeight="1">
      <c r="A35" s="1102"/>
      <c r="B35" s="1100"/>
      <c r="C35" s="26"/>
      <c r="D35" s="327"/>
      <c r="E35" s="302" t="s">
        <v>736</v>
      </c>
      <c r="F35" s="303">
        <f ca="1">INDIRECT("'数据-取费表'!r"&amp;$G$1)</f>
        <v>70820.800000000003</v>
      </c>
      <c r="G35" s="1383"/>
      <c r="H35" s="2695"/>
      <c r="I35" s="1397"/>
      <c r="J35" s="1398"/>
      <c r="K35" s="2699"/>
      <c r="L35" s="2698"/>
      <c r="M35" s="2698"/>
    </row>
    <row r="36" spans="1:18" ht="18" customHeight="1">
      <c r="A36" s="1101" t="s">
        <v>402</v>
      </c>
      <c r="B36" s="302" t="s">
        <v>738</v>
      </c>
      <c r="C36" s="21">
        <f ca="1">ROUND(C29*F36,2)</f>
        <v>251.06</v>
      </c>
      <c r="D36" s="1343" t="s">
        <v>771</v>
      </c>
      <c r="E36" s="302" t="s">
        <v>712</v>
      </c>
      <c r="F36" s="328">
        <f ca="1">INDIRECT("'数据-取费表'!Ak"&amp;$G$1)</f>
        <v>5.0000000000000001E-3</v>
      </c>
      <c r="G36" s="1383"/>
      <c r="H36" s="2698"/>
      <c r="I36" s="1397"/>
      <c r="J36" s="1398"/>
      <c r="K36" s="2542"/>
      <c r="L36" s="2698"/>
      <c r="M36" s="2698"/>
    </row>
    <row r="37" spans="1:18" ht="18" customHeight="1">
      <c r="A37" s="981" t="s">
        <v>437</v>
      </c>
      <c r="B37" s="302" t="s">
        <v>742</v>
      </c>
      <c r="C37" s="21">
        <f ca="1">ROUND(C13*F37,2)</f>
        <v>67.790000000000006</v>
      </c>
      <c r="D37" s="1343" t="s">
        <v>743</v>
      </c>
      <c r="E37" s="302" t="s">
        <v>744</v>
      </c>
      <c r="F37" s="330">
        <f ca="1">INDIRECT("'数据-取费表'!Al"&amp;$G$1)</f>
        <v>1.5E-3</v>
      </c>
      <c r="G37" s="1383"/>
      <c r="H37" s="2698"/>
      <c r="I37" s="1397"/>
      <c r="J37" s="1398"/>
      <c r="K37" s="2542"/>
      <c r="L37" s="2698"/>
      <c r="M37" s="2698"/>
    </row>
    <row r="38" spans="1:18" ht="18" customHeight="1" thickBot="1">
      <c r="A38" s="1088" t="s">
        <v>684</v>
      </c>
      <c r="B38" s="1089" t="s">
        <v>728</v>
      </c>
      <c r="C38" s="1090">
        <f ca="1">ROUND(C5*F38,2)</f>
        <v>33.659999999999997</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2379</v>
      </c>
      <c r="D39" s="1094" t="s">
        <v>773</v>
      </c>
      <c r="E39" s="1095"/>
      <c r="F39" s="1096"/>
      <c r="G39" s="1383"/>
      <c r="H39" s="2698"/>
      <c r="I39" s="1397"/>
      <c r="J39" s="1398"/>
      <c r="K39" s="2702"/>
      <c r="L39" s="2698"/>
      <c r="M39" s="2698"/>
    </row>
    <row r="40" spans="1:18" ht="18" customHeight="1">
      <c r="A40" s="299" t="s">
        <v>395</v>
      </c>
      <c r="B40" s="300" t="s">
        <v>774</v>
      </c>
      <c r="C40" s="301">
        <f ca="1">ROUND(C39*(1-((1+F42)/(1+F40))^F41)/(F40-F42),0)</f>
        <v>56625</v>
      </c>
      <c r="D40" s="324" t="s">
        <v>758</v>
      </c>
      <c r="E40" s="302" t="s">
        <v>759</v>
      </c>
      <c r="F40" s="312">
        <f ca="1">INDIRECT("'数据-取费表'!I"&amp;$G$1)</f>
        <v>0.05</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43.19</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ROUND(C40*10000/F43,0)</f>
        <v>6271</v>
      </c>
      <c r="D43" s="337" t="s">
        <v>777</v>
      </c>
      <c r="E43" s="338" t="s">
        <v>778</v>
      </c>
      <c r="F43" s="339">
        <f ca="1">INDIRECT("'数据-取费表'!k"&amp;$G$1)</f>
        <v>90300.22</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f ca="1">C68-C40</f>
        <v>-63477</v>
      </c>
      <c r="D46" s="1405" t="str">
        <f>C2</f>
        <v>万元</v>
      </c>
      <c r="E46" s="1399"/>
      <c r="F46" s="1399"/>
      <c r="I46" s="1406" t="s">
        <v>810</v>
      </c>
      <c r="J46" s="1407"/>
      <c r="K46" s="1408"/>
      <c r="L46" s="1409">
        <f ca="1">IF(M47="住宅",0,IF(L48&gt;J51,L60,J60))</f>
        <v>884</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3399</v>
      </c>
      <c r="K47" s="1415" t="s">
        <v>816</v>
      </c>
      <c r="L47" s="1416">
        <f ca="1">INDIRECT("'数据-取费表'!d"&amp;$G$1)</f>
        <v>50</v>
      </c>
      <c r="M47" s="1379" t="str">
        <f>IF(ISNUMBER(FIND("住宅",C1)),"住宅","非住宅")</f>
        <v>非住宅</v>
      </c>
      <c r="O47" s="1417" t="s">
        <v>403</v>
      </c>
      <c r="P47" s="1418" t="s">
        <v>817</v>
      </c>
      <c r="Q47" s="1419">
        <f ca="1">C40+J29</f>
        <v>56625</v>
      </c>
      <c r="R47" s="1419" t="s">
        <v>818</v>
      </c>
    </row>
    <row r="48" spans="1:18" s="1383" customFormat="1" ht="28.5" thickBot="1">
      <c r="A48" s="1109" t="s">
        <v>438</v>
      </c>
      <c r="B48" s="300" t="s">
        <v>692</v>
      </c>
      <c r="C48" s="1358">
        <f ca="1">C49+C53+C55</f>
        <v>0</v>
      </c>
      <c r="D48" s="1111"/>
      <c r="E48" s="1112"/>
      <c r="F48" s="961"/>
      <c r="G48" s="721"/>
      <c r="H48" s="722"/>
      <c r="I48" s="1420" t="s">
        <v>819</v>
      </c>
      <c r="J48" s="1421" t="s">
        <v>3400</v>
      </c>
      <c r="K48" s="1422" t="s">
        <v>820</v>
      </c>
      <c r="L48" s="1423">
        <f ca="1">INDIRECT("'数据-取费表'!f"&amp;$G$1)</f>
        <v>43.19</v>
      </c>
      <c r="O48" s="1417" t="s">
        <v>404</v>
      </c>
      <c r="P48" s="1418" t="s">
        <v>821</v>
      </c>
      <c r="Q48" s="1419">
        <f ca="1">J60</f>
        <v>884</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v>2020</v>
      </c>
      <c r="K49" s="1422" t="s">
        <v>824</v>
      </c>
      <c r="L49" s="1426"/>
      <c r="O49" s="1427" t="s">
        <v>405</v>
      </c>
      <c r="P49" s="1418" t="s">
        <v>825</v>
      </c>
      <c r="Q49" s="1419">
        <f ca="1">C29</f>
        <v>50212</v>
      </c>
      <c r="R49" s="1419" t="s">
        <v>818</v>
      </c>
    </row>
    <row r="50" spans="1:18" s="1383" customFormat="1" ht="13.5" thickBot="1">
      <c r="A50" s="975"/>
      <c r="B50" s="978"/>
      <c r="C50" s="1117"/>
      <c r="D50" s="952"/>
      <c r="E50" s="1055" t="s">
        <v>697</v>
      </c>
      <c r="F50" s="1056">
        <f ca="1">F7</f>
        <v>90300.22</v>
      </c>
      <c r="H50" s="722"/>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47</v>
      </c>
      <c r="K51" s="1433" t="s">
        <v>830</v>
      </c>
      <c r="L51" s="1434">
        <f ca="1">ROUND(-PV(INDIRECT("'数据-取费表'!h"&amp;$G$1),J51,(C39-C13*C76),0),0)</f>
        <v>-15228</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43.19</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6">
        <f ca="1">IF(M47="住宅",IF(D1="——",MAX(J51,L48),MAX(J51,L48-'数据-取费表'!B24)),IF(D1="——",MIN(J51,L48),MIN(J51,L48-'数据-取费表'!B24)))</f>
        <v>43.19</v>
      </c>
      <c r="K53" s="3644" t="s">
        <v>837</v>
      </c>
      <c r="L53" s="3645"/>
      <c r="O53" s="1417" t="s">
        <v>409</v>
      </c>
      <c r="P53" s="1418" t="s">
        <v>838</v>
      </c>
      <c r="Q53" s="1419">
        <f ca="1">Q47+Q48</f>
        <v>57509</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7.5999999999999998E-2</v>
      </c>
      <c r="K55" s="1444" t="s">
        <v>841</v>
      </c>
      <c r="L55" s="1445"/>
      <c r="O55" s="1410" t="s">
        <v>811</v>
      </c>
      <c r="P55" s="1411" t="s">
        <v>812</v>
      </c>
      <c r="Q55" s="1412" t="s">
        <v>813</v>
      </c>
      <c r="R55" s="1412" t="s">
        <v>814</v>
      </c>
    </row>
    <row r="56" spans="1:18" s="1383" customFormat="1" ht="25.5" thickTop="1" thickBot="1">
      <c r="A56" s="956">
        <v>2</v>
      </c>
      <c r="B56" s="957" t="s">
        <v>704</v>
      </c>
      <c r="C56" s="232">
        <f ca="1">C13</f>
        <v>45191</v>
      </c>
      <c r="D56" s="1446"/>
      <c r="E56" s="1447"/>
      <c r="F56" s="1439"/>
      <c r="I56" s="1448" t="s">
        <v>842</v>
      </c>
      <c r="J56" s="1449" t="s">
        <v>3401</v>
      </c>
      <c r="K56" s="1420" t="s">
        <v>843</v>
      </c>
      <c r="L56" s="1423" t="str">
        <f ca="1">IF(L48&lt;J51,"——",L48-J53)</f>
        <v>——</v>
      </c>
      <c r="O56" s="1417" t="s">
        <v>403</v>
      </c>
      <c r="P56" s="1418" t="s">
        <v>817</v>
      </c>
      <c r="Q56" s="1419">
        <f ca="1">C40+J29</f>
        <v>56625</v>
      </c>
      <c r="R56" s="1419" t="s">
        <v>818</v>
      </c>
    </row>
    <row r="57" spans="1:18" s="1383" customFormat="1" ht="24.75" thickBot="1">
      <c r="A57" s="1450"/>
      <c r="B57" s="949" t="s">
        <v>767</v>
      </c>
      <c r="C57" s="238">
        <f ca="1">C29</f>
        <v>50212</v>
      </c>
      <c r="D57" s="1451"/>
      <c r="E57" s="1452"/>
      <c r="F57" s="1453"/>
      <c r="I57" s="1454" t="s">
        <v>844</v>
      </c>
      <c r="J57" s="1455">
        <f ca="1">IF(OR(M47="住宅",J51&lt;L48,J56="是"),"——",J51-L48)</f>
        <v>3.8100000000000023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390</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71</v>
      </c>
      <c r="D59" s="962" t="s">
        <v>720</v>
      </c>
      <c r="E59" s="963" t="s">
        <v>721</v>
      </c>
      <c r="F59" s="2313" t="str">
        <f>IF(项目基本情况!B11="企业","——",IF('数据-取费表'!B10="住宅",IF(F49*F50*F51/12/(1+'数据-取费表'!F30)&gt;100000,4%,2.5%),IF(F49*F50*F51/12/(1+'数据-取费表'!F30)&gt;100000,12%,7%)))</f>
        <v>——</v>
      </c>
      <c r="I59" s="1454" t="s">
        <v>851</v>
      </c>
      <c r="J59" s="1455">
        <f ca="1">IF(OR(M47="住宅",J51&lt;L48,J56="是"),"——",ROUND(C29*J58,0))</f>
        <v>20085</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f ca="1">IF(OR(M47="住宅",J51&lt;L48,J56="是"),"0",ROUND(J59/(1+J52)^J53,0))</f>
        <v>884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70.819999999999993</v>
      </c>
      <c r="D62" s="964" t="s">
        <v>786</v>
      </c>
      <c r="E62" s="949" t="s">
        <v>787</v>
      </c>
      <c r="F62" s="325">
        <f t="shared" si="0"/>
        <v>10</v>
      </c>
      <c r="I62" s="1461" t="s">
        <v>858</v>
      </c>
      <c r="J62" s="1462" t="s">
        <v>859</v>
      </c>
      <c r="K62" s="1462" t="s">
        <v>860</v>
      </c>
      <c r="L62" s="1462" t="s">
        <v>861</v>
      </c>
      <c r="M62" s="1463" t="s">
        <v>862</v>
      </c>
      <c r="O62" s="1417" t="s">
        <v>409</v>
      </c>
      <c r="P62" s="1418" t="s">
        <v>863</v>
      </c>
      <c r="Q62" s="1419">
        <f ca="1">Q56+Q57</f>
        <v>56625</v>
      </c>
      <c r="R62" s="1419" t="s">
        <v>410</v>
      </c>
    </row>
    <row r="63" spans="1:18" s="1383" customFormat="1" ht="13.5" thickBot="1">
      <c r="A63" s="326"/>
      <c r="B63" s="955"/>
      <c r="C63" s="26"/>
      <c r="D63" s="965"/>
      <c r="E63" s="949" t="s">
        <v>788</v>
      </c>
      <c r="F63" s="303">
        <f t="shared" ca="1" si="0"/>
        <v>70820.800000000003</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251.06</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67.790000000000006</v>
      </c>
      <c r="D65" s="963" t="s">
        <v>743</v>
      </c>
      <c r="E65" s="949" t="s">
        <v>744</v>
      </c>
      <c r="F65" s="330">
        <f t="shared" ca="1" si="0"/>
        <v>1.5E-3</v>
      </c>
      <c r="I65" s="1461" t="s">
        <v>867</v>
      </c>
      <c r="J65" s="1462">
        <v>40</v>
      </c>
      <c r="K65" s="1462">
        <v>30</v>
      </c>
      <c r="L65" s="1462">
        <v>50</v>
      </c>
      <c r="M65" s="1464">
        <v>0.02</v>
      </c>
      <c r="O65" s="1417" t="s">
        <v>403</v>
      </c>
      <c r="P65" s="1418" t="s">
        <v>868</v>
      </c>
      <c r="Q65" s="1419">
        <f ca="1">C40+J29</f>
        <v>56625</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-390</v>
      </c>
      <c r="D67" s="962" t="s">
        <v>753</v>
      </c>
      <c r="E67" s="967"/>
      <c r="F67" s="968"/>
      <c r="O67" s="1427" t="s">
        <v>405</v>
      </c>
      <c r="P67" s="1418" t="s">
        <v>850</v>
      </c>
      <c r="Q67" s="1465">
        <f ca="1">L51</f>
        <v>-15228</v>
      </c>
      <c r="R67" s="1419" t="s">
        <v>870</v>
      </c>
    </row>
    <row r="68" spans="1:18" s="1383" customFormat="1" ht="16.5" thickBot="1">
      <c r="A68" s="946" t="s">
        <v>395</v>
      </c>
      <c r="B68" s="947" t="s">
        <v>774</v>
      </c>
      <c r="C68" s="301">
        <f ca="1">ROUND(C67*(1-((1+F70)/(1+F68))^F69)/(F68-F70),0)</f>
        <v>-6852</v>
      </c>
      <c r="D68" s="964" t="s">
        <v>758</v>
      </c>
      <c r="E68" s="949" t="s">
        <v>759</v>
      </c>
      <c r="F68" s="312">
        <f ca="1">F40</f>
        <v>0.05</v>
      </c>
      <c r="O68" s="1427" t="s">
        <v>406</v>
      </c>
      <c r="P68" s="1466" t="s">
        <v>871</v>
      </c>
      <c r="Q68" s="1419">
        <f ca="1">ROUND(Q69-Q70*Q71,0)</f>
        <v>-784</v>
      </c>
      <c r="R68" s="1419" t="s">
        <v>414</v>
      </c>
    </row>
    <row r="69" spans="1:18" s="1383" customFormat="1" ht="13.5" thickBot="1">
      <c r="A69" s="950"/>
      <c r="B69" s="951"/>
      <c r="C69" s="306"/>
      <c r="D69" s="969" t="s">
        <v>762</v>
      </c>
      <c r="E69" s="949" t="s">
        <v>763</v>
      </c>
      <c r="F69" s="333">
        <f ca="1">F41</f>
        <v>43.19</v>
      </c>
      <c r="O69" s="1427" t="s">
        <v>411</v>
      </c>
      <c r="P69" s="1466" t="s">
        <v>872</v>
      </c>
      <c r="Q69" s="1419">
        <f ca="1">C39</f>
        <v>2379</v>
      </c>
      <c r="R69" s="1419" t="s">
        <v>818</v>
      </c>
    </row>
    <row r="70" spans="1:18" s="1383" customFormat="1" ht="13.5" thickBot="1">
      <c r="A70" s="953"/>
      <c r="B70" s="954"/>
      <c r="C70" s="310"/>
      <c r="D70" s="965"/>
      <c r="E70" s="949" t="s">
        <v>766</v>
      </c>
      <c r="F70" s="1053"/>
      <c r="O70" s="1427" t="s">
        <v>412</v>
      </c>
      <c r="P70" s="1466" t="s">
        <v>873</v>
      </c>
      <c r="Q70" s="1419">
        <f ca="1">C13</f>
        <v>45191</v>
      </c>
      <c r="R70" s="1419" t="s">
        <v>818</v>
      </c>
    </row>
    <row r="71" spans="1:18" s="1383" customFormat="1" ht="13.5" thickBot="1">
      <c r="A71" s="970" t="s">
        <v>396</v>
      </c>
      <c r="B71" s="971" t="s">
        <v>776</v>
      </c>
      <c r="C71" s="336">
        <f ca="1">ROUND(C68*10000/F71,0)</f>
        <v>-759</v>
      </c>
      <c r="D71" s="972" t="s">
        <v>777</v>
      </c>
      <c r="E71" s="973" t="s">
        <v>778</v>
      </c>
      <c r="F71" s="339">
        <f ca="1">F43</f>
        <v>90300.22</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3163</v>
      </c>
      <c r="D75" s="1383"/>
      <c r="E75" s="1383"/>
      <c r="F75" s="1383"/>
      <c r="K75" s="1401"/>
      <c r="L75" s="1383"/>
      <c r="O75" s="1417" t="s">
        <v>409</v>
      </c>
      <c r="P75" s="1418" t="s">
        <v>838</v>
      </c>
      <c r="Q75" s="1419">
        <f ca="1">Q65+Q66</f>
        <v>56625</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-0.33000000000000007</v>
      </c>
    </row>
    <row r="80" spans="1:18">
      <c r="B80" s="340" t="s">
        <v>800</v>
      </c>
      <c r="C80" s="274">
        <f ca="1">ROUND(C75/C39,3)</f>
        <v>1.33</v>
      </c>
    </row>
    <row r="81" spans="2:3">
      <c r="B81" s="270" t="s">
        <v>801</v>
      </c>
      <c r="C81" s="238"/>
    </row>
    <row r="82" spans="2:3">
      <c r="B82" s="273" t="s">
        <v>802</v>
      </c>
      <c r="C82" s="275">
        <f ca="1">1-C83</f>
        <v>0.20199999999999996</v>
      </c>
    </row>
    <row r="83" spans="2:3">
      <c r="B83" s="273" t="s">
        <v>803</v>
      </c>
      <c r="C83" s="274">
        <f ca="1">ROUND(C13/C40,3)</f>
        <v>0.79800000000000004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t="e">
        <f ca="1">ROUND(D2/10000,4)</f>
        <v>#DIV/0!</v>
      </c>
      <c r="C2" s="1386" t="s">
        <v>879</v>
      </c>
      <c r="D2" s="1470" t="e">
        <f ca="1">C40+J29+L46</f>
        <v>#DIV/0!</v>
      </c>
      <c r="E2" s="1387" t="s">
        <v>880</v>
      </c>
      <c r="F2" s="1388"/>
      <c r="G2" s="2704"/>
      <c r="H2" s="2693"/>
      <c r="I2" s="2693"/>
      <c r="J2" s="2693"/>
      <c r="K2" s="2694"/>
      <c r="L2" s="2693"/>
      <c r="M2" s="2693"/>
    </row>
    <row r="3" spans="1:37" ht="18" customHeight="1" thickBot="1">
      <c r="A3" s="1389" t="s">
        <v>881</v>
      </c>
      <c r="B3" s="1390">
        <f ca="1">IF(ISERROR(D2/F43),0,ROUND(D2/F43,0))</f>
        <v>0</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46" t="s">
        <v>694</v>
      </c>
      <c r="C6" s="1073">
        <f ca="1">ROUND(F6*F8*F7*(1-F9),0)</f>
        <v>0</v>
      </c>
      <c r="D6" s="155" t="s">
        <v>2105</v>
      </c>
      <c r="E6" s="302" t="s">
        <v>696</v>
      </c>
      <c r="F6" s="303">
        <f ca="1">INDIRECT("'数据-取费表'!u"&amp;$G$1)</f>
        <v>0</v>
      </c>
      <c r="G6" s="1383"/>
      <c r="H6" s="1068" t="s">
        <v>398</v>
      </c>
      <c r="I6" s="3646" t="s">
        <v>694</v>
      </c>
      <c r="J6" s="301">
        <f ca="1">ROUND(M6*M8*M7*(1-M9),0)</f>
        <v>0</v>
      </c>
      <c r="K6" s="1375" t="s">
        <v>2106</v>
      </c>
      <c r="L6" s="302" t="s">
        <v>696</v>
      </c>
      <c r="M6" s="303">
        <f ca="1">INDIRECT("'数据-取费表'!z"&amp;$G$1)</f>
        <v>0</v>
      </c>
    </row>
    <row r="7" spans="1:37" ht="18" customHeight="1">
      <c r="A7" s="1072"/>
      <c r="B7" s="3647"/>
      <c r="C7" s="1074"/>
      <c r="D7" s="307"/>
      <c r="E7" s="1075" t="s">
        <v>697</v>
      </c>
      <c r="F7" s="303">
        <f ca="1">IF(INDIRECT("'数据-取费表'!ah"&amp;$G$1)="",INDIRECT("'数据-取费表'!k"&amp;$G$1),INDIRECT("'数据-取费表'!ah"&amp;$G$1))</f>
        <v>0</v>
      </c>
      <c r="G7" s="1383"/>
      <c r="H7" s="304"/>
      <c r="I7" s="3647"/>
      <c r="J7" s="306"/>
      <c r="K7" s="307"/>
      <c r="L7" s="302" t="s">
        <v>697</v>
      </c>
      <c r="M7" s="303">
        <f ca="1">F7</f>
        <v>0</v>
      </c>
    </row>
    <row r="8" spans="1:37" ht="18" customHeight="1">
      <c r="A8" s="304"/>
      <c r="B8" s="3647"/>
      <c r="C8" s="306"/>
      <c r="D8" s="307"/>
      <c r="E8" s="302" t="s">
        <v>698</v>
      </c>
      <c r="F8" s="303">
        <f ca="1">INDIRECT("'数据-取费表'!ai"&amp;$G$1)</f>
        <v>0</v>
      </c>
      <c r="G8" s="1383"/>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3"/>
      <c r="H9" s="304"/>
      <c r="I9" s="364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180</v>
      </c>
      <c r="G17" s="1395"/>
      <c r="H17" s="981" t="s">
        <v>398</v>
      </c>
      <c r="I17" s="302" t="s">
        <v>719</v>
      </c>
      <c r="J17" s="2314">
        <f ca="1">ROUND(IF(AND(项目基本情况!B11="自然人",项目基本情况!B10="北京市"),J6*M17/(1+'数据-取费表'!C42),J18+J19+J20),0)</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10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1" t="s">
        <v>398</v>
      </c>
      <c r="B31" s="302" t="s">
        <v>719</v>
      </c>
      <c r="C31" s="2314">
        <f ca="1">ROUND(IF(AND(项目基本情况!B11="自然人",项目基本情况!B10="北京市"),C6*F31/(1+'数据-取费表'!C42),C32+C33+C34),0)</f>
        <v>0</v>
      </c>
      <c r="D31" s="1344" t="s">
        <v>720</v>
      </c>
      <c r="E31" s="1343" t="s">
        <v>770</v>
      </c>
      <c r="F31" s="2313" t="str">
        <f>IF(项目基本情况!B11="企业","——",IF(M47="住宅",IF(F6*F7*F8/12/(1+'数据-取费表'!F30)&gt;100000,4%,2.5%),IF(F6*F7*F8/12/(1+'数据-取费表'!F30)&gt;100000,12%,7%)))</f>
        <v>——</v>
      </c>
      <c r="G31" s="1383"/>
      <c r="H31" s="2806" t="s">
        <v>2309</v>
      </c>
      <c r="I31" s="1397"/>
      <c r="J31" s="1398"/>
      <c r="K31" s="2473"/>
      <c r="L31" s="2696"/>
      <c r="M31" s="2697"/>
    </row>
    <row r="32" spans="1:37" ht="18" customHeight="1">
      <c r="A32" s="981" t="s">
        <v>397</v>
      </c>
      <c r="B32" s="302" t="s">
        <v>723</v>
      </c>
      <c r="C32" s="21">
        <f ca="1">IF(项目基本情况!B11="自然人","——",ROUND(C6*F32/(1+'数据-取费表'!C42),0))</f>
        <v>0</v>
      </c>
      <c r="D32" s="1343" t="s">
        <v>724</v>
      </c>
      <c r="E32" s="302" t="s">
        <v>712</v>
      </c>
      <c r="F32" s="331">
        <f>'数据-取费表'!B41</f>
        <v>5.6000000000000001E-2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10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0</v>
      </c>
      <c r="D36" s="1343" t="s">
        <v>771</v>
      </c>
      <c r="E36" s="302" t="s">
        <v>712</v>
      </c>
      <c r="F36" s="328">
        <f ca="1">INDIRECT("'数据-取费表'!Ak"&amp;$G$1)</f>
        <v>0</v>
      </c>
      <c r="G36" s="1383"/>
      <c r="H36" s="2698"/>
      <c r="I36" s="1397"/>
      <c r="J36" s="1398"/>
      <c r="K36" s="2542"/>
      <c r="L36" s="2698"/>
      <c r="M36" s="2698"/>
    </row>
    <row r="37" spans="1:18" ht="18" customHeight="1">
      <c r="A37" s="981" t="s">
        <v>437</v>
      </c>
      <c r="B37" s="302" t="s">
        <v>742</v>
      </c>
      <c r="C37" s="21">
        <f ca="1">ROUND(C13*F37,0)</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ROUND(C5*F38,0)</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3355</v>
      </c>
      <c r="B45" s="1399"/>
      <c r="C45" s="1471" t="e">
        <f ca="1">ROUND((C68-C40)/10000,4)</f>
        <v>#DIV/0!</v>
      </c>
      <c r="D45" s="3430" t="s">
        <v>3356</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6">
        <f ca="1">IF(M47="住宅",IF(D1="——",MAX(J51,L48),MAX(J51,L48-'数据-取费表'!B24)),IF(D1="——",MIN(J51,L48),MIN(J51,L48-'数据-取费表'!B24)))</f>
        <v>0</v>
      </c>
      <c r="K53" s="3644" t="s">
        <v>837</v>
      </c>
      <c r="L53" s="3645"/>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4" t="s">
        <v>2318</v>
      </c>
      <c r="B2" s="2841" t="e">
        <f>IF(D2="——",C40,C40+E2)</f>
        <v>#DIV/0!</v>
      </c>
      <c r="C2" s="2842" t="s">
        <v>2319</v>
      </c>
      <c r="D2" s="3441" t="s">
        <v>3362</v>
      </c>
      <c r="E2" s="3442"/>
      <c r="F2" s="2844"/>
      <c r="G2" s="2845"/>
      <c r="H2" s="2846"/>
      <c r="I2" s="2847"/>
      <c r="J2" s="3649" t="s">
        <v>2320</v>
      </c>
      <c r="K2" s="3650"/>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1" t="s">
        <v>2330</v>
      </c>
      <c r="K3" s="3652"/>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1" t="s">
        <v>2332</v>
      </c>
      <c r="K4" s="3652"/>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3" t="s">
        <v>2336</v>
      </c>
      <c r="B6" s="3654"/>
      <c r="C6" s="3655"/>
      <c r="D6" s="2868"/>
      <c r="E6" s="2869"/>
      <c r="F6" s="2870"/>
      <c r="G6" s="2871"/>
      <c r="H6" s="2846"/>
      <c r="I6" s="2847"/>
      <c r="J6" s="3656">
        <v>1</v>
      </c>
      <c r="K6" s="3657"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56"/>
      <c r="K7" s="3658"/>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0" t="s">
        <v>2350</v>
      </c>
      <c r="C8" s="3661"/>
      <c r="D8" s="2887" t="s">
        <v>2351</v>
      </c>
      <c r="E8" s="2888" t="s">
        <v>2352</v>
      </c>
      <c r="F8" s="2889" t="s">
        <v>2353</v>
      </c>
      <c r="G8" s="2890"/>
      <c r="H8" s="2846"/>
      <c r="I8" s="2847"/>
      <c r="J8" s="3656"/>
      <c r="K8" s="3658"/>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0" t="s">
        <v>2356</v>
      </c>
      <c r="C9" s="3661"/>
      <c r="D9" s="2887">
        <f>ROUND(D6*E9,0)</f>
        <v>0</v>
      </c>
      <c r="E9" s="2891"/>
      <c r="F9" s="2892" t="s">
        <v>2357</v>
      </c>
      <c r="G9" s="2871"/>
      <c r="H9" s="2846"/>
      <c r="I9" s="2847"/>
      <c r="J9" s="3656"/>
      <c r="K9" s="3658"/>
      <c r="L9" s="2881" t="s">
        <v>2358</v>
      </c>
      <c r="M9" s="2882"/>
      <c r="N9" s="2858"/>
      <c r="O9" s="2883"/>
      <c r="P9" s="2883"/>
      <c r="Q9" s="2884">
        <v>365</v>
      </c>
      <c r="R9" s="2885">
        <f t="shared" si="0"/>
        <v>0</v>
      </c>
      <c r="S9" s="2839"/>
      <c r="T9" s="2839"/>
      <c r="U9" s="2839"/>
      <c r="V9" s="2847"/>
    </row>
    <row r="10" spans="1:22" s="2851" customFormat="1" ht="13.15" customHeight="1">
      <c r="A10" s="2886">
        <v>2</v>
      </c>
      <c r="B10" s="3660" t="s">
        <v>2359</v>
      </c>
      <c r="C10" s="3661"/>
      <c r="D10" s="2887">
        <f>ROUND(D6*E10,0)</f>
        <v>0</v>
      </c>
      <c r="E10" s="2891"/>
      <c r="F10" s="2892" t="s">
        <v>2360</v>
      </c>
      <c r="G10" s="2871"/>
      <c r="H10" s="2846"/>
      <c r="I10" s="2847"/>
      <c r="J10" s="3656"/>
      <c r="K10" s="3658"/>
      <c r="L10" s="2881" t="s">
        <v>2361</v>
      </c>
      <c r="M10" s="2882"/>
      <c r="N10" s="2858"/>
      <c r="O10" s="2883"/>
      <c r="P10" s="2883"/>
      <c r="Q10" s="2884">
        <v>365</v>
      </c>
      <c r="R10" s="2885">
        <f t="shared" si="0"/>
        <v>0</v>
      </c>
      <c r="S10" s="2839"/>
      <c r="T10" s="2839"/>
      <c r="U10" s="2839"/>
      <c r="V10" s="2847"/>
    </row>
    <row r="11" spans="1:22" s="2851" customFormat="1" ht="13.15" customHeight="1">
      <c r="A11" s="2886">
        <v>3</v>
      </c>
      <c r="B11" s="3660" t="s">
        <v>2362</v>
      </c>
      <c r="C11" s="3661"/>
      <c r="D11" s="2887">
        <f>D12+D14+D15+D16</f>
        <v>0</v>
      </c>
      <c r="E11" s="2893" t="e">
        <f>D11/D6</f>
        <v>#DIV/0!</v>
      </c>
      <c r="F11" s="2889"/>
      <c r="G11" s="2890"/>
      <c r="H11" s="2846"/>
      <c r="I11" s="2847"/>
      <c r="J11" s="3656"/>
      <c r="K11" s="3658"/>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62" t="s">
        <v>2365</v>
      </c>
      <c r="C12" s="3663"/>
      <c r="D12" s="2895">
        <f>ROUND(D13*1.2%*(1-30%),0)</f>
        <v>0</v>
      </c>
      <c r="E12" s="2896">
        <v>1.2E-2</v>
      </c>
      <c r="F12" s="2889" t="s">
        <v>2366</v>
      </c>
      <c r="G12" s="2890"/>
      <c r="H12" s="2846"/>
      <c r="I12" s="2847"/>
      <c r="J12" s="3656"/>
      <c r="K12" s="3658"/>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56"/>
      <c r="K13" s="3658"/>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62" t="s">
        <v>2371</v>
      </c>
      <c r="C14" s="3663"/>
      <c r="D14" s="2895">
        <f>ROUND(E14*B5/10000,0)</f>
        <v>0</v>
      </c>
      <c r="E14" s="2884"/>
      <c r="F14" s="2889" t="s">
        <v>2372</v>
      </c>
      <c r="G14" s="2890"/>
      <c r="H14" s="2846"/>
      <c r="I14" s="2847"/>
      <c r="J14" s="3656"/>
      <c r="K14" s="3659"/>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62" t="s">
        <v>2375</v>
      </c>
      <c r="C15" s="3663"/>
      <c r="D15" s="2895">
        <f>ROUND(D6*E15,0)</f>
        <v>0</v>
      </c>
      <c r="E15" s="2896">
        <v>5.5E-2</v>
      </c>
      <c r="F15" s="2889" t="s">
        <v>2376</v>
      </c>
      <c r="G15" s="2871"/>
      <c r="H15" s="2846"/>
      <c r="I15" s="2847"/>
      <c r="J15" s="3656">
        <v>2</v>
      </c>
      <c r="K15" s="3657"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62" t="s">
        <v>2384</v>
      </c>
      <c r="C16" s="3663"/>
      <c r="D16" s="2906">
        <f>D6*E16</f>
        <v>0</v>
      </c>
      <c r="E16" s="2907"/>
      <c r="F16" s="2892" t="s">
        <v>2385</v>
      </c>
      <c r="G16" s="2871"/>
      <c r="H16" s="2846"/>
      <c r="I16" s="2847"/>
      <c r="J16" s="3656"/>
      <c r="K16" s="3658"/>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64" t="s">
        <v>2387</v>
      </c>
      <c r="C17" s="3665"/>
      <c r="D17" s="2909">
        <f>ROUND(D6*E17,0)</f>
        <v>0</v>
      </c>
      <c r="E17" s="2910"/>
      <c r="F17" s="2911" t="s">
        <v>2388</v>
      </c>
      <c r="G17" s="2871"/>
      <c r="H17" s="2846"/>
      <c r="I17" s="2847"/>
      <c r="J17" s="3656"/>
      <c r="K17" s="3658"/>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56"/>
      <c r="K18" s="3658"/>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56"/>
      <c r="K19" s="3659"/>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6">
        <v>3</v>
      </c>
      <c r="K20" s="3657"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56"/>
      <c r="K21" s="3658"/>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56"/>
      <c r="K22" s="3658"/>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56"/>
      <c r="K23" s="3658"/>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56"/>
      <c r="K24" s="3659"/>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6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9" t="s">
        <v>2320</v>
      </c>
      <c r="K32" s="3650"/>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1" t="s">
        <v>2330</v>
      </c>
      <c r="K33" s="3652"/>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1" t="s">
        <v>2332</v>
      </c>
      <c r="K34" s="365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56">
        <v>1</v>
      </c>
      <c r="K36" s="3657"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56"/>
      <c r="K37" s="3658"/>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6"/>
      <c r="K38" s="3658"/>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56"/>
      <c r="K39" s="3658"/>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56"/>
      <c r="K40" s="3659"/>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5" t="s">
        <v>1658</v>
      </c>
      <c r="B1" s="1866"/>
      <c r="C1" s="1866"/>
      <c r="D1" s="1866"/>
      <c r="E1" s="1867"/>
      <c r="F1" s="2705"/>
      <c r="G1" s="1488"/>
      <c r="H1" s="1488"/>
      <c r="I1" s="1488"/>
      <c r="J1" s="1488"/>
      <c r="K1" s="1488"/>
      <c r="L1" s="1488"/>
      <c r="M1" s="1488"/>
      <c r="N1" s="1488"/>
      <c r="O1" s="1488"/>
      <c r="P1" s="1488"/>
      <c r="Q1" s="1488"/>
      <c r="R1" s="1488"/>
      <c r="S1" s="1488"/>
    </row>
    <row r="2" spans="1:22" ht="15.75">
      <c r="A2" s="1868" t="s">
        <v>1462</v>
      </c>
      <c r="B2" s="1869">
        <f ca="1">SUMIF(B6:B13,"&lt;&gt;#ref!",B6:B13)</f>
        <v>57509</v>
      </c>
      <c r="C2" s="1870" t="s">
        <v>1651</v>
      </c>
      <c r="D2" s="1871" t="s">
        <v>1652</v>
      </c>
      <c r="E2" s="2605">
        <f>SUM(E6:E13)</f>
        <v>90300.22</v>
      </c>
      <c r="F2" s="2705"/>
      <c r="G2" s="1488"/>
      <c r="H2" s="1488"/>
      <c r="I2" s="1488"/>
      <c r="J2" s="1488"/>
      <c r="K2" s="1488"/>
      <c r="L2" s="1488"/>
      <c r="M2" s="1488"/>
      <c r="N2" s="1488"/>
      <c r="O2" s="1488"/>
      <c r="P2" s="1488"/>
      <c r="Q2" s="1488"/>
      <c r="R2" s="1488"/>
      <c r="S2" s="1488"/>
    </row>
    <row r="3" spans="1:22" ht="15.75">
      <c r="A3" s="1868" t="s">
        <v>686</v>
      </c>
      <c r="B3" s="2599">
        <f ca="1">ROUND(B2*10000/E2,0)</f>
        <v>6369</v>
      </c>
      <c r="C3" s="1870"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668" t="s">
        <v>1654</v>
      </c>
      <c r="C5" s="3669"/>
      <c r="D5" s="2706"/>
      <c r="E5" s="1872" t="s">
        <v>1655</v>
      </c>
      <c r="F5" s="1873" t="s">
        <v>1656</v>
      </c>
      <c r="G5" s="1488"/>
      <c r="H5" s="1488"/>
      <c r="I5" s="1488"/>
      <c r="J5" s="1488"/>
      <c r="K5" s="1488"/>
      <c r="L5" s="1488"/>
      <c r="M5" s="1488"/>
      <c r="N5" s="1488"/>
      <c r="O5" s="1488"/>
      <c r="P5" s="1488"/>
      <c r="Q5" s="1488"/>
      <c r="R5" s="1488"/>
      <c r="S5" s="1488"/>
    </row>
    <row r="6" spans="1:22">
      <c r="A6" s="2602" t="str">
        <f>'数据-取费表'!AN6</f>
        <v>收益法</v>
      </c>
      <c r="B6" s="2600">
        <f ca="1">IF(F6="是",'数据-取费表'!AO6,0)</f>
        <v>57509</v>
      </c>
      <c r="C6" s="1870" t="s">
        <v>1651</v>
      </c>
      <c r="D6" s="2707"/>
      <c r="E6" s="2604">
        <f>IF(OR(A6=0,F6="否"),0,'数据-取费表'!K6+'数据-取费表'!S6)</f>
        <v>90300.22</v>
      </c>
      <c r="F6" s="1874"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0" t="s">
        <v>1651</v>
      </c>
      <c r="D7" s="2707"/>
      <c r="E7" s="2604">
        <f>IF(OR(A7=0,F7="否"),0,'数据-取费表'!K7+'数据-取费表'!S7)</f>
        <v>0</v>
      </c>
      <c r="F7" s="1874"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0" t="s">
        <v>1651</v>
      </c>
      <c r="D8" s="2707"/>
      <c r="E8" s="2604">
        <f>IF(OR(A8=0,F8="否"),0,'数据-取费表'!K8+'数据-取费表'!S8)</f>
        <v>0</v>
      </c>
      <c r="F8" s="1874"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0" t="s">
        <v>1651</v>
      </c>
      <c r="D9" s="2707"/>
      <c r="E9" s="2604">
        <f>IF(OR(A9=0,F9="否"),0,'数据-取费表'!K9+'数据-取费表'!S9)</f>
        <v>0</v>
      </c>
      <c r="F9" s="1874"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0" t="s">
        <v>1651</v>
      </c>
      <c r="D10" s="2707"/>
      <c r="E10" s="2604">
        <f>IF(OR(A10=0,F10="否"),0,'数据-取费表'!K10+'数据-取费表'!S10)</f>
        <v>0</v>
      </c>
      <c r="F10" s="1874"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0" t="s">
        <v>1651</v>
      </c>
      <c r="D11" s="2707"/>
      <c r="E11" s="2604">
        <f>IF(OR(A11=0,F11="否"),0,'数据-取费表'!K11+'数据-取费表'!S11)</f>
        <v>0</v>
      </c>
      <c r="F11" s="1874"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0" t="s">
        <v>1651</v>
      </c>
      <c r="D12" s="2707"/>
      <c r="E12" s="2604">
        <f>IF(OR(A12=0,F12="否"),0,'数据-取费表'!K12+'数据-取费表'!S12)</f>
        <v>0</v>
      </c>
      <c r="F12" s="1874"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6" t="s">
        <v>1661</v>
      </c>
      <c r="C1" s="1237" t="s">
        <v>1662</v>
      </c>
      <c r="D1" s="1224"/>
      <c r="E1" s="3424"/>
      <c r="F1" s="1877"/>
      <c r="G1" s="1234" t="s">
        <v>1663</v>
      </c>
      <c r="H1" s="1233"/>
      <c r="I1" s="1233"/>
      <c r="J1" s="1233"/>
      <c r="K1" s="1235"/>
      <c r="L1" s="1236"/>
      <c r="M1" s="1237"/>
      <c r="N1" s="1237"/>
      <c r="O1" s="1237"/>
      <c r="P1" s="1878"/>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90300.22</v>
      </c>
      <c r="E3" s="906"/>
      <c r="F3" s="1886"/>
      <c r="G3" s="906"/>
      <c r="H3" s="906"/>
      <c r="I3" s="906"/>
      <c r="J3" s="906"/>
      <c r="K3" s="1882"/>
      <c r="L3" s="2711"/>
      <c r="M3" s="2712"/>
      <c r="N3" s="2712"/>
      <c r="O3" s="2712"/>
      <c r="P3" s="1883"/>
      <c r="Q3" s="1884"/>
      <c r="R3" s="1884"/>
      <c r="S3" s="1884"/>
      <c r="T3" s="1884"/>
      <c r="U3" s="1884"/>
      <c r="V3" s="1884"/>
      <c r="W3" s="1884"/>
      <c r="X3" s="1884"/>
      <c r="Y3" s="1884"/>
      <c r="Z3" s="1884"/>
      <c r="AA3" s="1884"/>
      <c r="AB3" s="1884"/>
      <c r="AC3" s="1060"/>
    </row>
    <row r="4" spans="1:29" ht="15">
      <c r="A4" s="355" t="s">
        <v>1666</v>
      </c>
      <c r="B4" s="356"/>
      <c r="C4" s="3688" t="s">
        <v>1667</v>
      </c>
      <c r="D4" s="3689"/>
      <c r="E4" s="3690" t="s">
        <v>1668</v>
      </c>
      <c r="F4" s="3691"/>
      <c r="G4" s="3688" t="s">
        <v>1669</v>
      </c>
      <c r="H4" s="3689"/>
      <c r="I4" s="3688" t="s">
        <v>1670</v>
      </c>
      <c r="J4" s="3689"/>
      <c r="K4" s="1887" t="s">
        <v>1671</v>
      </c>
      <c r="L4" s="2713"/>
      <c r="M4" s="2714"/>
      <c r="N4" s="2714"/>
      <c r="O4" s="2714"/>
      <c r="P4" s="3692" t="s">
        <v>1672</v>
      </c>
      <c r="Q4" s="3693"/>
      <c r="R4" s="3675" t="s">
        <v>1668</v>
      </c>
      <c r="S4" s="3676"/>
      <c r="T4" s="3675" t="s">
        <v>1669</v>
      </c>
      <c r="U4" s="3676"/>
      <c r="V4" s="3700" t="s">
        <v>1670</v>
      </c>
      <c r="W4" s="3700"/>
      <c r="X4" s="1354"/>
      <c r="Y4" s="3675" t="s">
        <v>1672</v>
      </c>
      <c r="Z4" s="3676"/>
      <c r="AA4" s="3670" t="s">
        <v>1668</v>
      </c>
      <c r="AB4" s="3670" t="s">
        <v>1669</v>
      </c>
      <c r="AC4" s="3670" t="s">
        <v>1670</v>
      </c>
    </row>
    <row r="5" spans="1:29" ht="15">
      <c r="A5" s="358"/>
      <c r="B5" s="359"/>
      <c r="C5" s="3681" t="s">
        <v>1673</v>
      </c>
      <c r="D5" s="3682"/>
      <c r="E5" s="3679" t="s">
        <v>1674</v>
      </c>
      <c r="F5" s="3680"/>
      <c r="G5" s="3681" t="s">
        <v>1675</v>
      </c>
      <c r="H5" s="3682"/>
      <c r="I5" s="3681" t="s">
        <v>1676</v>
      </c>
      <c r="J5" s="3682"/>
      <c r="K5" s="1888"/>
      <c r="L5" s="2713"/>
      <c r="M5" s="2714"/>
      <c r="N5" s="2714"/>
      <c r="O5" s="2714"/>
      <c r="P5" s="3694"/>
      <c r="Q5" s="3695"/>
      <c r="R5" s="3677"/>
      <c r="S5" s="3678"/>
      <c r="T5" s="3677"/>
      <c r="U5" s="3678"/>
      <c r="V5" s="3700"/>
      <c r="W5" s="3700"/>
      <c r="X5" s="1354"/>
      <c r="Y5" s="3677"/>
      <c r="Z5" s="3678"/>
      <c r="AA5" s="3671"/>
      <c r="AB5" s="3671"/>
      <c r="AC5" s="3671"/>
    </row>
    <row r="6" spans="1:29" ht="15.75" thickBot="1">
      <c r="A6" s="360"/>
      <c r="B6" s="361"/>
      <c r="C6" s="3683" t="s">
        <v>1677</v>
      </c>
      <c r="D6" s="3684"/>
      <c r="E6" s="3685" t="s">
        <v>1677</v>
      </c>
      <c r="F6" s="3686"/>
      <c r="G6" s="3683" t="s">
        <v>1677</v>
      </c>
      <c r="H6" s="3684"/>
      <c r="I6" s="3683" t="s">
        <v>1677</v>
      </c>
      <c r="J6" s="3684"/>
      <c r="K6" s="1888" t="s">
        <v>1678</v>
      </c>
      <c r="L6" s="2713"/>
      <c r="M6" s="2714"/>
      <c r="N6" s="2714"/>
      <c r="O6" s="2714"/>
      <c r="P6" s="3696"/>
      <c r="Q6" s="3697"/>
      <c r="R6" s="3677"/>
      <c r="S6" s="3678"/>
      <c r="T6" s="3698"/>
      <c r="U6" s="3699"/>
      <c r="V6" s="3700"/>
      <c r="W6" s="3700"/>
      <c r="X6" s="1354"/>
      <c r="Y6" s="3698"/>
      <c r="Z6" s="3699"/>
      <c r="AA6" s="3672"/>
      <c r="AB6" s="3672"/>
      <c r="AC6" s="3672"/>
    </row>
    <row r="7" spans="1:29" s="108" customFormat="1" ht="15.75" thickBot="1">
      <c r="A7" s="362" t="s">
        <v>1679</v>
      </c>
      <c r="B7" s="363"/>
      <c r="C7" s="364">
        <f>'数据-取费表'!B2</f>
        <v>45240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73" t="s">
        <v>1680</v>
      </c>
      <c r="Q7" s="3701"/>
      <c r="R7" s="700" t="s">
        <v>20</v>
      </c>
      <c r="S7" s="701">
        <f t="shared" ref="S7:S15" si="0">F7</f>
        <v>0</v>
      </c>
      <c r="T7" s="700" t="s">
        <v>20</v>
      </c>
      <c r="U7" s="701">
        <f t="shared" ref="U7:U15" si="1">H7</f>
        <v>0</v>
      </c>
      <c r="V7" s="700" t="s">
        <v>20</v>
      </c>
      <c r="W7" s="701">
        <f t="shared" ref="W7:W15" si="2">J7</f>
        <v>0</v>
      </c>
      <c r="X7" s="702"/>
      <c r="Y7" s="3673" t="s">
        <v>1680</v>
      </c>
      <c r="Z7" s="3674"/>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73" t="s">
        <v>1683</v>
      </c>
      <c r="Q8" s="3674"/>
      <c r="R8" s="700" t="s">
        <v>20</v>
      </c>
      <c r="S8" s="701">
        <f t="shared" si="0"/>
        <v>100</v>
      </c>
      <c r="T8" s="700" t="s">
        <v>20</v>
      </c>
      <c r="U8" s="701">
        <f t="shared" si="1"/>
        <v>100</v>
      </c>
      <c r="V8" s="700" t="s">
        <v>20</v>
      </c>
      <c r="W8" s="701">
        <f t="shared" si="2"/>
        <v>100</v>
      </c>
      <c r="X8" s="702"/>
      <c r="Y8" s="3673" t="s">
        <v>1683</v>
      </c>
      <c r="Z8" s="367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7" t="s">
        <v>1686</v>
      </c>
      <c r="Q9" s="1342"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7"/>
      <c r="Q10" s="1342"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7"/>
      <c r="Q11" s="1342" t="str">
        <f t="shared" si="6"/>
        <v>容积率</v>
      </c>
      <c r="R11" s="700" t="s">
        <v>18</v>
      </c>
      <c r="S11" s="701" t="e">
        <f t="shared" si="0"/>
        <v>#N/A</v>
      </c>
      <c r="T11" s="700" t="s">
        <v>18</v>
      </c>
      <c r="U11" s="701" t="e">
        <f t="shared" si="1"/>
        <v>#N/A</v>
      </c>
      <c r="V11" s="700" t="s">
        <v>18</v>
      </c>
      <c r="W11" s="701" t="e">
        <f t="shared" si="2"/>
        <v>#N/A</v>
      </c>
      <c r="X11" s="702"/>
      <c r="Y11" s="3617"/>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7"/>
      <c r="Q12" s="1342">
        <f t="shared" si="6"/>
        <v>111</v>
      </c>
      <c r="R12" s="700" t="s">
        <v>18</v>
      </c>
      <c r="S12" s="701">
        <f t="shared" si="0"/>
        <v>100</v>
      </c>
      <c r="T12" s="700" t="s">
        <v>18</v>
      </c>
      <c r="U12" s="701">
        <f t="shared" si="1"/>
        <v>100</v>
      </c>
      <c r="V12" s="700" t="s">
        <v>18</v>
      </c>
      <c r="W12" s="701">
        <f t="shared" si="2"/>
        <v>100</v>
      </c>
      <c r="X12" s="702"/>
      <c r="Y12" s="3617"/>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7"/>
      <c r="Q13" s="1342">
        <f t="shared" si="6"/>
        <v>111</v>
      </c>
      <c r="R13" s="700" t="s">
        <v>18</v>
      </c>
      <c r="S13" s="701">
        <f t="shared" si="0"/>
        <v>100</v>
      </c>
      <c r="T13" s="700" t="s">
        <v>18</v>
      </c>
      <c r="U13" s="701">
        <f t="shared" si="1"/>
        <v>100</v>
      </c>
      <c r="V13" s="700" t="s">
        <v>18</v>
      </c>
      <c r="W13" s="701">
        <f t="shared" si="2"/>
        <v>100</v>
      </c>
      <c r="X13" s="702"/>
      <c r="Y13" s="3617"/>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7"/>
      <c r="Q14" s="1342">
        <f t="shared" si="6"/>
        <v>111</v>
      </c>
      <c r="R14" s="700" t="s">
        <v>18</v>
      </c>
      <c r="S14" s="701">
        <f t="shared" si="0"/>
        <v>100</v>
      </c>
      <c r="T14" s="700" t="s">
        <v>18</v>
      </c>
      <c r="U14" s="701">
        <f t="shared" si="1"/>
        <v>100</v>
      </c>
      <c r="V14" s="700" t="s">
        <v>18</v>
      </c>
      <c r="W14" s="701">
        <f t="shared" si="2"/>
        <v>100</v>
      </c>
      <c r="X14" s="702"/>
      <c r="Y14" s="3617"/>
      <c r="Z14" s="52">
        <f t="shared" si="7"/>
        <v>111</v>
      </c>
      <c r="AA14" s="703">
        <f t="shared" si="3"/>
        <v>1</v>
      </c>
      <c r="AB14" s="703">
        <f t="shared" si="4"/>
        <v>1</v>
      </c>
      <c r="AC14" s="703">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4" t="s">
        <v>1691</v>
      </c>
      <c r="Q15" s="1351" t="str">
        <f t="shared" si="6"/>
        <v>居住社区成熟度</v>
      </c>
      <c r="R15" s="704" t="s">
        <v>18</v>
      </c>
      <c r="S15" s="705">
        <f t="shared" si="0"/>
        <v>100</v>
      </c>
      <c r="T15" s="704" t="s">
        <v>18</v>
      </c>
      <c r="U15" s="705">
        <f t="shared" si="1"/>
        <v>100</v>
      </c>
      <c r="V15" s="704" t="s">
        <v>18</v>
      </c>
      <c r="W15" s="705">
        <f t="shared" si="2"/>
        <v>100</v>
      </c>
      <c r="X15" s="1354"/>
      <c r="Y15" s="3707" t="s">
        <v>1691</v>
      </c>
      <c r="Z15" s="1355" t="str">
        <f t="shared" si="7"/>
        <v>居住社区成熟度</v>
      </c>
      <c r="AA15" s="1352">
        <f t="shared" si="3"/>
        <v>1</v>
      </c>
      <c r="AB15" s="1352">
        <f t="shared" si="4"/>
        <v>1</v>
      </c>
      <c r="AC15" s="1352">
        <f t="shared" si="5"/>
        <v>1</v>
      </c>
    </row>
    <row r="16" spans="1:29" ht="15">
      <c r="A16" s="379"/>
      <c r="B16" s="397"/>
      <c r="C16" s="398"/>
      <c r="D16" s="399"/>
      <c r="E16" s="1895"/>
      <c r="F16" s="399"/>
      <c r="G16" s="1896"/>
      <c r="H16" s="401"/>
      <c r="I16" s="1896"/>
      <c r="J16" s="399"/>
      <c r="K16" s="1897"/>
      <c r="L16" s="2720"/>
      <c r="M16" s="2714"/>
      <c r="N16" s="2714"/>
      <c r="O16" s="2714"/>
      <c r="P16" s="3715"/>
      <c r="Q16" s="1351"/>
      <c r="R16" s="704"/>
      <c r="S16" s="705"/>
      <c r="T16" s="704"/>
      <c r="U16" s="705"/>
      <c r="V16" s="704"/>
      <c r="W16" s="705"/>
      <c r="X16" s="1354"/>
      <c r="Y16" s="3708"/>
      <c r="Z16" s="1355"/>
      <c r="AA16" s="1352">
        <v>1</v>
      </c>
      <c r="AB16" s="1352">
        <v>1</v>
      </c>
      <c r="AC16" s="1352">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5"/>
      <c r="Q17" s="1351" t="str">
        <f>B17</f>
        <v>交通便捷度</v>
      </c>
      <c r="R17" s="704" t="s">
        <v>18</v>
      </c>
      <c r="S17" s="705">
        <f>F17</f>
        <v>100</v>
      </c>
      <c r="T17" s="704" t="s">
        <v>18</v>
      </c>
      <c r="U17" s="705">
        <f>H17</f>
        <v>100</v>
      </c>
      <c r="V17" s="704" t="s">
        <v>18</v>
      </c>
      <c r="W17" s="705">
        <f>J17</f>
        <v>100</v>
      </c>
      <c r="X17" s="1354"/>
      <c r="Y17" s="3708"/>
      <c r="Z17" s="1355" t="str">
        <f>Q17</f>
        <v>交通便捷度</v>
      </c>
      <c r="AA17" s="1352">
        <f t="shared" si="3"/>
        <v>1</v>
      </c>
      <c r="AB17" s="1352">
        <f t="shared" si="4"/>
        <v>1</v>
      </c>
      <c r="AC17" s="1352">
        <f t="shared" si="5"/>
        <v>1</v>
      </c>
    </row>
    <row r="18" spans="1:29" ht="15">
      <c r="A18" s="379"/>
      <c r="B18" s="407"/>
      <c r="C18" s="1899"/>
      <c r="D18" s="401"/>
      <c r="E18" s="1900"/>
      <c r="F18" s="401"/>
      <c r="G18" s="1901"/>
      <c r="H18" s="399"/>
      <c r="I18" s="1901"/>
      <c r="J18" s="399"/>
      <c r="K18" s="1897"/>
      <c r="L18" s="2720"/>
      <c r="M18" s="2714"/>
      <c r="N18" s="2714"/>
      <c r="O18" s="2714"/>
      <c r="P18" s="3715"/>
      <c r="Q18" s="1351"/>
      <c r="R18" s="704"/>
      <c r="S18" s="705"/>
      <c r="T18" s="704"/>
      <c r="U18" s="705"/>
      <c r="V18" s="704"/>
      <c r="W18" s="705"/>
      <c r="X18" s="1354"/>
      <c r="Y18" s="3708"/>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5"/>
      <c r="Q19" s="1351" t="str">
        <f>B19</f>
        <v>公共配套设施</v>
      </c>
      <c r="R19" s="704" t="s">
        <v>18</v>
      </c>
      <c r="S19" s="705">
        <f>F19</f>
        <v>100</v>
      </c>
      <c r="T19" s="704" t="s">
        <v>18</v>
      </c>
      <c r="U19" s="705">
        <f>H19</f>
        <v>100</v>
      </c>
      <c r="V19" s="704" t="s">
        <v>18</v>
      </c>
      <c r="W19" s="705">
        <f>J19</f>
        <v>100</v>
      </c>
      <c r="X19" s="1354"/>
      <c r="Y19" s="3708"/>
      <c r="Z19" s="1355" t="str">
        <f>Q19</f>
        <v>公共配套设施</v>
      </c>
      <c r="AA19" s="1352">
        <f t="shared" si="3"/>
        <v>1</v>
      </c>
      <c r="AB19" s="1352">
        <f t="shared" si="4"/>
        <v>1</v>
      </c>
      <c r="AC19" s="1352">
        <f t="shared" si="5"/>
        <v>1</v>
      </c>
    </row>
    <row r="20" spans="1:29" ht="15">
      <c r="A20" s="379"/>
      <c r="B20" s="407"/>
      <c r="C20" s="398"/>
      <c r="D20" s="399"/>
      <c r="E20" s="1895"/>
      <c r="F20" s="399"/>
      <c r="G20" s="1896"/>
      <c r="H20" s="399"/>
      <c r="I20" s="1896"/>
      <c r="J20" s="399"/>
      <c r="K20" s="1897"/>
      <c r="L20" s="2720"/>
      <c r="M20" s="2714"/>
      <c r="N20" s="2714"/>
      <c r="O20" s="2714"/>
      <c r="P20" s="3715"/>
      <c r="Q20" s="1351"/>
      <c r="R20" s="704"/>
      <c r="S20" s="705"/>
      <c r="T20" s="704"/>
      <c r="U20" s="705"/>
      <c r="V20" s="704"/>
      <c r="W20" s="705"/>
      <c r="X20" s="1354"/>
      <c r="Y20" s="3708"/>
      <c r="Z20" s="1355"/>
      <c r="AA20" s="1352">
        <v>1</v>
      </c>
      <c r="AB20" s="1352">
        <v>1</v>
      </c>
      <c r="AC20" s="1352">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5"/>
      <c r="Q21" s="1351" t="str">
        <f>B21</f>
        <v>基础设施水平</v>
      </c>
      <c r="R21" s="704" t="s">
        <v>14</v>
      </c>
      <c r="S21" s="705">
        <f>F21</f>
        <v>100</v>
      </c>
      <c r="T21" s="704" t="s">
        <v>14</v>
      </c>
      <c r="U21" s="705">
        <f>H21</f>
        <v>100</v>
      </c>
      <c r="V21" s="704" t="s">
        <v>14</v>
      </c>
      <c r="W21" s="705">
        <f>J21</f>
        <v>100</v>
      </c>
      <c r="X21" s="1354"/>
      <c r="Y21" s="3708"/>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399"/>
      <c r="G22" s="1902"/>
      <c r="H22" s="399"/>
      <c r="I22" s="398"/>
      <c r="J22" s="399"/>
      <c r="K22" s="1903"/>
      <c r="L22" s="2720"/>
      <c r="M22" s="2714"/>
      <c r="N22" s="2714"/>
      <c r="O22" s="2714"/>
      <c r="P22" s="3715"/>
      <c r="Q22" s="1351"/>
      <c r="R22" s="704"/>
      <c r="S22" s="705"/>
      <c r="T22" s="704"/>
      <c r="U22" s="705"/>
      <c r="V22" s="704"/>
      <c r="W22" s="705"/>
      <c r="X22" s="1354"/>
      <c r="Y22" s="3708"/>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5"/>
      <c r="Q23" s="1351" t="str">
        <f>B23</f>
        <v>自然及人文环境</v>
      </c>
      <c r="R23" s="704" t="s">
        <v>18</v>
      </c>
      <c r="S23" s="705">
        <f>F23</f>
        <v>100</v>
      </c>
      <c r="T23" s="704" t="s">
        <v>18</v>
      </c>
      <c r="U23" s="705">
        <f>H23</f>
        <v>100</v>
      </c>
      <c r="V23" s="704" t="s">
        <v>18</v>
      </c>
      <c r="W23" s="705">
        <f>J23</f>
        <v>100</v>
      </c>
      <c r="X23" s="1354"/>
      <c r="Y23" s="3708"/>
      <c r="Z23" s="1355" t="str">
        <f>Q23</f>
        <v>自然及人文环境</v>
      </c>
      <c r="AA23" s="1352">
        <f>D23/F23</f>
        <v>1</v>
      </c>
      <c r="AB23" s="1352">
        <f>D23/H23</f>
        <v>1</v>
      </c>
      <c r="AC23" s="1352">
        <f>D23/J23</f>
        <v>1</v>
      </c>
    </row>
    <row r="24" spans="1:29" ht="15">
      <c r="A24" s="379"/>
      <c r="B24" s="407"/>
      <c r="C24" s="398"/>
      <c r="D24" s="399"/>
      <c r="E24" s="1895"/>
      <c r="F24" s="399"/>
      <c r="G24" s="1896"/>
      <c r="H24" s="399"/>
      <c r="I24" s="1896"/>
      <c r="J24" s="399"/>
      <c r="K24" s="1897"/>
      <c r="L24" s="2720"/>
      <c r="M24" s="2714"/>
      <c r="N24" s="2714"/>
      <c r="O24" s="2714"/>
      <c r="P24" s="3715"/>
      <c r="Q24" s="1351"/>
      <c r="R24" s="704"/>
      <c r="S24" s="705"/>
      <c r="T24" s="704"/>
      <c r="U24" s="705"/>
      <c r="V24" s="704"/>
      <c r="W24" s="705"/>
      <c r="X24" s="1354"/>
      <c r="Y24" s="3708"/>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15"/>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8"/>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15"/>
      <c r="Q26" s="1351" t="str">
        <f t="shared" si="11"/>
        <v>朝向</v>
      </c>
      <c r="R26" s="704" t="s">
        <v>18</v>
      </c>
      <c r="S26" s="705">
        <f t="shared" si="12"/>
        <v>100</v>
      </c>
      <c r="T26" s="704" t="s">
        <v>18</v>
      </c>
      <c r="U26" s="705">
        <f t="shared" si="13"/>
        <v>100</v>
      </c>
      <c r="V26" s="704" t="s">
        <v>18</v>
      </c>
      <c r="W26" s="705">
        <f t="shared" si="14"/>
        <v>100</v>
      </c>
      <c r="X26" s="1354"/>
      <c r="Y26" s="3708"/>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15"/>
      <c r="Q27" s="1342">
        <f t="shared" si="11"/>
        <v>111</v>
      </c>
      <c r="R27" s="700" t="s">
        <v>18</v>
      </c>
      <c r="S27" s="701">
        <f t="shared" si="12"/>
        <v>100</v>
      </c>
      <c r="T27" s="700" t="s">
        <v>18</v>
      </c>
      <c r="U27" s="701">
        <f t="shared" si="13"/>
        <v>100</v>
      </c>
      <c r="V27" s="700" t="s">
        <v>18</v>
      </c>
      <c r="W27" s="701">
        <f t="shared" si="14"/>
        <v>100</v>
      </c>
      <c r="X27" s="702"/>
      <c r="Y27" s="3708"/>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15"/>
      <c r="Q28" s="1351">
        <f t="shared" si="11"/>
        <v>111</v>
      </c>
      <c r="R28" s="704" t="s">
        <v>18</v>
      </c>
      <c r="S28" s="705">
        <f t="shared" si="12"/>
        <v>100</v>
      </c>
      <c r="T28" s="704" t="s">
        <v>18</v>
      </c>
      <c r="U28" s="705">
        <f t="shared" si="13"/>
        <v>100</v>
      </c>
      <c r="V28" s="704" t="s">
        <v>18</v>
      </c>
      <c r="W28" s="705">
        <f t="shared" si="14"/>
        <v>100</v>
      </c>
      <c r="X28" s="1354"/>
      <c r="Y28" s="3708"/>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15"/>
      <c r="Q29" s="1351">
        <f t="shared" si="11"/>
        <v>111</v>
      </c>
      <c r="R29" s="704" t="s">
        <v>18</v>
      </c>
      <c r="S29" s="705">
        <f t="shared" si="12"/>
        <v>100</v>
      </c>
      <c r="T29" s="704" t="s">
        <v>18</v>
      </c>
      <c r="U29" s="705">
        <f t="shared" si="13"/>
        <v>100</v>
      </c>
      <c r="V29" s="704" t="s">
        <v>18</v>
      </c>
      <c r="W29" s="705">
        <f t="shared" si="14"/>
        <v>100</v>
      </c>
      <c r="X29" s="1354"/>
      <c r="Y29" s="3708"/>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15"/>
      <c r="Q30" s="1351">
        <f t="shared" si="11"/>
        <v>111</v>
      </c>
      <c r="R30" s="704" t="s">
        <v>18</v>
      </c>
      <c r="S30" s="705">
        <f t="shared" si="12"/>
        <v>100</v>
      </c>
      <c r="T30" s="704" t="s">
        <v>18</v>
      </c>
      <c r="U30" s="705">
        <f t="shared" si="13"/>
        <v>100</v>
      </c>
      <c r="V30" s="704" t="s">
        <v>18</v>
      </c>
      <c r="W30" s="705">
        <f t="shared" si="14"/>
        <v>100</v>
      </c>
      <c r="X30" s="1354"/>
      <c r="Y30" s="3708"/>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15"/>
      <c r="Q31" s="1351">
        <f t="shared" si="11"/>
        <v>111</v>
      </c>
      <c r="R31" s="704" t="s">
        <v>18</v>
      </c>
      <c r="S31" s="705">
        <f t="shared" si="12"/>
        <v>100</v>
      </c>
      <c r="T31" s="704" t="s">
        <v>18</v>
      </c>
      <c r="U31" s="705">
        <f t="shared" si="13"/>
        <v>100</v>
      </c>
      <c r="V31" s="704" t="s">
        <v>18</v>
      </c>
      <c r="W31" s="705">
        <f t="shared" si="14"/>
        <v>100</v>
      </c>
      <c r="X31" s="1354"/>
      <c r="Y31" s="3708"/>
      <c r="Z31" s="1355">
        <f t="shared" si="18"/>
        <v>111</v>
      </c>
      <c r="AA31" s="1352">
        <f t="shared" si="15"/>
        <v>1</v>
      </c>
      <c r="AB31" s="1352">
        <f t="shared" si="16"/>
        <v>1</v>
      </c>
      <c r="AC31" s="1352">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9" t="s">
        <v>1696</v>
      </c>
      <c r="Q32" s="1351" t="str">
        <f t="shared" si="11"/>
        <v>建筑类型</v>
      </c>
      <c r="R32" s="704" t="s">
        <v>18</v>
      </c>
      <c r="S32" s="705">
        <f t="shared" si="12"/>
        <v>100</v>
      </c>
      <c r="T32" s="704" t="s">
        <v>18</v>
      </c>
      <c r="U32" s="705">
        <f t="shared" si="13"/>
        <v>100</v>
      </c>
      <c r="V32" s="704" t="s">
        <v>18</v>
      </c>
      <c r="W32" s="705">
        <f t="shared" si="14"/>
        <v>100</v>
      </c>
      <c r="X32" s="1354"/>
      <c r="Y32" s="371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10"/>
      <c r="Q33" s="706" t="str">
        <f t="shared" si="11"/>
        <v>项目建筑规模</v>
      </c>
      <c r="R33" s="707" t="s">
        <v>18</v>
      </c>
      <c r="S33" s="708" t="e">
        <f t="shared" si="12"/>
        <v>#N/A</v>
      </c>
      <c r="T33" s="707" t="s">
        <v>18</v>
      </c>
      <c r="U33" s="708" t="e">
        <f t="shared" si="13"/>
        <v>#N/A</v>
      </c>
      <c r="V33" s="707" t="s">
        <v>18</v>
      </c>
      <c r="W33" s="708" t="e">
        <f t="shared" si="14"/>
        <v>#N/A</v>
      </c>
      <c r="X33" s="709"/>
      <c r="Y33" s="3712"/>
      <c r="Z33" s="710" t="str">
        <f t="shared" si="18"/>
        <v>项目建筑规模</v>
      </c>
      <c r="AA33" s="1352" t="e">
        <f t="shared" si="15"/>
        <v>#N/A</v>
      </c>
      <c r="AB33" s="1352" t="e">
        <f t="shared" si="16"/>
        <v>#N/A</v>
      </c>
      <c r="AC33" s="1352"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10"/>
      <c r="Q34" s="1351" t="str">
        <f t="shared" si="11"/>
        <v>建筑结构</v>
      </c>
      <c r="R34" s="704" t="s">
        <v>18</v>
      </c>
      <c r="S34" s="705">
        <f t="shared" si="12"/>
        <v>100</v>
      </c>
      <c r="T34" s="704" t="s">
        <v>18</v>
      </c>
      <c r="U34" s="705">
        <f t="shared" si="13"/>
        <v>100</v>
      </c>
      <c r="V34" s="704" t="s">
        <v>18</v>
      </c>
      <c r="W34" s="705">
        <f t="shared" si="14"/>
        <v>100</v>
      </c>
      <c r="X34" s="1354"/>
      <c r="Y34" s="3712"/>
      <c r="Z34" s="1355" t="str">
        <f t="shared" si="18"/>
        <v>建筑结构</v>
      </c>
      <c r="AA34" s="1352">
        <f t="shared" si="15"/>
        <v>1</v>
      </c>
      <c r="AB34" s="1352">
        <f t="shared" si="16"/>
        <v>1</v>
      </c>
      <c r="AC34" s="1352">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10"/>
      <c r="Q35" s="1351" t="str">
        <f t="shared" si="11"/>
        <v>建筑品质</v>
      </c>
      <c r="R35" s="704" t="s">
        <v>18</v>
      </c>
      <c r="S35" s="705">
        <f t="shared" si="12"/>
        <v>100</v>
      </c>
      <c r="T35" s="704" t="s">
        <v>18</v>
      </c>
      <c r="U35" s="705">
        <f t="shared" si="13"/>
        <v>100</v>
      </c>
      <c r="V35" s="704" t="s">
        <v>18</v>
      </c>
      <c r="W35" s="705">
        <f t="shared" si="14"/>
        <v>100</v>
      </c>
      <c r="X35" s="1354"/>
      <c r="Y35" s="3712"/>
      <c r="Z35" s="1355" t="str">
        <f t="shared" si="18"/>
        <v>建筑品质</v>
      </c>
      <c r="AA35" s="1352">
        <f t="shared" si="15"/>
        <v>1</v>
      </c>
      <c r="AB35" s="1352">
        <f t="shared" si="16"/>
        <v>1</v>
      </c>
      <c r="AC35" s="1352">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10"/>
      <c r="Q36" s="1351" t="str">
        <f t="shared" si="11"/>
        <v>公共部分装修</v>
      </c>
      <c r="R36" s="704" t="s">
        <v>18</v>
      </c>
      <c r="S36" s="705">
        <f t="shared" si="12"/>
        <v>100</v>
      </c>
      <c r="T36" s="704" t="s">
        <v>18</v>
      </c>
      <c r="U36" s="705">
        <f t="shared" si="13"/>
        <v>100</v>
      </c>
      <c r="V36" s="704" t="s">
        <v>18</v>
      </c>
      <c r="W36" s="705">
        <f t="shared" si="14"/>
        <v>100</v>
      </c>
      <c r="X36" s="1354"/>
      <c r="Y36" s="371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10"/>
      <c r="Q37" s="1342" t="str">
        <f t="shared" si="11"/>
        <v>成新度</v>
      </c>
      <c r="R37" s="700" t="s">
        <v>18</v>
      </c>
      <c r="S37" s="701" t="e">
        <f t="shared" si="12"/>
        <v>#N/A</v>
      </c>
      <c r="T37" s="700" t="s">
        <v>18</v>
      </c>
      <c r="U37" s="701" t="e">
        <f t="shared" si="13"/>
        <v>#N/A</v>
      </c>
      <c r="V37" s="700" t="s">
        <v>18</v>
      </c>
      <c r="W37" s="701" t="e">
        <f t="shared" si="14"/>
        <v>#N/A</v>
      </c>
      <c r="X37" s="702"/>
      <c r="Y37" s="3712"/>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10" t="s">
        <v>1696</v>
      </c>
      <c r="Q38" s="1351" t="str">
        <f t="shared" si="11"/>
        <v>物业管理</v>
      </c>
      <c r="R38" s="704" t="s">
        <v>18</v>
      </c>
      <c r="S38" s="705">
        <f t="shared" si="12"/>
        <v>100</v>
      </c>
      <c r="T38" s="704" t="s">
        <v>18</v>
      </c>
      <c r="U38" s="705">
        <f t="shared" si="13"/>
        <v>100</v>
      </c>
      <c r="V38" s="704" t="s">
        <v>18</v>
      </c>
      <c r="W38" s="705">
        <f t="shared" si="14"/>
        <v>100</v>
      </c>
      <c r="X38" s="1354"/>
      <c r="Y38" s="3712" t="s">
        <v>1696</v>
      </c>
      <c r="Z38" s="1355" t="str">
        <f t="shared" si="18"/>
        <v>物业管理</v>
      </c>
      <c r="AA38" s="1352">
        <f t="shared" si="15"/>
        <v>1</v>
      </c>
      <c r="AB38" s="1352">
        <f t="shared" si="16"/>
        <v>1</v>
      </c>
      <c r="AC38" s="1352">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10"/>
      <c r="Q39" s="1351" t="str">
        <f t="shared" si="11"/>
        <v>市政基础设施</v>
      </c>
      <c r="R39" s="704" t="s">
        <v>18</v>
      </c>
      <c r="S39" s="705">
        <f t="shared" si="12"/>
        <v>100</v>
      </c>
      <c r="T39" s="704" t="s">
        <v>18</v>
      </c>
      <c r="U39" s="705">
        <f t="shared" si="13"/>
        <v>100</v>
      </c>
      <c r="V39" s="704" t="s">
        <v>18</v>
      </c>
      <c r="W39" s="705">
        <f t="shared" si="14"/>
        <v>100</v>
      </c>
      <c r="X39" s="1354"/>
      <c r="Y39" s="3712"/>
      <c r="Z39" s="1355" t="str">
        <f t="shared" si="18"/>
        <v>市政基础设施</v>
      </c>
      <c r="AA39" s="1352">
        <f t="shared" si="15"/>
        <v>1</v>
      </c>
      <c r="AB39" s="1352">
        <f t="shared" si="16"/>
        <v>1</v>
      </c>
      <c r="AC39" s="1352">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10"/>
      <c r="Q40" s="1351" t="str">
        <f t="shared" si="11"/>
        <v>房型</v>
      </c>
      <c r="R40" s="704" t="s">
        <v>18</v>
      </c>
      <c r="S40" s="705">
        <f t="shared" si="12"/>
        <v>100</v>
      </c>
      <c r="T40" s="704" t="s">
        <v>18</v>
      </c>
      <c r="U40" s="705">
        <f t="shared" si="13"/>
        <v>100</v>
      </c>
      <c r="V40" s="704" t="s">
        <v>18</v>
      </c>
      <c r="W40" s="705">
        <f t="shared" si="14"/>
        <v>100</v>
      </c>
      <c r="X40" s="1354"/>
      <c r="Y40" s="371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10"/>
      <c r="Q41" s="706" t="str">
        <f t="shared" si="11"/>
        <v>单套/主力户型建筑面积</v>
      </c>
      <c r="R41" s="707" t="s">
        <v>18</v>
      </c>
      <c r="S41" s="708">
        <f t="shared" si="12"/>
        <v>100</v>
      </c>
      <c r="T41" s="707" t="s">
        <v>18</v>
      </c>
      <c r="U41" s="708">
        <f t="shared" si="13"/>
        <v>100</v>
      </c>
      <c r="V41" s="707" t="s">
        <v>18</v>
      </c>
      <c r="W41" s="708">
        <f t="shared" si="14"/>
        <v>100</v>
      </c>
      <c r="X41" s="709"/>
      <c r="Y41" s="3712"/>
      <c r="Z41" s="710" t="str">
        <f t="shared" si="18"/>
        <v>单套/主力户型建筑面积</v>
      </c>
      <c r="AA41" s="1352">
        <f t="shared" si="15"/>
        <v>1</v>
      </c>
      <c r="AB41" s="1352">
        <f t="shared" si="16"/>
        <v>1</v>
      </c>
      <c r="AC41" s="1352">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10"/>
      <c r="Q42" s="1351" t="str">
        <f t="shared" si="11"/>
        <v>内部装修</v>
      </c>
      <c r="R42" s="704" t="s">
        <v>18</v>
      </c>
      <c r="S42" s="705">
        <f t="shared" si="12"/>
        <v>100</v>
      </c>
      <c r="T42" s="704" t="s">
        <v>18</v>
      </c>
      <c r="U42" s="705">
        <f t="shared" si="13"/>
        <v>100</v>
      </c>
      <c r="V42" s="704" t="s">
        <v>18</v>
      </c>
      <c r="W42" s="705">
        <f t="shared" si="14"/>
        <v>100</v>
      </c>
      <c r="X42" s="1354"/>
      <c r="Y42" s="3712"/>
      <c r="Z42" s="1355" t="str">
        <f t="shared" si="18"/>
        <v>内部装修</v>
      </c>
      <c r="AA42" s="1352">
        <f t="shared" si="15"/>
        <v>1</v>
      </c>
      <c r="AB42" s="1352">
        <f t="shared" si="16"/>
        <v>1</v>
      </c>
      <c r="AC42" s="1352">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10"/>
      <c r="Q43" s="1351" t="str">
        <f t="shared" si="11"/>
        <v>内部装修维护情况</v>
      </c>
      <c r="R43" s="704" t="s">
        <v>18</v>
      </c>
      <c r="S43" s="705">
        <f t="shared" si="12"/>
        <v>100</v>
      </c>
      <c r="T43" s="704" t="s">
        <v>18</v>
      </c>
      <c r="U43" s="705">
        <f t="shared" si="13"/>
        <v>100</v>
      </c>
      <c r="V43" s="704" t="s">
        <v>18</v>
      </c>
      <c r="W43" s="705">
        <f t="shared" si="14"/>
        <v>100</v>
      </c>
      <c r="X43" s="1354"/>
      <c r="Y43" s="3712"/>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10"/>
      <c r="Q44" s="1342">
        <f t="shared" si="11"/>
        <v>111</v>
      </c>
      <c r="R44" s="700" t="s">
        <v>18</v>
      </c>
      <c r="S44" s="701">
        <f t="shared" si="12"/>
        <v>100</v>
      </c>
      <c r="T44" s="700" t="s">
        <v>18</v>
      </c>
      <c r="U44" s="701">
        <f t="shared" si="13"/>
        <v>100</v>
      </c>
      <c r="V44" s="700" t="s">
        <v>18</v>
      </c>
      <c r="W44" s="701">
        <f t="shared" si="14"/>
        <v>100</v>
      </c>
      <c r="X44" s="702"/>
      <c r="Y44" s="3712"/>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10"/>
      <c r="Q45" s="1351">
        <f t="shared" si="11"/>
        <v>111</v>
      </c>
      <c r="R45" s="704" t="s">
        <v>18</v>
      </c>
      <c r="S45" s="705">
        <f t="shared" si="12"/>
        <v>100</v>
      </c>
      <c r="T45" s="704" t="s">
        <v>18</v>
      </c>
      <c r="U45" s="705">
        <f t="shared" si="13"/>
        <v>100</v>
      </c>
      <c r="V45" s="704" t="s">
        <v>18</v>
      </c>
      <c r="W45" s="705">
        <f t="shared" si="14"/>
        <v>100</v>
      </c>
      <c r="X45" s="1354"/>
      <c r="Y45" s="3712"/>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11"/>
      <c r="Q46" s="1351">
        <f t="shared" si="11"/>
        <v>111</v>
      </c>
      <c r="R46" s="704" t="s">
        <v>17</v>
      </c>
      <c r="S46" s="705">
        <f t="shared" si="12"/>
        <v>100</v>
      </c>
      <c r="T46" s="704" t="s">
        <v>17</v>
      </c>
      <c r="U46" s="705">
        <f t="shared" si="13"/>
        <v>100</v>
      </c>
      <c r="V46" s="704" t="s">
        <v>17</v>
      </c>
      <c r="W46" s="705">
        <f t="shared" si="14"/>
        <v>100</v>
      </c>
      <c r="X46" s="1354"/>
      <c r="Y46" s="3713"/>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2"/>
      <c r="L47" s="2722"/>
      <c r="M47" s="2723"/>
      <c r="N47" s="2714"/>
      <c r="O47" s="2723"/>
      <c r="P47" s="3705" t="str">
        <f>A47</f>
        <v>成交单价（元/平方米）</v>
      </c>
      <c r="Q47" s="3705"/>
      <c r="R47" s="3706">
        <f>E47</f>
        <v>0</v>
      </c>
      <c r="S47" s="3706"/>
      <c r="T47" s="3706">
        <f>G47</f>
        <v>0</v>
      </c>
      <c r="U47" s="3706"/>
      <c r="V47" s="3706">
        <f>I47</f>
        <v>0</v>
      </c>
      <c r="W47" s="3706"/>
      <c r="X47" s="689"/>
      <c r="Y47" s="711"/>
      <c r="Z47" s="689"/>
      <c r="AA47" s="689"/>
      <c r="AB47" s="689"/>
      <c r="AC47" s="689"/>
    </row>
    <row r="48" spans="1:29" ht="15.75" thickBot="1">
      <c r="A48" s="437" t="s">
        <v>1709</v>
      </c>
      <c r="B48" s="438"/>
      <c r="C48" s="1159" t="e">
        <f>R49</f>
        <v>#DIV/0!</v>
      </c>
      <c r="D48" s="2315" t="s">
        <v>2137</v>
      </c>
      <c r="E48" s="1160" t="e">
        <f>R48</f>
        <v>#DIV/0!</v>
      </c>
      <c r="F48" s="2316"/>
      <c r="G48" s="1159" t="e">
        <f>T48</f>
        <v>#DIV/0!</v>
      </c>
      <c r="H48" s="2316"/>
      <c r="I48" s="1160" t="e">
        <f>V48</f>
        <v>#DIV/0!</v>
      </c>
      <c r="J48" s="2316"/>
      <c r="K48" s="2317">
        <f>F48+H48+J48</f>
        <v>0</v>
      </c>
      <c r="L48" s="2722"/>
      <c r="M48" s="2723"/>
      <c r="N48" s="2723"/>
      <c r="O48" s="2723"/>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3"/>
      <c r="L49" s="2722"/>
      <c r="M49" s="2723"/>
      <c r="N49" s="2723"/>
      <c r="O49" s="2723"/>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5" t="str">
        <f>YEAR(C7)&amp;"-"&amp;MONTH(C7)</f>
        <v>2023-11</v>
      </c>
      <c r="D58" s="1184">
        <f>EDATE(C58,-1)</f>
        <v>45200</v>
      </c>
      <c r="E58" s="1184">
        <f>EDATE(D58,-1)</f>
        <v>45170</v>
      </c>
      <c r="F58" s="1184">
        <f t="shared" ref="F58:O58" si="19">EDATE(E58,-1)</f>
        <v>45139</v>
      </c>
      <c r="G58" s="1184">
        <f t="shared" si="19"/>
        <v>45108</v>
      </c>
      <c r="H58" s="1184">
        <f t="shared" si="19"/>
        <v>45078</v>
      </c>
      <c r="I58" s="1184">
        <f t="shared" si="19"/>
        <v>45047</v>
      </c>
      <c r="J58" s="1184">
        <f t="shared" si="19"/>
        <v>45017</v>
      </c>
      <c r="K58" s="1184">
        <f t="shared" si="19"/>
        <v>44986</v>
      </c>
      <c r="L58" s="1184">
        <f t="shared" si="19"/>
        <v>44958</v>
      </c>
      <c r="M58" s="1184">
        <f t="shared" si="19"/>
        <v>44927</v>
      </c>
      <c r="N58" s="1184">
        <f t="shared" si="19"/>
        <v>44896</v>
      </c>
      <c r="O58" s="1184">
        <f t="shared" si="19"/>
        <v>44866</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6" t="s">
        <v>1766</v>
      </c>
      <c r="C1" s="1237" t="s">
        <v>1662</v>
      </c>
      <c r="D1" s="1224"/>
      <c r="E1" s="3424"/>
      <c r="F1" s="1877"/>
      <c r="G1" s="1234" t="s">
        <v>1767</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1462</v>
      </c>
      <c r="B2" s="116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1464</v>
      </c>
      <c r="B3" s="558">
        <f>IF(C2="——",C49,ROUND(B2*10000/D3,0))</f>
        <v>0</v>
      </c>
      <c r="C3" s="354" t="s">
        <v>1768</v>
      </c>
      <c r="D3" s="353">
        <f>IF(D1="",'数据-汇总表'!E3,SUMIF('数据-汇总表'!$C19:$C33,D1,'数据-汇总表'!$E19:$E33))</f>
        <v>90300.22</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75" t="s">
        <v>1771</v>
      </c>
      <c r="S4" s="3676"/>
      <c r="T4" s="3675" t="s">
        <v>1772</v>
      </c>
      <c r="U4" s="3676"/>
      <c r="V4" s="3700" t="s">
        <v>1773</v>
      </c>
      <c r="W4" s="3700"/>
      <c r="X4" s="1354"/>
      <c r="Y4" s="3675" t="s">
        <v>1775</v>
      </c>
      <c r="Z4" s="3676"/>
      <c r="AA4" s="3670" t="s">
        <v>1771</v>
      </c>
      <c r="AB4" s="3700" t="s">
        <v>1772</v>
      </c>
      <c r="AC4" s="3670" t="s">
        <v>1773</v>
      </c>
    </row>
    <row r="5" spans="1:29" ht="15">
      <c r="A5" s="358"/>
      <c r="B5" s="359"/>
      <c r="C5" s="3681" t="s">
        <v>1673</v>
      </c>
      <c r="D5" s="3682"/>
      <c r="E5" s="3679" t="s">
        <v>1674</v>
      </c>
      <c r="F5" s="3680"/>
      <c r="G5" s="3681" t="s">
        <v>1675</v>
      </c>
      <c r="H5" s="3682"/>
      <c r="I5" s="3681" t="s">
        <v>1676</v>
      </c>
      <c r="J5" s="3682"/>
      <c r="K5" s="559"/>
      <c r="L5" s="2713"/>
      <c r="M5" s="2714"/>
      <c r="N5" s="2714"/>
      <c r="O5" s="2714"/>
      <c r="P5" s="3694"/>
      <c r="Q5" s="3695"/>
      <c r="R5" s="3677"/>
      <c r="S5" s="3678"/>
      <c r="T5" s="3677"/>
      <c r="U5" s="3678"/>
      <c r="V5" s="3700"/>
      <c r="W5" s="3700"/>
      <c r="X5" s="1354"/>
      <c r="Y5" s="3677"/>
      <c r="Z5" s="3678"/>
      <c r="AA5" s="3671"/>
      <c r="AB5" s="3700"/>
      <c r="AC5" s="3671"/>
    </row>
    <row r="6" spans="1:29" ht="15.75" thickBot="1">
      <c r="A6" s="360"/>
      <c r="B6" s="361"/>
      <c r="C6" s="3683" t="s">
        <v>1677</v>
      </c>
      <c r="D6" s="3684"/>
      <c r="E6" s="3685" t="s">
        <v>1677</v>
      </c>
      <c r="F6" s="3686"/>
      <c r="G6" s="3683" t="s">
        <v>1677</v>
      </c>
      <c r="H6" s="3684"/>
      <c r="I6" s="3683" t="s">
        <v>1677</v>
      </c>
      <c r="J6" s="3684"/>
      <c r="K6" s="559" t="s">
        <v>1678</v>
      </c>
      <c r="L6" s="2713"/>
      <c r="M6" s="2714"/>
      <c r="N6" s="2714"/>
      <c r="O6" s="2714"/>
      <c r="P6" s="3696"/>
      <c r="Q6" s="3697"/>
      <c r="R6" s="3677"/>
      <c r="S6" s="3678"/>
      <c r="T6" s="3698"/>
      <c r="U6" s="3699"/>
      <c r="V6" s="3700"/>
      <c r="W6" s="3700"/>
      <c r="X6" s="1354"/>
      <c r="Y6" s="3698"/>
      <c r="Z6" s="3699"/>
      <c r="AA6" s="3672"/>
      <c r="AB6" s="3700"/>
      <c r="AC6" s="3672"/>
    </row>
    <row r="7" spans="1:29" s="108" customFormat="1" ht="15.75" thickBot="1">
      <c r="A7" s="362" t="s">
        <v>1679</v>
      </c>
      <c r="B7" s="363"/>
      <c r="C7" s="364">
        <f>'数据-取费表'!B2</f>
        <v>45240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3" t="s">
        <v>1680</v>
      </c>
      <c r="Q7" s="3701"/>
      <c r="R7" s="700" t="s">
        <v>14</v>
      </c>
      <c r="S7" s="701">
        <f t="shared" ref="S7:S15" si="0">F7</f>
        <v>0</v>
      </c>
      <c r="T7" s="700" t="s">
        <v>14</v>
      </c>
      <c r="U7" s="701">
        <f t="shared" ref="U7:U15" si="1">H7</f>
        <v>0</v>
      </c>
      <c r="V7" s="700" t="s">
        <v>14</v>
      </c>
      <c r="W7" s="701">
        <f t="shared" ref="W7:W15" si="2">J7</f>
        <v>0</v>
      </c>
      <c r="X7" s="702"/>
      <c r="Y7" s="3673" t="s">
        <v>1680</v>
      </c>
      <c r="Z7" s="3674"/>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3" t="s">
        <v>1683</v>
      </c>
      <c r="Q8" s="3674"/>
      <c r="R8" s="700" t="s">
        <v>14</v>
      </c>
      <c r="S8" s="701">
        <f t="shared" si="0"/>
        <v>100</v>
      </c>
      <c r="T8" s="700" t="s">
        <v>14</v>
      </c>
      <c r="U8" s="701">
        <f t="shared" si="1"/>
        <v>100</v>
      </c>
      <c r="V8" s="700" t="s">
        <v>14</v>
      </c>
      <c r="W8" s="701">
        <f t="shared" si="2"/>
        <v>100</v>
      </c>
      <c r="X8" s="702"/>
      <c r="Y8" s="3673" t="s">
        <v>1683</v>
      </c>
      <c r="Z8" s="3674"/>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7" t="s">
        <v>1686</v>
      </c>
      <c r="Q9" s="1342"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7"/>
      <c r="Q10" s="1342"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7"/>
      <c r="Q11" s="1342" t="str">
        <f t="shared" si="6"/>
        <v>容积率</v>
      </c>
      <c r="R11" s="700" t="s">
        <v>14</v>
      </c>
      <c r="S11" s="701" t="e">
        <f t="shared" si="0"/>
        <v>#N/A</v>
      </c>
      <c r="T11" s="700" t="s">
        <v>14</v>
      </c>
      <c r="U11" s="701" t="e">
        <f t="shared" si="1"/>
        <v>#N/A</v>
      </c>
      <c r="V11" s="700" t="s">
        <v>14</v>
      </c>
      <c r="W11" s="701" t="e">
        <f t="shared" si="2"/>
        <v>#N/A</v>
      </c>
      <c r="X11" s="702"/>
      <c r="Y11" s="3617"/>
      <c r="Z11" s="52" t="str">
        <f t="shared" si="7"/>
        <v>容积率</v>
      </c>
      <c r="AA11" s="703" t="e">
        <f t="shared" si="3"/>
        <v>#N/A</v>
      </c>
      <c r="AB11" s="703" t="e">
        <f t="shared" si="4"/>
        <v>#N/A</v>
      </c>
      <c r="AC11" s="703"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7"/>
      <c r="Q12" s="1342">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7"/>
      <c r="Q13" s="1342">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7"/>
      <c r="Q14" s="1342">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703">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4" t="s">
        <v>1691</v>
      </c>
      <c r="Q15" s="1351" t="str">
        <f t="shared" si="6"/>
        <v>商业繁华度</v>
      </c>
      <c r="R15" s="704" t="s">
        <v>14</v>
      </c>
      <c r="S15" s="705">
        <f t="shared" si="0"/>
        <v>100</v>
      </c>
      <c r="T15" s="704" t="s">
        <v>14</v>
      </c>
      <c r="U15" s="705">
        <f t="shared" si="1"/>
        <v>100</v>
      </c>
      <c r="V15" s="704" t="s">
        <v>14</v>
      </c>
      <c r="W15" s="705">
        <f t="shared" si="2"/>
        <v>100</v>
      </c>
      <c r="X15" s="1354"/>
      <c r="Y15" s="3707"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15"/>
      <c r="Q16" s="1351"/>
      <c r="R16" s="704"/>
      <c r="S16" s="705"/>
      <c r="T16" s="704"/>
      <c r="U16" s="705"/>
      <c r="V16" s="704"/>
      <c r="W16" s="705"/>
      <c r="X16" s="1354"/>
      <c r="Y16" s="3708"/>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5"/>
      <c r="Q17" s="1351" t="str">
        <f>B17</f>
        <v>交通便捷度</v>
      </c>
      <c r="R17" s="704" t="s">
        <v>14</v>
      </c>
      <c r="S17" s="705">
        <f>F17</f>
        <v>100</v>
      </c>
      <c r="T17" s="704" t="s">
        <v>14</v>
      </c>
      <c r="U17" s="705">
        <f>H17</f>
        <v>100</v>
      </c>
      <c r="V17" s="704" t="s">
        <v>14</v>
      </c>
      <c r="W17" s="705">
        <f>J17</f>
        <v>100</v>
      </c>
      <c r="X17" s="1354"/>
      <c r="Y17" s="3708"/>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20"/>
      <c r="M18" s="2714"/>
      <c r="N18" s="2714"/>
      <c r="O18" s="2714"/>
      <c r="P18" s="3715"/>
      <c r="Q18" s="1351"/>
      <c r="R18" s="704"/>
      <c r="S18" s="705"/>
      <c r="T18" s="704"/>
      <c r="U18" s="705"/>
      <c r="V18" s="704"/>
      <c r="W18" s="705"/>
      <c r="X18" s="1354"/>
      <c r="Y18" s="3708"/>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5"/>
      <c r="Q19" s="1351" t="str">
        <f>B19</f>
        <v>公共配套设施</v>
      </c>
      <c r="R19" s="704" t="s">
        <v>14</v>
      </c>
      <c r="S19" s="705">
        <f>F19</f>
        <v>100</v>
      </c>
      <c r="T19" s="704" t="s">
        <v>14</v>
      </c>
      <c r="U19" s="705">
        <f>H19</f>
        <v>100</v>
      </c>
      <c r="V19" s="704" t="s">
        <v>14</v>
      </c>
      <c r="W19" s="705">
        <f>J19</f>
        <v>100</v>
      </c>
      <c r="X19" s="1354"/>
      <c r="Y19" s="3708"/>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20"/>
      <c r="M20" s="2714"/>
      <c r="N20" s="2714"/>
      <c r="O20" s="2714"/>
      <c r="P20" s="3715"/>
      <c r="Q20" s="1351"/>
      <c r="R20" s="704"/>
      <c r="S20" s="705"/>
      <c r="T20" s="704"/>
      <c r="U20" s="705"/>
      <c r="V20" s="704"/>
      <c r="W20" s="705"/>
      <c r="X20" s="1354"/>
      <c r="Y20" s="3708"/>
      <c r="Z20" s="1355"/>
      <c r="AA20" s="1352">
        <v>1</v>
      </c>
      <c r="AB20" s="1352">
        <v>1</v>
      </c>
      <c r="AC20" s="1352">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5"/>
      <c r="Q21" s="1351" t="str">
        <f>B21</f>
        <v>基础设施水平</v>
      </c>
      <c r="R21" s="704" t="s">
        <v>14</v>
      </c>
      <c r="S21" s="705">
        <f>F21</f>
        <v>100</v>
      </c>
      <c r="T21" s="704" t="s">
        <v>14</v>
      </c>
      <c r="U21" s="705">
        <f>H21</f>
        <v>100</v>
      </c>
      <c r="V21" s="704" t="s">
        <v>14</v>
      </c>
      <c r="W21" s="705">
        <f>J21</f>
        <v>100</v>
      </c>
      <c r="X21" s="1354"/>
      <c r="Y21" s="3708"/>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2720"/>
      <c r="M22" s="2714"/>
      <c r="N22" s="2714"/>
      <c r="O22" s="2714"/>
      <c r="P22" s="3715"/>
      <c r="Q22" s="1351"/>
      <c r="R22" s="704"/>
      <c r="S22" s="705"/>
      <c r="T22" s="704"/>
      <c r="U22" s="705"/>
      <c r="V22" s="704"/>
      <c r="W22" s="705"/>
      <c r="X22" s="1354"/>
      <c r="Y22" s="3708"/>
      <c r="Z22" s="1355"/>
      <c r="AA22" s="1352">
        <v>1</v>
      </c>
      <c r="AB22" s="1352">
        <v>1</v>
      </c>
      <c r="AC22" s="1352">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5"/>
      <c r="Q23" s="1351" t="str">
        <f>B23</f>
        <v>自然及人文环境</v>
      </c>
      <c r="R23" s="704" t="s">
        <v>14</v>
      </c>
      <c r="S23" s="705">
        <f>F23</f>
        <v>100</v>
      </c>
      <c r="T23" s="704" t="s">
        <v>14</v>
      </c>
      <c r="U23" s="705">
        <f>H23</f>
        <v>100</v>
      </c>
      <c r="V23" s="704" t="s">
        <v>14</v>
      </c>
      <c r="W23" s="705">
        <f>J23</f>
        <v>100</v>
      </c>
      <c r="X23" s="1354"/>
      <c r="Y23" s="3708"/>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20"/>
      <c r="M24" s="2714"/>
      <c r="N24" s="2714"/>
      <c r="O24" s="2714"/>
      <c r="P24" s="3715"/>
      <c r="Q24" s="1351"/>
      <c r="R24" s="704"/>
      <c r="S24" s="705"/>
      <c r="T24" s="704"/>
      <c r="U24" s="705"/>
      <c r="V24" s="704"/>
      <c r="W24" s="705"/>
      <c r="X24" s="1354"/>
      <c r="Y24" s="3708"/>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5"/>
      <c r="Q25" s="1351" t="str">
        <f t="shared" ref="Q25:Q46" si="11">B25</f>
        <v>临街状况</v>
      </c>
      <c r="R25" s="704" t="s">
        <v>14</v>
      </c>
      <c r="S25" s="705">
        <f>F25</f>
        <v>100</v>
      </c>
      <c r="T25" s="704" t="s">
        <v>14</v>
      </c>
      <c r="U25" s="705">
        <f>H25</f>
        <v>100</v>
      </c>
      <c r="V25" s="704" t="s">
        <v>14</v>
      </c>
      <c r="W25" s="705">
        <f>J25</f>
        <v>100</v>
      </c>
      <c r="X25" s="1354"/>
      <c r="Y25" s="3708"/>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5"/>
      <c r="Q26" s="1351" t="str">
        <f t="shared" si="11"/>
        <v>平面位置/可视性</v>
      </c>
      <c r="R26" s="704" t="s">
        <v>14</v>
      </c>
      <c r="S26" s="705">
        <f>F26</f>
        <v>100</v>
      </c>
      <c r="T26" s="704" t="s">
        <v>14</v>
      </c>
      <c r="U26" s="705">
        <f>H26</f>
        <v>100</v>
      </c>
      <c r="V26" s="704" t="s">
        <v>14</v>
      </c>
      <c r="W26" s="705">
        <f>J26</f>
        <v>100</v>
      </c>
      <c r="X26" s="1354"/>
      <c r="Y26" s="3708"/>
      <c r="Z26" s="1355" t="str">
        <f>Q26</f>
        <v>平面位置/可视性</v>
      </c>
      <c r="AA26" s="1352">
        <f t="shared" si="3"/>
        <v>1</v>
      </c>
      <c r="AB26" s="1352">
        <f t="shared" si="4"/>
        <v>1</v>
      </c>
      <c r="AC26" s="1352">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15"/>
      <c r="Q27" s="1342" t="str">
        <f t="shared" si="11"/>
        <v>人流量</v>
      </c>
      <c r="R27" s="700" t="s">
        <v>14</v>
      </c>
      <c r="S27" s="701">
        <f>F27</f>
        <v>100</v>
      </c>
      <c r="T27" s="700" t="s">
        <v>14</v>
      </c>
      <c r="U27" s="701">
        <f>H27</f>
        <v>100</v>
      </c>
      <c r="V27" s="700" t="s">
        <v>14</v>
      </c>
      <c r="W27" s="701">
        <f>J27</f>
        <v>100</v>
      </c>
      <c r="X27" s="702"/>
      <c r="Y27" s="3708"/>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5"/>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8"/>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5"/>
      <c r="Q29" s="1351">
        <f t="shared" si="11"/>
        <v>111</v>
      </c>
      <c r="R29" s="704" t="s">
        <v>14</v>
      </c>
      <c r="S29" s="705">
        <f t="shared" si="12"/>
        <v>100</v>
      </c>
      <c r="T29" s="704" t="s">
        <v>14</v>
      </c>
      <c r="U29" s="705">
        <f t="shared" si="13"/>
        <v>100</v>
      </c>
      <c r="V29" s="704" t="s">
        <v>14</v>
      </c>
      <c r="W29" s="705">
        <f t="shared" si="14"/>
        <v>100</v>
      </c>
      <c r="X29" s="1354"/>
      <c r="Y29" s="3708"/>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5"/>
      <c r="Q30" s="1351">
        <f t="shared" si="11"/>
        <v>111</v>
      </c>
      <c r="R30" s="704" t="s">
        <v>14</v>
      </c>
      <c r="S30" s="705">
        <f t="shared" si="12"/>
        <v>100</v>
      </c>
      <c r="T30" s="704" t="s">
        <v>14</v>
      </c>
      <c r="U30" s="705">
        <f t="shared" si="13"/>
        <v>100</v>
      </c>
      <c r="V30" s="704" t="s">
        <v>14</v>
      </c>
      <c r="W30" s="705">
        <f t="shared" si="14"/>
        <v>100</v>
      </c>
      <c r="X30" s="1354"/>
      <c r="Y30" s="3708"/>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5"/>
      <c r="Q31" s="1351">
        <f t="shared" si="11"/>
        <v>111</v>
      </c>
      <c r="R31" s="704" t="s">
        <v>14</v>
      </c>
      <c r="S31" s="705">
        <f t="shared" si="12"/>
        <v>100</v>
      </c>
      <c r="T31" s="704" t="s">
        <v>14</v>
      </c>
      <c r="U31" s="705">
        <f t="shared" si="13"/>
        <v>100</v>
      </c>
      <c r="V31" s="704" t="s">
        <v>14</v>
      </c>
      <c r="W31" s="705">
        <f t="shared" si="14"/>
        <v>100</v>
      </c>
      <c r="X31" s="1354"/>
      <c r="Y31" s="3708"/>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9" t="s">
        <v>1696</v>
      </c>
      <c r="Q32" s="1351" t="str">
        <f t="shared" si="11"/>
        <v>商业类型</v>
      </c>
      <c r="R32" s="704" t="s">
        <v>14</v>
      </c>
      <c r="S32" s="705">
        <f t="shared" si="12"/>
        <v>100</v>
      </c>
      <c r="T32" s="704" t="s">
        <v>14</v>
      </c>
      <c r="U32" s="705">
        <f t="shared" si="13"/>
        <v>100</v>
      </c>
      <c r="V32" s="704" t="s">
        <v>14</v>
      </c>
      <c r="W32" s="705">
        <f t="shared" si="14"/>
        <v>100</v>
      </c>
      <c r="X32" s="1354"/>
      <c r="Y32" s="3712"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0"/>
      <c r="Q33" s="706" t="str">
        <f t="shared" si="11"/>
        <v>项目建筑规模</v>
      </c>
      <c r="R33" s="707" t="s">
        <v>14</v>
      </c>
      <c r="S33" s="708" t="e">
        <f t="shared" si="12"/>
        <v>#N/A</v>
      </c>
      <c r="T33" s="707" t="s">
        <v>14</v>
      </c>
      <c r="U33" s="708" t="e">
        <f t="shared" si="13"/>
        <v>#N/A</v>
      </c>
      <c r="V33" s="707" t="s">
        <v>14</v>
      </c>
      <c r="W33" s="708" t="e">
        <f t="shared" si="14"/>
        <v>#N/A</v>
      </c>
      <c r="X33" s="709"/>
      <c r="Y33" s="3712"/>
      <c r="Z33" s="710" t="str">
        <f t="shared" si="15"/>
        <v>项目建筑规模</v>
      </c>
      <c r="AA33" s="1352" t="e">
        <f t="shared" si="3"/>
        <v>#N/A</v>
      </c>
      <c r="AB33" s="1352" t="e">
        <f t="shared" si="4"/>
        <v>#N/A</v>
      </c>
      <c r="AC33" s="1352"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10"/>
      <c r="Q34" s="1351" t="str">
        <f t="shared" si="11"/>
        <v>建筑结构</v>
      </c>
      <c r="R34" s="704" t="s">
        <v>14</v>
      </c>
      <c r="S34" s="705">
        <f t="shared" si="12"/>
        <v>100</v>
      </c>
      <c r="T34" s="704" t="s">
        <v>14</v>
      </c>
      <c r="U34" s="705">
        <f t="shared" si="13"/>
        <v>100</v>
      </c>
      <c r="V34" s="704" t="s">
        <v>14</v>
      </c>
      <c r="W34" s="705">
        <f t="shared" si="14"/>
        <v>100</v>
      </c>
      <c r="X34" s="1354"/>
      <c r="Y34" s="3712"/>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10"/>
      <c r="Q35" s="1351" t="str">
        <f t="shared" si="11"/>
        <v>公共部分装修</v>
      </c>
      <c r="R35" s="704" t="s">
        <v>14</v>
      </c>
      <c r="S35" s="705">
        <f t="shared" si="12"/>
        <v>100</v>
      </c>
      <c r="T35" s="704" t="s">
        <v>14</v>
      </c>
      <c r="U35" s="705">
        <f t="shared" si="13"/>
        <v>100</v>
      </c>
      <c r="V35" s="704" t="s">
        <v>14</v>
      </c>
      <c r="W35" s="705">
        <f t="shared" si="14"/>
        <v>100</v>
      </c>
      <c r="X35" s="1354"/>
      <c r="Y35" s="3712"/>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0"/>
      <c r="Q36" s="1351" t="str">
        <f t="shared" si="11"/>
        <v>成新度</v>
      </c>
      <c r="R36" s="704" t="s">
        <v>14</v>
      </c>
      <c r="S36" s="705" t="e">
        <f t="shared" si="12"/>
        <v>#N/A</v>
      </c>
      <c r="T36" s="704" t="s">
        <v>14</v>
      </c>
      <c r="U36" s="705" t="e">
        <f t="shared" si="13"/>
        <v>#N/A</v>
      </c>
      <c r="V36" s="704" t="s">
        <v>14</v>
      </c>
      <c r="W36" s="705" t="e">
        <f t="shared" si="14"/>
        <v>#N/A</v>
      </c>
      <c r="X36" s="1354"/>
      <c r="Y36" s="3712"/>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10"/>
      <c r="Q37" s="1342" t="str">
        <f t="shared" si="11"/>
        <v>市政基础设施</v>
      </c>
      <c r="R37" s="700" t="s">
        <v>14</v>
      </c>
      <c r="S37" s="701">
        <f t="shared" si="12"/>
        <v>100</v>
      </c>
      <c r="T37" s="700" t="s">
        <v>14</v>
      </c>
      <c r="U37" s="701">
        <f t="shared" si="13"/>
        <v>100</v>
      </c>
      <c r="V37" s="700" t="s">
        <v>14</v>
      </c>
      <c r="W37" s="701">
        <f t="shared" si="14"/>
        <v>100</v>
      </c>
      <c r="X37" s="702"/>
      <c r="Y37" s="3712"/>
      <c r="Z37" s="52" t="str">
        <f t="shared" si="15"/>
        <v>市政基础设施</v>
      </c>
      <c r="AA37" s="703">
        <f t="shared" si="3"/>
        <v>1</v>
      </c>
      <c r="AB37" s="703">
        <f t="shared" si="4"/>
        <v>1</v>
      </c>
      <c r="AC37" s="703">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10" t="s">
        <v>1696</v>
      </c>
      <c r="Q38" s="1351" t="str">
        <f t="shared" si="11"/>
        <v>业态</v>
      </c>
      <c r="R38" s="704" t="s">
        <v>14</v>
      </c>
      <c r="S38" s="705">
        <f t="shared" si="12"/>
        <v>100</v>
      </c>
      <c r="T38" s="704" t="s">
        <v>14</v>
      </c>
      <c r="U38" s="705">
        <f t="shared" si="13"/>
        <v>100</v>
      </c>
      <c r="V38" s="704" t="s">
        <v>14</v>
      </c>
      <c r="W38" s="705">
        <f t="shared" si="14"/>
        <v>100</v>
      </c>
      <c r="X38" s="1354"/>
      <c r="Y38" s="3712"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10"/>
      <c r="Q39" s="1351" t="str">
        <f t="shared" si="11"/>
        <v>层高</v>
      </c>
      <c r="R39" s="704" t="s">
        <v>14</v>
      </c>
      <c r="S39" s="705">
        <f t="shared" si="12"/>
        <v>100</v>
      </c>
      <c r="T39" s="704" t="s">
        <v>14</v>
      </c>
      <c r="U39" s="705">
        <f t="shared" si="13"/>
        <v>100</v>
      </c>
      <c r="V39" s="704" t="s">
        <v>14</v>
      </c>
      <c r="W39" s="705">
        <f t="shared" si="14"/>
        <v>100</v>
      </c>
      <c r="X39" s="1354"/>
      <c r="Y39" s="3712"/>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0"/>
      <c r="Q40" s="1351" t="str">
        <f t="shared" si="11"/>
        <v>单套建筑面积</v>
      </c>
      <c r="R40" s="704" t="s">
        <v>14</v>
      </c>
      <c r="S40" s="705">
        <f t="shared" si="12"/>
        <v>100</v>
      </c>
      <c r="T40" s="704" t="s">
        <v>14</v>
      </c>
      <c r="U40" s="705">
        <f t="shared" si="13"/>
        <v>100</v>
      </c>
      <c r="V40" s="704" t="s">
        <v>14</v>
      </c>
      <c r="W40" s="705">
        <f t="shared" si="14"/>
        <v>100</v>
      </c>
      <c r="X40" s="1354"/>
      <c r="Y40" s="371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0"/>
      <c r="Q41" s="706" t="str">
        <f t="shared" si="11"/>
        <v>进深比</v>
      </c>
      <c r="R41" s="707" t="s">
        <v>14</v>
      </c>
      <c r="S41" s="708">
        <f t="shared" si="12"/>
        <v>100</v>
      </c>
      <c r="T41" s="707" t="s">
        <v>14</v>
      </c>
      <c r="U41" s="708">
        <f t="shared" si="13"/>
        <v>100</v>
      </c>
      <c r="V41" s="707" t="s">
        <v>14</v>
      </c>
      <c r="W41" s="708">
        <f t="shared" si="14"/>
        <v>100</v>
      </c>
      <c r="X41" s="709"/>
      <c r="Y41" s="3712"/>
      <c r="Z41" s="710"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10"/>
      <c r="Q42" s="1351" t="str">
        <f t="shared" si="11"/>
        <v>内部装修</v>
      </c>
      <c r="R42" s="704" t="s">
        <v>14</v>
      </c>
      <c r="S42" s="705">
        <f t="shared" si="12"/>
        <v>100</v>
      </c>
      <c r="T42" s="704" t="s">
        <v>14</v>
      </c>
      <c r="U42" s="705">
        <f t="shared" si="13"/>
        <v>100</v>
      </c>
      <c r="V42" s="704" t="s">
        <v>14</v>
      </c>
      <c r="W42" s="705">
        <f t="shared" si="14"/>
        <v>100</v>
      </c>
      <c r="X42" s="1354"/>
      <c r="Y42" s="3712"/>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10"/>
      <c r="Q43" s="1351" t="str">
        <f t="shared" si="11"/>
        <v>内部装修维护情况</v>
      </c>
      <c r="R43" s="704" t="s">
        <v>14</v>
      </c>
      <c r="S43" s="705">
        <f t="shared" si="12"/>
        <v>100</v>
      </c>
      <c r="T43" s="704" t="s">
        <v>14</v>
      </c>
      <c r="U43" s="705">
        <f t="shared" si="13"/>
        <v>100</v>
      </c>
      <c r="V43" s="704" t="s">
        <v>14</v>
      </c>
      <c r="W43" s="705">
        <f t="shared" si="14"/>
        <v>100</v>
      </c>
      <c r="X43" s="1354"/>
      <c r="Y43" s="3712"/>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0"/>
      <c r="Q44" s="1342">
        <f t="shared" si="11"/>
        <v>111</v>
      </c>
      <c r="R44" s="700" t="s">
        <v>14</v>
      </c>
      <c r="S44" s="701">
        <f t="shared" si="12"/>
        <v>100</v>
      </c>
      <c r="T44" s="700" t="s">
        <v>14</v>
      </c>
      <c r="U44" s="701">
        <f t="shared" si="13"/>
        <v>100</v>
      </c>
      <c r="V44" s="700" t="s">
        <v>14</v>
      </c>
      <c r="W44" s="701">
        <f t="shared" si="14"/>
        <v>100</v>
      </c>
      <c r="X44" s="702"/>
      <c r="Y44" s="3712"/>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0"/>
      <c r="Q45" s="1351">
        <f t="shared" si="11"/>
        <v>111</v>
      </c>
      <c r="R45" s="704" t="s">
        <v>14</v>
      </c>
      <c r="S45" s="705">
        <f t="shared" si="12"/>
        <v>100</v>
      </c>
      <c r="T45" s="704" t="s">
        <v>14</v>
      </c>
      <c r="U45" s="705">
        <f t="shared" si="13"/>
        <v>100</v>
      </c>
      <c r="V45" s="704" t="s">
        <v>14</v>
      </c>
      <c r="W45" s="705">
        <f t="shared" si="14"/>
        <v>100</v>
      </c>
      <c r="X45" s="1354"/>
      <c r="Y45" s="3712"/>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1"/>
      <c r="Q46" s="1351">
        <f t="shared" si="11"/>
        <v>111</v>
      </c>
      <c r="R46" s="704" t="s">
        <v>14</v>
      </c>
      <c r="S46" s="705">
        <f t="shared" si="12"/>
        <v>100</v>
      </c>
      <c r="T46" s="704" t="s">
        <v>14</v>
      </c>
      <c r="U46" s="705">
        <f t="shared" si="13"/>
        <v>100</v>
      </c>
      <c r="V46" s="704" t="s">
        <v>14</v>
      </c>
      <c r="W46" s="705">
        <f t="shared" si="14"/>
        <v>100</v>
      </c>
      <c r="X46" s="1354"/>
      <c r="Y46" s="3713"/>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2"/>
      <c r="M47" s="2723"/>
      <c r="N47" s="2714"/>
      <c r="O47" s="2723"/>
      <c r="P47" s="3705" t="str">
        <f>A47</f>
        <v>成交单价（元/平方米）</v>
      </c>
      <c r="Q47" s="3705"/>
      <c r="R47" s="3700">
        <f>E47</f>
        <v>0</v>
      </c>
      <c r="S47" s="3700"/>
      <c r="T47" s="3700">
        <f>G47</f>
        <v>0</v>
      </c>
      <c r="U47" s="3700"/>
      <c r="V47" s="3700">
        <f>I47</f>
        <v>0</v>
      </c>
      <c r="W47" s="3700"/>
      <c r="X47" s="689"/>
      <c r="Y47" s="711"/>
      <c r="Z47" s="689"/>
      <c r="AA47" s="689"/>
      <c r="AB47" s="689"/>
      <c r="AC47" s="689"/>
    </row>
    <row r="48" spans="1:29" ht="15.75" thickBot="1">
      <c r="A48" s="437" t="s">
        <v>1793</v>
      </c>
      <c r="B48" s="438"/>
      <c r="C48" s="1159" t="e">
        <f>R49</f>
        <v>#DIV/0!</v>
      </c>
      <c r="D48" s="2315" t="s">
        <v>2137</v>
      </c>
      <c r="E48" s="1160" t="e">
        <f>R48</f>
        <v>#DIV/0!</v>
      </c>
      <c r="F48" s="2316"/>
      <c r="G48" s="1159" t="e">
        <f>T48</f>
        <v>#DIV/0!</v>
      </c>
      <c r="H48" s="2316"/>
      <c r="I48" s="1160" t="e">
        <f>V48</f>
        <v>#DIV/0!</v>
      </c>
      <c r="J48" s="2316"/>
      <c r="K48" s="2318">
        <f>F48+H48+J48</f>
        <v>0</v>
      </c>
      <c r="L48" s="2722"/>
      <c r="M48" s="2723"/>
      <c r="N48" s="2714"/>
      <c r="O48" s="2723"/>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2"/>
      <c r="M49" s="2723"/>
      <c r="N49" s="2714"/>
      <c r="O49" s="2723"/>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2023-11</v>
      </c>
      <c r="D58" s="1184">
        <f>EDATE(C58,-1)</f>
        <v>45200</v>
      </c>
      <c r="E58" s="1184">
        <f t="shared" ref="E58:N58" si="16">EDATE(D58,-1)</f>
        <v>45170</v>
      </c>
      <c r="F58" s="1184">
        <f t="shared" si="16"/>
        <v>45139</v>
      </c>
      <c r="G58" s="1184">
        <f t="shared" si="16"/>
        <v>45108</v>
      </c>
      <c r="H58" s="1184">
        <f t="shared" si="16"/>
        <v>45078</v>
      </c>
      <c r="I58" s="1184">
        <f t="shared" si="16"/>
        <v>45047</v>
      </c>
      <c r="J58" s="1184">
        <f t="shared" si="16"/>
        <v>45017</v>
      </c>
      <c r="K58" s="1184">
        <f t="shared" si="16"/>
        <v>44986</v>
      </c>
      <c r="L58" s="1184">
        <f t="shared" si="16"/>
        <v>44958</v>
      </c>
      <c r="M58" s="1184">
        <f t="shared" si="16"/>
        <v>44927</v>
      </c>
      <c r="N58" s="1184">
        <f t="shared" si="16"/>
        <v>44896</v>
      </c>
      <c r="O58" s="1184">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1810</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90300.22</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722" t="s">
        <v>1775</v>
      </c>
      <c r="Q4" s="3723"/>
      <c r="R4" s="3717" t="s">
        <v>1771</v>
      </c>
      <c r="S4" s="3718"/>
      <c r="T4" s="3717" t="s">
        <v>1772</v>
      </c>
      <c r="U4" s="3718"/>
      <c r="V4" s="3726" t="s">
        <v>1773</v>
      </c>
      <c r="W4" s="3726"/>
      <c r="X4" s="1956"/>
      <c r="Y4" s="3717" t="s">
        <v>1775</v>
      </c>
      <c r="Z4" s="3718"/>
      <c r="AA4" s="3716" t="s">
        <v>1771</v>
      </c>
      <c r="AB4" s="3716" t="s">
        <v>1772</v>
      </c>
      <c r="AC4" s="3719" t="s">
        <v>1773</v>
      </c>
    </row>
    <row r="5" spans="1:29" ht="15">
      <c r="A5" s="358"/>
      <c r="B5" s="359"/>
      <c r="C5" s="3681" t="s">
        <v>1673</v>
      </c>
      <c r="D5" s="3682"/>
      <c r="E5" s="3679" t="s">
        <v>1674</v>
      </c>
      <c r="F5" s="3680"/>
      <c r="G5" s="3681" t="s">
        <v>1675</v>
      </c>
      <c r="H5" s="3682"/>
      <c r="I5" s="3681" t="s">
        <v>1676</v>
      </c>
      <c r="J5" s="3682"/>
      <c r="K5" s="559"/>
      <c r="L5" s="2713"/>
      <c r="M5" s="2714"/>
      <c r="N5" s="2714"/>
      <c r="O5" s="2714"/>
      <c r="P5" s="3724"/>
      <c r="Q5" s="3695"/>
      <c r="R5" s="3677"/>
      <c r="S5" s="3678"/>
      <c r="T5" s="3677"/>
      <c r="U5" s="3678"/>
      <c r="V5" s="3700"/>
      <c r="W5" s="3700"/>
      <c r="X5" s="1354"/>
      <c r="Y5" s="3677"/>
      <c r="Z5" s="3678"/>
      <c r="AA5" s="3671"/>
      <c r="AB5" s="3671"/>
      <c r="AC5" s="3720"/>
    </row>
    <row r="6" spans="1:29" ht="15.75" thickBot="1">
      <c r="A6" s="360"/>
      <c r="B6" s="361"/>
      <c r="C6" s="3683" t="s">
        <v>1677</v>
      </c>
      <c r="D6" s="3684"/>
      <c r="E6" s="3685" t="s">
        <v>1677</v>
      </c>
      <c r="F6" s="3686"/>
      <c r="G6" s="3683" t="s">
        <v>1677</v>
      </c>
      <c r="H6" s="3684"/>
      <c r="I6" s="3683" t="s">
        <v>1677</v>
      </c>
      <c r="J6" s="3684"/>
      <c r="K6" s="559" t="s">
        <v>1678</v>
      </c>
      <c r="L6" s="2713"/>
      <c r="M6" s="2714"/>
      <c r="N6" s="2714"/>
      <c r="O6" s="2714"/>
      <c r="P6" s="3725"/>
      <c r="Q6" s="3697"/>
      <c r="R6" s="3677"/>
      <c r="S6" s="3678"/>
      <c r="T6" s="3698"/>
      <c r="U6" s="3699"/>
      <c r="V6" s="3700"/>
      <c r="W6" s="3700"/>
      <c r="X6" s="1354"/>
      <c r="Y6" s="3698"/>
      <c r="Z6" s="3699"/>
      <c r="AA6" s="3672"/>
      <c r="AB6" s="3672"/>
      <c r="AC6" s="3721"/>
    </row>
    <row r="7" spans="1:29" s="108" customFormat="1" ht="15.75" thickBot="1">
      <c r="A7" s="362" t="s">
        <v>1679</v>
      </c>
      <c r="B7" s="363"/>
      <c r="C7" s="364">
        <f>'数据-取费表'!B2</f>
        <v>45240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7" t="s">
        <v>1680</v>
      </c>
      <c r="Q7" s="3701"/>
      <c r="R7" s="700" t="s">
        <v>14</v>
      </c>
      <c r="S7" s="701">
        <f t="shared" ref="S7:S15" si="0">F7</f>
        <v>0</v>
      </c>
      <c r="T7" s="700" t="s">
        <v>14</v>
      </c>
      <c r="U7" s="701">
        <f t="shared" ref="U7:U15" si="1">H7</f>
        <v>0</v>
      </c>
      <c r="V7" s="700" t="s">
        <v>14</v>
      </c>
      <c r="W7" s="701">
        <f t="shared" ref="W7:W15" si="2">J7</f>
        <v>0</v>
      </c>
      <c r="X7" s="702"/>
      <c r="Y7" s="3673" t="s">
        <v>1680</v>
      </c>
      <c r="Z7" s="3674"/>
      <c r="AA7" s="703" t="e">
        <f>D7/F7</f>
        <v>#DIV/0!</v>
      </c>
      <c r="AB7" s="703"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7" t="s">
        <v>1683</v>
      </c>
      <c r="Q8" s="3674"/>
      <c r="R8" s="700" t="s">
        <v>14</v>
      </c>
      <c r="S8" s="701">
        <f t="shared" si="0"/>
        <v>100</v>
      </c>
      <c r="T8" s="700" t="s">
        <v>14</v>
      </c>
      <c r="U8" s="701">
        <f t="shared" si="1"/>
        <v>100</v>
      </c>
      <c r="V8" s="700" t="s">
        <v>14</v>
      </c>
      <c r="W8" s="701">
        <f t="shared" si="2"/>
        <v>100</v>
      </c>
      <c r="X8" s="702"/>
      <c r="Y8" s="3673" t="s">
        <v>1683</v>
      </c>
      <c r="Z8" s="3674"/>
      <c r="AA8" s="703">
        <f t="shared" ref="AA8:AA47" si="3">D8/F8</f>
        <v>1</v>
      </c>
      <c r="AB8" s="703">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7" t="s">
        <v>1686</v>
      </c>
      <c r="Q9" s="1342"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7"/>
      <c r="Q10" s="1342"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7"/>
      <c r="Q11" s="1342" t="str">
        <f t="shared" si="6"/>
        <v>容积率</v>
      </c>
      <c r="R11" s="700" t="s">
        <v>14</v>
      </c>
      <c r="S11" s="701">
        <f t="shared" si="0"/>
        <v>100</v>
      </c>
      <c r="T11" s="700" t="s">
        <v>14</v>
      </c>
      <c r="U11" s="701">
        <f t="shared" si="1"/>
        <v>100</v>
      </c>
      <c r="V11" s="700" t="s">
        <v>14</v>
      </c>
      <c r="W11" s="701">
        <f t="shared" si="2"/>
        <v>100</v>
      </c>
      <c r="X11" s="702"/>
      <c r="Y11" s="3617"/>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7"/>
      <c r="Q12" s="1342">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7"/>
      <c r="Q13" s="1342">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7"/>
      <c r="Q14" s="1342">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14" t="s">
        <v>1691</v>
      </c>
      <c r="Q15" s="1351" t="str">
        <f t="shared" si="6"/>
        <v>办公集聚程度</v>
      </c>
      <c r="R15" s="704" t="s">
        <v>14</v>
      </c>
      <c r="S15" s="705">
        <f t="shared" si="0"/>
        <v>100</v>
      </c>
      <c r="T15" s="704" t="s">
        <v>14</v>
      </c>
      <c r="U15" s="705">
        <f t="shared" si="1"/>
        <v>100</v>
      </c>
      <c r="V15" s="704" t="s">
        <v>14</v>
      </c>
      <c r="W15" s="705">
        <f t="shared" si="2"/>
        <v>100</v>
      </c>
      <c r="X15" s="1354"/>
      <c r="Y15" s="3707" t="s">
        <v>1691</v>
      </c>
      <c r="Z15" s="1355" t="str">
        <f t="shared" si="7"/>
        <v>办公集聚程度</v>
      </c>
      <c r="AA15" s="1352">
        <f t="shared" si="3"/>
        <v>1</v>
      </c>
      <c r="AB15" s="1352">
        <f t="shared" si="4"/>
        <v>1</v>
      </c>
      <c r="AC15" s="1960">
        <f t="shared" si="5"/>
        <v>1</v>
      </c>
    </row>
    <row r="16" spans="1:29" ht="15">
      <c r="A16" s="379"/>
      <c r="B16" s="578"/>
      <c r="C16" s="1902"/>
      <c r="D16" s="399"/>
      <c r="E16" s="398"/>
      <c r="F16" s="399"/>
      <c r="G16" s="1902"/>
      <c r="H16" s="401"/>
      <c r="I16" s="398"/>
      <c r="J16" s="399"/>
      <c r="K16" s="564"/>
      <c r="L16" s="2720"/>
      <c r="M16" s="2714"/>
      <c r="N16" s="2714"/>
      <c r="O16" s="2714"/>
      <c r="P16" s="3715"/>
      <c r="Q16" s="1351"/>
      <c r="R16" s="704"/>
      <c r="S16" s="705"/>
      <c r="T16" s="704"/>
      <c r="U16" s="705"/>
      <c r="V16" s="704"/>
      <c r="W16" s="705"/>
      <c r="X16" s="1354"/>
      <c r="Y16" s="3708"/>
      <c r="Z16" s="1355"/>
      <c r="AA16" s="1352">
        <v>1</v>
      </c>
      <c r="AB16" s="1352">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15"/>
      <c r="Q17" s="1351" t="str">
        <f>B17</f>
        <v>交通便捷度</v>
      </c>
      <c r="R17" s="704" t="s">
        <v>14</v>
      </c>
      <c r="S17" s="705">
        <f>F17</f>
        <v>100</v>
      </c>
      <c r="T17" s="704" t="s">
        <v>14</v>
      </c>
      <c r="U17" s="705">
        <f>H17</f>
        <v>100</v>
      </c>
      <c r="V17" s="704" t="s">
        <v>14</v>
      </c>
      <c r="W17" s="705">
        <f>J17</f>
        <v>100</v>
      </c>
      <c r="X17" s="1354"/>
      <c r="Y17" s="3708"/>
      <c r="Z17" s="1355" t="str">
        <f>Q17</f>
        <v>交通便捷度</v>
      </c>
      <c r="AA17" s="1352">
        <f t="shared" si="3"/>
        <v>1</v>
      </c>
      <c r="AB17" s="1352">
        <f t="shared" si="4"/>
        <v>1</v>
      </c>
      <c r="AC17" s="1960">
        <f t="shared" si="5"/>
        <v>1</v>
      </c>
    </row>
    <row r="18" spans="1:29" ht="15">
      <c r="A18" s="379"/>
      <c r="B18" s="580"/>
      <c r="C18" s="1962"/>
      <c r="D18" s="401"/>
      <c r="E18" s="1900"/>
      <c r="F18" s="401"/>
      <c r="G18" s="1901"/>
      <c r="H18" s="399"/>
      <c r="I18" s="1901"/>
      <c r="J18" s="399"/>
      <c r="K18" s="564"/>
      <c r="L18" s="2720"/>
      <c r="M18" s="2714"/>
      <c r="N18" s="2714"/>
      <c r="O18" s="2714"/>
      <c r="P18" s="3715"/>
      <c r="Q18" s="1351"/>
      <c r="R18" s="704"/>
      <c r="S18" s="705"/>
      <c r="T18" s="704"/>
      <c r="U18" s="705"/>
      <c r="V18" s="704"/>
      <c r="W18" s="705"/>
      <c r="X18" s="1354"/>
      <c r="Y18" s="3708"/>
      <c r="Z18" s="1355"/>
      <c r="AA18" s="1352">
        <v>1</v>
      </c>
      <c r="AB18" s="1352">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15"/>
      <c r="Q19" s="1351" t="str">
        <f>B19</f>
        <v>公共配套设施</v>
      </c>
      <c r="R19" s="704" t="s">
        <v>14</v>
      </c>
      <c r="S19" s="705">
        <f>F19</f>
        <v>100</v>
      </c>
      <c r="T19" s="704" t="s">
        <v>14</v>
      </c>
      <c r="U19" s="705">
        <f>H19</f>
        <v>100</v>
      </c>
      <c r="V19" s="704" t="s">
        <v>14</v>
      </c>
      <c r="W19" s="705">
        <f>J19</f>
        <v>100</v>
      </c>
      <c r="X19" s="1354"/>
      <c r="Y19" s="3708"/>
      <c r="Z19" s="1355" t="str">
        <f>Q19</f>
        <v>公共配套设施</v>
      </c>
      <c r="AA19" s="1352">
        <f t="shared" si="3"/>
        <v>1</v>
      </c>
      <c r="AB19" s="1352">
        <f t="shared" si="4"/>
        <v>1</v>
      </c>
      <c r="AC19" s="1960">
        <f t="shared" si="5"/>
        <v>1</v>
      </c>
    </row>
    <row r="20" spans="1:29" ht="15">
      <c r="A20" s="379"/>
      <c r="B20" s="580"/>
      <c r="C20" s="1902"/>
      <c r="D20" s="399"/>
      <c r="E20" s="1895"/>
      <c r="F20" s="399"/>
      <c r="G20" s="1896"/>
      <c r="H20" s="399"/>
      <c r="I20" s="1896"/>
      <c r="J20" s="399"/>
      <c r="K20" s="564"/>
      <c r="L20" s="2720"/>
      <c r="M20" s="2714"/>
      <c r="N20" s="2714"/>
      <c r="O20" s="2714"/>
      <c r="P20" s="3715"/>
      <c r="Q20" s="1351"/>
      <c r="R20" s="704"/>
      <c r="S20" s="705"/>
      <c r="T20" s="704"/>
      <c r="U20" s="705"/>
      <c r="V20" s="704"/>
      <c r="W20" s="705"/>
      <c r="X20" s="1354"/>
      <c r="Y20" s="3708"/>
      <c r="Z20" s="1355"/>
      <c r="AA20" s="1352">
        <v>1</v>
      </c>
      <c r="AB20" s="1352">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15"/>
      <c r="Q21" s="1351" t="str">
        <f>B21</f>
        <v>基础设施水平</v>
      </c>
      <c r="R21" s="704" t="s">
        <v>14</v>
      </c>
      <c r="S21" s="705">
        <f>F21</f>
        <v>100</v>
      </c>
      <c r="T21" s="704" t="s">
        <v>14</v>
      </c>
      <c r="U21" s="705">
        <f>H21</f>
        <v>100</v>
      </c>
      <c r="V21" s="704" t="s">
        <v>14</v>
      </c>
      <c r="W21" s="705">
        <f>J21</f>
        <v>100</v>
      </c>
      <c r="X21" s="1354"/>
      <c r="Y21" s="3708"/>
      <c r="Z21" s="1355" t="str">
        <f>Q21</f>
        <v>基础设施水平</v>
      </c>
      <c r="AA21" s="1352">
        <f t="shared" ref="AA21" si="8">D21/F21</f>
        <v>1</v>
      </c>
      <c r="AB21" s="1352">
        <f t="shared" ref="AB21" si="9">D21/H21</f>
        <v>1</v>
      </c>
      <c r="AC21" s="1960">
        <f t="shared" ref="AC21" si="10">D21/J21</f>
        <v>1</v>
      </c>
    </row>
    <row r="22" spans="1:29" ht="15">
      <c r="A22" s="379"/>
      <c r="B22" s="581"/>
      <c r="C22" s="1962"/>
      <c r="D22" s="399"/>
      <c r="E22" s="398"/>
      <c r="F22" s="399"/>
      <c r="G22" s="1902"/>
      <c r="H22" s="399"/>
      <c r="I22" s="1902"/>
      <c r="J22" s="399"/>
      <c r="K22" s="1129"/>
      <c r="L22" s="2720"/>
      <c r="M22" s="2714"/>
      <c r="N22" s="2714"/>
      <c r="O22" s="2714"/>
      <c r="P22" s="3715"/>
      <c r="Q22" s="1351"/>
      <c r="R22" s="704"/>
      <c r="S22" s="705"/>
      <c r="T22" s="704"/>
      <c r="U22" s="705"/>
      <c r="V22" s="704"/>
      <c r="W22" s="705"/>
      <c r="X22" s="1354"/>
      <c r="Y22" s="3708"/>
      <c r="Z22" s="1355"/>
      <c r="AA22" s="1352">
        <v>1</v>
      </c>
      <c r="AB22" s="1352">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15"/>
      <c r="Q23" s="1351" t="str">
        <f>B23</f>
        <v>环境质量</v>
      </c>
      <c r="R23" s="704" t="s">
        <v>14</v>
      </c>
      <c r="S23" s="705">
        <f>F23</f>
        <v>100</v>
      </c>
      <c r="T23" s="704" t="s">
        <v>14</v>
      </c>
      <c r="U23" s="705">
        <f>H23</f>
        <v>100</v>
      </c>
      <c r="V23" s="704" t="s">
        <v>14</v>
      </c>
      <c r="W23" s="705">
        <f>J23</f>
        <v>100</v>
      </c>
      <c r="X23" s="1354"/>
      <c r="Y23" s="3708"/>
      <c r="Z23" s="1355" t="str">
        <f>Q23</f>
        <v>环境质量</v>
      </c>
      <c r="AA23" s="1352">
        <f t="shared" si="3"/>
        <v>1</v>
      </c>
      <c r="AB23" s="1352">
        <f t="shared" si="4"/>
        <v>1</v>
      </c>
      <c r="AC23" s="1960">
        <f t="shared" si="5"/>
        <v>1</v>
      </c>
    </row>
    <row r="24" spans="1:29" ht="15">
      <c r="A24" s="379"/>
      <c r="B24" s="581"/>
      <c r="C24" s="1902"/>
      <c r="D24" s="399"/>
      <c r="E24" s="1895"/>
      <c r="F24" s="399"/>
      <c r="G24" s="1896"/>
      <c r="H24" s="399"/>
      <c r="I24" s="1896"/>
      <c r="J24" s="399"/>
      <c r="K24" s="564"/>
      <c r="L24" s="2720"/>
      <c r="M24" s="2714"/>
      <c r="N24" s="2714"/>
      <c r="O24" s="2714"/>
      <c r="P24" s="3715"/>
      <c r="Q24" s="1351"/>
      <c r="R24" s="704"/>
      <c r="S24" s="705"/>
      <c r="T24" s="704"/>
      <c r="U24" s="705"/>
      <c r="V24" s="704"/>
      <c r="W24" s="705"/>
      <c r="X24" s="1354"/>
      <c r="Y24" s="3708"/>
      <c r="Z24" s="1355"/>
      <c r="AA24" s="1352">
        <v>1</v>
      </c>
      <c r="AB24" s="1352">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15"/>
      <c r="Q25" s="1351" t="str">
        <f>B25</f>
        <v>毗邻道路的类型与等级</v>
      </c>
      <c r="R25" s="704" t="s">
        <v>14</v>
      </c>
      <c r="S25" s="705">
        <f>F25</f>
        <v>100</v>
      </c>
      <c r="T25" s="704" t="s">
        <v>14</v>
      </c>
      <c r="U25" s="705">
        <f>H25</f>
        <v>100</v>
      </c>
      <c r="V25" s="704" t="s">
        <v>14</v>
      </c>
      <c r="W25" s="705">
        <f>J25</f>
        <v>100</v>
      </c>
      <c r="X25" s="1354"/>
      <c r="Y25" s="3708"/>
      <c r="Z25" s="1355" t="str">
        <f>Q25</f>
        <v>毗邻道路的类型与等级</v>
      </c>
      <c r="AA25" s="1352">
        <f t="shared" si="3"/>
        <v>1</v>
      </c>
      <c r="AB25" s="1352">
        <f t="shared" si="4"/>
        <v>1</v>
      </c>
      <c r="AC25" s="1960">
        <f t="shared" si="5"/>
        <v>1</v>
      </c>
    </row>
    <row r="26" spans="1:29" ht="15">
      <c r="A26" s="358"/>
      <c r="B26" s="580"/>
      <c r="C26" s="582"/>
      <c r="D26" s="386"/>
      <c r="E26" s="565"/>
      <c r="F26" s="386"/>
      <c r="G26" s="582"/>
      <c r="H26" s="386"/>
      <c r="I26" s="565"/>
      <c r="J26" s="386"/>
      <c r="K26" s="564"/>
      <c r="L26" s="2720"/>
      <c r="M26" s="2714"/>
      <c r="N26" s="2714"/>
      <c r="O26" s="2714"/>
      <c r="P26" s="3715"/>
      <c r="Q26" s="1351"/>
      <c r="R26" s="704"/>
      <c r="S26" s="705"/>
      <c r="T26" s="704"/>
      <c r="U26" s="705"/>
      <c r="V26" s="704"/>
      <c r="W26" s="705"/>
      <c r="X26" s="1354"/>
      <c r="Y26" s="3708"/>
      <c r="Z26" s="1355"/>
      <c r="AA26" s="1352">
        <v>1</v>
      </c>
      <c r="AB26" s="1352">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15"/>
      <c r="Q27" s="1351" t="str">
        <f t="shared" ref="Q27:Q47" si="11">B27</f>
        <v>楼层</v>
      </c>
      <c r="R27" s="704" t="s">
        <v>14</v>
      </c>
      <c r="S27" s="705">
        <f>F27</f>
        <v>100</v>
      </c>
      <c r="T27" s="704" t="s">
        <v>14</v>
      </c>
      <c r="U27" s="705">
        <f>H27</f>
        <v>100</v>
      </c>
      <c r="V27" s="704" t="s">
        <v>14</v>
      </c>
      <c r="W27" s="705">
        <f>J27</f>
        <v>100</v>
      </c>
      <c r="X27" s="1354"/>
      <c r="Y27" s="3708"/>
      <c r="Z27" s="1355" t="str">
        <f>Q27</f>
        <v>楼层</v>
      </c>
      <c r="AA27" s="1352">
        <f t="shared" si="3"/>
        <v>1</v>
      </c>
      <c r="AB27" s="1352">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15"/>
      <c r="Q28" s="1342" t="str">
        <f t="shared" si="11"/>
        <v>朝向</v>
      </c>
      <c r="R28" s="700" t="s">
        <v>14</v>
      </c>
      <c r="S28" s="701">
        <f>F28</f>
        <v>100</v>
      </c>
      <c r="T28" s="700" t="s">
        <v>14</v>
      </c>
      <c r="U28" s="701">
        <f>H28</f>
        <v>100</v>
      </c>
      <c r="V28" s="700" t="s">
        <v>14</v>
      </c>
      <c r="W28" s="701">
        <f>J28</f>
        <v>100</v>
      </c>
      <c r="X28" s="702"/>
      <c r="Y28" s="3708"/>
      <c r="Z28" s="52" t="str">
        <f>Q28</f>
        <v>朝向</v>
      </c>
      <c r="AA28" s="1352">
        <f>D28/F28</f>
        <v>1</v>
      </c>
      <c r="AB28" s="1352">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15"/>
      <c r="Q29" s="1351">
        <f t="shared" si="11"/>
        <v>111</v>
      </c>
      <c r="R29" s="704" t="s">
        <v>14</v>
      </c>
      <c r="S29" s="705">
        <f t="shared" ref="S29:S47" si="12">F29</f>
        <v>100</v>
      </c>
      <c r="T29" s="704" t="s">
        <v>14</v>
      </c>
      <c r="U29" s="705">
        <f t="shared" ref="U29:U47" si="13">H29</f>
        <v>100</v>
      </c>
      <c r="V29" s="704" t="s">
        <v>14</v>
      </c>
      <c r="W29" s="705">
        <f t="shared" ref="W29:W47" si="14">J29</f>
        <v>100</v>
      </c>
      <c r="X29" s="1354"/>
      <c r="Y29" s="3708"/>
      <c r="Z29" s="1355">
        <f t="shared" ref="Z29:Z47" si="15">Q29</f>
        <v>111</v>
      </c>
      <c r="AA29" s="1352">
        <f t="shared" si="3"/>
        <v>1</v>
      </c>
      <c r="AB29" s="1352">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15"/>
      <c r="Q30" s="1351">
        <f t="shared" si="11"/>
        <v>111</v>
      </c>
      <c r="R30" s="704" t="s">
        <v>14</v>
      </c>
      <c r="S30" s="705">
        <f t="shared" si="12"/>
        <v>100</v>
      </c>
      <c r="T30" s="704" t="s">
        <v>14</v>
      </c>
      <c r="U30" s="705">
        <f t="shared" si="13"/>
        <v>100</v>
      </c>
      <c r="V30" s="704" t="s">
        <v>14</v>
      </c>
      <c r="W30" s="705">
        <f t="shared" si="14"/>
        <v>100</v>
      </c>
      <c r="X30" s="1354"/>
      <c r="Y30" s="3708"/>
      <c r="Z30" s="1355">
        <f t="shared" si="15"/>
        <v>111</v>
      </c>
      <c r="AA30" s="1352">
        <f t="shared" si="3"/>
        <v>1</v>
      </c>
      <c r="AB30" s="1352">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15"/>
      <c r="Q31" s="1351">
        <f t="shared" si="11"/>
        <v>111</v>
      </c>
      <c r="R31" s="704" t="s">
        <v>14</v>
      </c>
      <c r="S31" s="705">
        <f t="shared" si="12"/>
        <v>100</v>
      </c>
      <c r="T31" s="704" t="s">
        <v>14</v>
      </c>
      <c r="U31" s="705">
        <f t="shared" si="13"/>
        <v>100</v>
      </c>
      <c r="V31" s="704" t="s">
        <v>14</v>
      </c>
      <c r="W31" s="705">
        <f t="shared" si="14"/>
        <v>100</v>
      </c>
      <c r="X31" s="1354"/>
      <c r="Y31" s="3708"/>
      <c r="Z31" s="1355">
        <f t="shared" si="15"/>
        <v>111</v>
      </c>
      <c r="AA31" s="1352">
        <f t="shared" si="3"/>
        <v>1</v>
      </c>
      <c r="AB31" s="1352">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15"/>
      <c r="Q32" s="1351">
        <f t="shared" si="11"/>
        <v>111</v>
      </c>
      <c r="R32" s="704" t="s">
        <v>14</v>
      </c>
      <c r="S32" s="705">
        <f t="shared" si="12"/>
        <v>100</v>
      </c>
      <c r="T32" s="704" t="s">
        <v>14</v>
      </c>
      <c r="U32" s="705">
        <f t="shared" si="13"/>
        <v>100</v>
      </c>
      <c r="V32" s="704" t="s">
        <v>14</v>
      </c>
      <c r="W32" s="705">
        <f t="shared" si="14"/>
        <v>100</v>
      </c>
      <c r="X32" s="1354"/>
      <c r="Y32" s="3708"/>
      <c r="Z32" s="1355">
        <f t="shared" si="15"/>
        <v>111</v>
      </c>
      <c r="AA32" s="1352">
        <f t="shared" si="3"/>
        <v>1</v>
      </c>
      <c r="AB32" s="1352">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9" t="s">
        <v>1696</v>
      </c>
      <c r="Q33" s="1351" t="str">
        <f t="shared" si="11"/>
        <v>建筑类型</v>
      </c>
      <c r="R33" s="704" t="s">
        <v>14</v>
      </c>
      <c r="S33" s="705">
        <f t="shared" si="12"/>
        <v>100</v>
      </c>
      <c r="T33" s="704" t="s">
        <v>14</v>
      </c>
      <c r="U33" s="705">
        <f t="shared" si="13"/>
        <v>100</v>
      </c>
      <c r="V33" s="704" t="s">
        <v>14</v>
      </c>
      <c r="W33" s="705">
        <f t="shared" si="14"/>
        <v>100</v>
      </c>
      <c r="X33" s="1354"/>
      <c r="Y33" s="3712" t="s">
        <v>1696</v>
      </c>
      <c r="Z33" s="1355" t="str">
        <f t="shared" si="15"/>
        <v>建筑类型</v>
      </c>
      <c r="AA33" s="1352">
        <f t="shared" si="3"/>
        <v>1</v>
      </c>
      <c r="AB33" s="1352">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10"/>
      <c r="Q34" s="706" t="str">
        <f t="shared" si="11"/>
        <v>项目建筑规模</v>
      </c>
      <c r="R34" s="707" t="s">
        <v>14</v>
      </c>
      <c r="S34" s="708" t="e">
        <f t="shared" si="12"/>
        <v>#N/A</v>
      </c>
      <c r="T34" s="707" t="s">
        <v>14</v>
      </c>
      <c r="U34" s="708" t="e">
        <f t="shared" si="13"/>
        <v>#N/A</v>
      </c>
      <c r="V34" s="707" t="s">
        <v>14</v>
      </c>
      <c r="W34" s="708" t="e">
        <f t="shared" si="14"/>
        <v>#N/A</v>
      </c>
      <c r="X34" s="709"/>
      <c r="Y34" s="3712"/>
      <c r="Z34" s="710" t="str">
        <f t="shared" si="15"/>
        <v>项目建筑规模</v>
      </c>
      <c r="AA34" s="1352" t="e">
        <f t="shared" si="3"/>
        <v>#N/A</v>
      </c>
      <c r="AB34" s="1352"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10"/>
      <c r="Q35" s="1351" t="str">
        <f t="shared" si="11"/>
        <v>建筑结构</v>
      </c>
      <c r="R35" s="704" t="s">
        <v>14</v>
      </c>
      <c r="S35" s="705">
        <f t="shared" si="12"/>
        <v>100</v>
      </c>
      <c r="T35" s="704" t="s">
        <v>14</v>
      </c>
      <c r="U35" s="705">
        <f t="shared" si="13"/>
        <v>100</v>
      </c>
      <c r="V35" s="704" t="s">
        <v>14</v>
      </c>
      <c r="W35" s="705">
        <f t="shared" si="14"/>
        <v>100</v>
      </c>
      <c r="X35" s="1354"/>
      <c r="Y35" s="3712"/>
      <c r="Z35" s="1355" t="str">
        <f t="shared" si="15"/>
        <v>建筑结构</v>
      </c>
      <c r="AA35" s="1352">
        <f t="shared" si="3"/>
        <v>1</v>
      </c>
      <c r="AB35" s="1352">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10"/>
      <c r="Q36" s="1351" t="str">
        <f t="shared" si="11"/>
        <v>公共部分装修</v>
      </c>
      <c r="R36" s="704" t="s">
        <v>14</v>
      </c>
      <c r="S36" s="705">
        <f t="shared" si="12"/>
        <v>100</v>
      </c>
      <c r="T36" s="704" t="s">
        <v>14</v>
      </c>
      <c r="U36" s="705">
        <f t="shared" si="13"/>
        <v>100</v>
      </c>
      <c r="V36" s="704" t="s">
        <v>14</v>
      </c>
      <c r="W36" s="705">
        <f t="shared" si="14"/>
        <v>100</v>
      </c>
      <c r="X36" s="1354"/>
      <c r="Y36" s="3712"/>
      <c r="Z36" s="1355" t="str">
        <f t="shared" si="15"/>
        <v>公共部分装修</v>
      </c>
      <c r="AA36" s="1352">
        <f t="shared" si="3"/>
        <v>1</v>
      </c>
      <c r="AB36" s="1352">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10"/>
      <c r="Q37" s="1351" t="str">
        <f t="shared" si="11"/>
        <v>成新度</v>
      </c>
      <c r="R37" s="704" t="s">
        <v>14</v>
      </c>
      <c r="S37" s="705" t="e">
        <f t="shared" si="12"/>
        <v>#N/A</v>
      </c>
      <c r="T37" s="704" t="s">
        <v>14</v>
      </c>
      <c r="U37" s="705" t="e">
        <f t="shared" si="13"/>
        <v>#N/A</v>
      </c>
      <c r="V37" s="704" t="s">
        <v>14</v>
      </c>
      <c r="W37" s="705" t="e">
        <f t="shared" si="14"/>
        <v>#N/A</v>
      </c>
      <c r="X37" s="1354"/>
      <c r="Y37" s="3712"/>
      <c r="Z37" s="1355" t="str">
        <f t="shared" si="15"/>
        <v>成新度</v>
      </c>
      <c r="AA37" s="1352" t="e">
        <f t="shared" si="3"/>
        <v>#N/A</v>
      </c>
      <c r="AB37" s="1352"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0"/>
      <c r="Q38" s="1342" t="str">
        <f t="shared" si="11"/>
        <v>写字楼等级</v>
      </c>
      <c r="R38" s="700" t="s">
        <v>14</v>
      </c>
      <c r="S38" s="701">
        <f t="shared" si="12"/>
        <v>100</v>
      </c>
      <c r="T38" s="700" t="s">
        <v>14</v>
      </c>
      <c r="U38" s="701">
        <f t="shared" si="13"/>
        <v>100</v>
      </c>
      <c r="V38" s="700" t="s">
        <v>14</v>
      </c>
      <c r="W38" s="701">
        <f t="shared" si="14"/>
        <v>100</v>
      </c>
      <c r="X38" s="702"/>
      <c r="Y38" s="3712"/>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10" t="s">
        <v>1696</v>
      </c>
      <c r="Q39" s="1351" t="str">
        <f t="shared" si="11"/>
        <v>物业管理</v>
      </c>
      <c r="R39" s="704" t="s">
        <v>14</v>
      </c>
      <c r="S39" s="705">
        <f t="shared" si="12"/>
        <v>100</v>
      </c>
      <c r="T39" s="704" t="s">
        <v>14</v>
      </c>
      <c r="U39" s="705">
        <f t="shared" si="13"/>
        <v>100</v>
      </c>
      <c r="V39" s="704" t="s">
        <v>14</v>
      </c>
      <c r="W39" s="705">
        <f t="shared" si="14"/>
        <v>100</v>
      </c>
      <c r="X39" s="1354"/>
      <c r="Y39" s="3712" t="s">
        <v>1696</v>
      </c>
      <c r="Z39" s="1355" t="str">
        <f t="shared" si="15"/>
        <v>物业管理</v>
      </c>
      <c r="AA39" s="1352">
        <f t="shared" si="3"/>
        <v>1</v>
      </c>
      <c r="AB39" s="1352">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10"/>
      <c r="Q40" s="1351" t="str">
        <f t="shared" si="11"/>
        <v>市政基础设施</v>
      </c>
      <c r="R40" s="704" t="s">
        <v>14</v>
      </c>
      <c r="S40" s="705">
        <f t="shared" si="12"/>
        <v>100</v>
      </c>
      <c r="T40" s="704" t="s">
        <v>14</v>
      </c>
      <c r="U40" s="705">
        <f t="shared" si="13"/>
        <v>100</v>
      </c>
      <c r="V40" s="704" t="s">
        <v>14</v>
      </c>
      <c r="W40" s="705">
        <f t="shared" si="14"/>
        <v>100</v>
      </c>
      <c r="X40" s="1354"/>
      <c r="Y40" s="3712"/>
      <c r="Z40" s="1355" t="str">
        <f t="shared" si="15"/>
        <v>市政基础设施</v>
      </c>
      <c r="AA40" s="1352">
        <f t="shared" si="3"/>
        <v>1</v>
      </c>
      <c r="AB40" s="1352">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0"/>
      <c r="Q41" s="1351" t="str">
        <f t="shared" si="11"/>
        <v>层高</v>
      </c>
      <c r="R41" s="704" t="s">
        <v>14</v>
      </c>
      <c r="S41" s="705">
        <f t="shared" si="12"/>
        <v>100</v>
      </c>
      <c r="T41" s="704" t="s">
        <v>14</v>
      </c>
      <c r="U41" s="705">
        <f t="shared" si="13"/>
        <v>100</v>
      </c>
      <c r="V41" s="704" t="s">
        <v>14</v>
      </c>
      <c r="W41" s="705">
        <f t="shared" si="14"/>
        <v>100</v>
      </c>
      <c r="X41" s="1354"/>
      <c r="Y41" s="3712"/>
      <c r="Z41" s="1355" t="str">
        <f t="shared" si="15"/>
        <v>层高</v>
      </c>
      <c r="AA41" s="1352">
        <f t="shared" si="3"/>
        <v>1</v>
      </c>
      <c r="AB41" s="1352">
        <f t="shared" si="4"/>
        <v>1</v>
      </c>
      <c r="AC41" s="1960">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0"/>
      <c r="Q42" s="706" t="str">
        <f t="shared" si="11"/>
        <v>单套建筑面积</v>
      </c>
      <c r="R42" s="707" t="s">
        <v>14</v>
      </c>
      <c r="S42" s="708">
        <f t="shared" si="12"/>
        <v>100</v>
      </c>
      <c r="T42" s="707" t="s">
        <v>14</v>
      </c>
      <c r="U42" s="708">
        <f t="shared" si="13"/>
        <v>100</v>
      </c>
      <c r="V42" s="707" t="s">
        <v>14</v>
      </c>
      <c r="W42" s="708">
        <f t="shared" si="14"/>
        <v>100</v>
      </c>
      <c r="X42" s="709"/>
      <c r="Y42" s="3712"/>
      <c r="Z42" s="710" t="str">
        <f t="shared" si="15"/>
        <v>单套建筑面积</v>
      </c>
      <c r="AA42" s="1352">
        <f t="shared" si="3"/>
        <v>1</v>
      </c>
      <c r="AB42" s="1352">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10"/>
      <c r="Q43" s="1351" t="str">
        <f t="shared" si="11"/>
        <v>内部装修</v>
      </c>
      <c r="R43" s="704" t="s">
        <v>14</v>
      </c>
      <c r="S43" s="705">
        <f t="shared" si="12"/>
        <v>100</v>
      </c>
      <c r="T43" s="704" t="s">
        <v>14</v>
      </c>
      <c r="U43" s="705">
        <f t="shared" si="13"/>
        <v>100</v>
      </c>
      <c r="V43" s="704" t="s">
        <v>14</v>
      </c>
      <c r="W43" s="705">
        <f t="shared" si="14"/>
        <v>100</v>
      </c>
      <c r="X43" s="1354"/>
      <c r="Y43" s="3712"/>
      <c r="Z43" s="1355" t="str">
        <f t="shared" si="15"/>
        <v>内部装修</v>
      </c>
      <c r="AA43" s="1352">
        <f t="shared" si="3"/>
        <v>1</v>
      </c>
      <c r="AB43" s="1352">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10"/>
      <c r="Q44" s="1351" t="str">
        <f t="shared" si="11"/>
        <v>内部装修维护情况</v>
      </c>
      <c r="R44" s="704" t="s">
        <v>14</v>
      </c>
      <c r="S44" s="705">
        <f t="shared" si="12"/>
        <v>100</v>
      </c>
      <c r="T44" s="704" t="s">
        <v>14</v>
      </c>
      <c r="U44" s="705">
        <f t="shared" si="13"/>
        <v>100</v>
      </c>
      <c r="V44" s="704" t="s">
        <v>14</v>
      </c>
      <c r="W44" s="705">
        <f t="shared" si="14"/>
        <v>100</v>
      </c>
      <c r="X44" s="1354"/>
      <c r="Y44" s="3712"/>
      <c r="Z44" s="1355" t="str">
        <f t="shared" si="15"/>
        <v>内部装修维护情况</v>
      </c>
      <c r="AA44" s="1352">
        <f t="shared" si="3"/>
        <v>1</v>
      </c>
      <c r="AB44" s="1352">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0"/>
      <c r="Q45" s="1342">
        <f t="shared" si="11"/>
        <v>111</v>
      </c>
      <c r="R45" s="700" t="s">
        <v>14</v>
      </c>
      <c r="S45" s="701">
        <f t="shared" si="12"/>
        <v>100</v>
      </c>
      <c r="T45" s="700" t="s">
        <v>14</v>
      </c>
      <c r="U45" s="701">
        <f t="shared" si="13"/>
        <v>100</v>
      </c>
      <c r="V45" s="700" t="s">
        <v>14</v>
      </c>
      <c r="W45" s="701">
        <f t="shared" si="14"/>
        <v>100</v>
      </c>
      <c r="X45" s="702"/>
      <c r="Y45" s="3712"/>
      <c r="Z45" s="52">
        <f t="shared" si="15"/>
        <v>111</v>
      </c>
      <c r="AA45" s="703">
        <f t="shared" si="3"/>
        <v>1</v>
      </c>
      <c r="AB45" s="703">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0"/>
      <c r="Q46" s="1351">
        <f t="shared" si="11"/>
        <v>111</v>
      </c>
      <c r="R46" s="704" t="s">
        <v>14</v>
      </c>
      <c r="S46" s="705">
        <f t="shared" si="12"/>
        <v>100</v>
      </c>
      <c r="T46" s="704" t="s">
        <v>14</v>
      </c>
      <c r="U46" s="705">
        <f t="shared" si="13"/>
        <v>100</v>
      </c>
      <c r="V46" s="704" t="s">
        <v>14</v>
      </c>
      <c r="W46" s="705">
        <f t="shared" si="14"/>
        <v>100</v>
      </c>
      <c r="X46" s="1354"/>
      <c r="Y46" s="3712"/>
      <c r="Z46" s="1355">
        <f t="shared" si="15"/>
        <v>111</v>
      </c>
      <c r="AA46" s="1352">
        <f t="shared" si="3"/>
        <v>1</v>
      </c>
      <c r="AB46" s="1352">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1"/>
      <c r="Q47" s="1351">
        <f t="shared" si="11"/>
        <v>111</v>
      </c>
      <c r="R47" s="704" t="s">
        <v>14</v>
      </c>
      <c r="S47" s="705">
        <f t="shared" si="12"/>
        <v>100</v>
      </c>
      <c r="T47" s="704" t="s">
        <v>14</v>
      </c>
      <c r="U47" s="705">
        <f t="shared" si="13"/>
        <v>100</v>
      </c>
      <c r="V47" s="704" t="s">
        <v>14</v>
      </c>
      <c r="W47" s="705">
        <f t="shared" si="14"/>
        <v>100</v>
      </c>
      <c r="X47" s="1354"/>
      <c r="Y47" s="3713"/>
      <c r="Z47" s="1355">
        <f t="shared" si="15"/>
        <v>111</v>
      </c>
      <c r="AA47" s="1352">
        <f t="shared" si="3"/>
        <v>1</v>
      </c>
      <c r="AB47" s="1352">
        <f t="shared" si="4"/>
        <v>1</v>
      </c>
      <c r="AC47" s="1960">
        <f t="shared" si="5"/>
        <v>1</v>
      </c>
    </row>
    <row r="48" spans="1:29" ht="15">
      <c r="A48" s="430" t="s">
        <v>1708</v>
      </c>
      <c r="B48" s="431"/>
      <c r="C48" s="1153" t="s">
        <v>0</v>
      </c>
      <c r="D48" s="1154"/>
      <c r="E48" s="1155"/>
      <c r="F48" s="1156"/>
      <c r="G48" s="1157"/>
      <c r="H48" s="1158"/>
      <c r="I48" s="1155"/>
      <c r="J48" s="436"/>
      <c r="K48" s="713"/>
      <c r="L48" s="2722"/>
      <c r="M48" s="2714"/>
      <c r="N48" s="2714"/>
      <c r="O48" s="2714"/>
      <c r="P48" s="3687" t="str">
        <f>A48</f>
        <v>成交单价（元/平方米）</v>
      </c>
      <c r="Q48" s="3705"/>
      <c r="R48" s="3706">
        <f>E48</f>
        <v>0</v>
      </c>
      <c r="S48" s="3706"/>
      <c r="T48" s="3706">
        <f>G48</f>
        <v>0</v>
      </c>
      <c r="U48" s="3706"/>
      <c r="V48" s="3706">
        <f>I48</f>
        <v>0</v>
      </c>
      <c r="W48" s="3706"/>
      <c r="X48" s="397"/>
      <c r="Y48" s="711"/>
      <c r="Z48" s="397"/>
      <c r="AA48" s="397"/>
      <c r="AB48" s="397"/>
      <c r="AC48" s="578"/>
    </row>
    <row r="49" spans="1:29" ht="15.75" thickBot="1">
      <c r="A49" s="437" t="s">
        <v>1793</v>
      </c>
      <c r="B49" s="438"/>
      <c r="C49" s="1159" t="e">
        <f>R50</f>
        <v>#DIV/0!</v>
      </c>
      <c r="D49" s="2315" t="s">
        <v>2137</v>
      </c>
      <c r="E49" s="1160" t="e">
        <f>R49</f>
        <v>#DIV/0!</v>
      </c>
      <c r="F49" s="2316"/>
      <c r="G49" s="1159" t="e">
        <f>T49</f>
        <v>#DIV/0!</v>
      </c>
      <c r="H49" s="2316"/>
      <c r="I49" s="1160" t="e">
        <f>V49</f>
        <v>#DIV/0!</v>
      </c>
      <c r="J49" s="2316"/>
      <c r="K49" s="2318">
        <f>F49+H49+J49</f>
        <v>0</v>
      </c>
      <c r="L49" s="2722"/>
      <c r="M49" s="2714"/>
      <c r="N49" s="2714"/>
      <c r="O49" s="2714"/>
      <c r="P49" s="3687" t="str">
        <f>A49</f>
        <v>比较价值（元/平方米）</v>
      </c>
      <c r="Q49" s="3705"/>
      <c r="R49" s="3706" t="e">
        <f>IF(F1="售价",ROUND(PRODUCT(R48,AA7:AA47),0),ROUND(PRODUCT(R48,AA7:AA47),1))</f>
        <v>#DIV/0!</v>
      </c>
      <c r="S49" s="3706"/>
      <c r="T49" s="3706" t="e">
        <f>IF(F1="售价",ROUND(PRODUCT(T48,AB7:AB47),0),ROUND(PRODUCT(T48,AB7:AB47),1))</f>
        <v>#DIV/0!</v>
      </c>
      <c r="U49" s="3706"/>
      <c r="V49" s="3706" t="e">
        <f>IF(F1="售价",ROUND(PRODUCT(V48,AC7:AC47),0),ROUND(PRODUCT(V48,AC7:AC47),1))</f>
        <v>#DIV/0!</v>
      </c>
      <c r="W49" s="3706"/>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4"/>
      <c r="L50" s="2722"/>
      <c r="M50" s="2714"/>
      <c r="N50" s="2714"/>
      <c r="O50" s="2714"/>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2023-11</v>
      </c>
      <c r="D59" s="1184">
        <f>EDATE(C59,-1)</f>
        <v>45200</v>
      </c>
      <c r="E59" s="1184">
        <f>EDATE(D59,-1)</f>
        <v>45170</v>
      </c>
      <c r="F59" s="1184">
        <f t="shared" ref="F59:O59" si="16">EDATE(E59,-1)</f>
        <v>45139</v>
      </c>
      <c r="G59" s="1184">
        <f t="shared" si="16"/>
        <v>45108</v>
      </c>
      <c r="H59" s="1184">
        <f t="shared" si="16"/>
        <v>45078</v>
      </c>
      <c r="I59" s="1184">
        <f t="shared" si="16"/>
        <v>45047</v>
      </c>
      <c r="J59" s="1184">
        <f t="shared" si="16"/>
        <v>45017</v>
      </c>
      <c r="K59" s="1184">
        <f t="shared" si="16"/>
        <v>44986</v>
      </c>
      <c r="L59" s="1184">
        <f t="shared" si="16"/>
        <v>44958</v>
      </c>
      <c r="M59" s="1184">
        <f t="shared" si="16"/>
        <v>44927</v>
      </c>
      <c r="N59" s="1184">
        <f t="shared" si="16"/>
        <v>44896</v>
      </c>
      <c r="O59" s="1184">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估价对象为房地产，为所有。根据《国有土地使用证》[]，估价对象（分摊）出让国有建设用地使用权面积为70820.8平方米，建筑面积为90300.22平方米。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估价对象为房地产,属开发建设的，该项目尚在开发建设中。根据《国有土地使用证》[]，估价对象（分摊）出让国有建设用地使用权面积为70820.8平方米，规划建筑面积为90300.22平方米。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2023年11月10日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10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1826</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90300.22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912"/>
      <c r="M4" s="913"/>
      <c r="N4" s="913"/>
      <c r="O4" s="913"/>
      <c r="P4" s="3692" t="s">
        <v>1775</v>
      </c>
      <c r="Q4" s="3693"/>
      <c r="R4" s="3675" t="s">
        <v>1771</v>
      </c>
      <c r="S4" s="3676"/>
      <c r="T4" s="3675" t="s">
        <v>1772</v>
      </c>
      <c r="U4" s="3676"/>
      <c r="V4" s="3700" t="s">
        <v>1773</v>
      </c>
      <c r="W4" s="3700"/>
      <c r="X4" s="1354"/>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912"/>
      <c r="M5" s="913"/>
      <c r="N5" s="913"/>
      <c r="O5" s="913"/>
      <c r="P5" s="3694"/>
      <c r="Q5" s="3695"/>
      <c r="R5" s="3677"/>
      <c r="S5" s="3678"/>
      <c r="T5" s="3677"/>
      <c r="U5" s="3678"/>
      <c r="V5" s="3700"/>
      <c r="W5" s="3700"/>
      <c r="X5" s="1354"/>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912"/>
      <c r="M6" s="913"/>
      <c r="N6" s="913"/>
      <c r="O6" s="913"/>
      <c r="P6" s="3696"/>
      <c r="Q6" s="3697"/>
      <c r="R6" s="3677"/>
      <c r="S6" s="3678"/>
      <c r="T6" s="3698"/>
      <c r="U6" s="3699"/>
      <c r="V6" s="3700"/>
      <c r="W6" s="3700"/>
      <c r="X6" s="1354"/>
      <c r="Y6" s="3698"/>
      <c r="Z6" s="3699"/>
      <c r="AA6" s="3672"/>
      <c r="AB6" s="3672"/>
      <c r="AC6" s="3672"/>
    </row>
    <row r="7" spans="1:29" s="108" customFormat="1" ht="15.75" thickBot="1">
      <c r="A7" s="362" t="s">
        <v>1679</v>
      </c>
      <c r="B7" s="363"/>
      <c r="C7" s="364">
        <f>'数据-取费表'!B2</f>
        <v>45240</v>
      </c>
      <c r="D7" s="365">
        <v>100</v>
      </c>
      <c r="E7" s="366"/>
      <c r="F7" s="367">
        <f>SUMIF(52:52,YEAR(E7)&amp;"-"&amp;MONTH(E7),53:53)</f>
        <v>0</v>
      </c>
      <c r="G7" s="366"/>
      <c r="H7" s="365">
        <f>SUMIF(52:52,YEAR(G7)&amp;"-"&amp;MONTH(G7),53:53)</f>
        <v>0</v>
      </c>
      <c r="I7" s="366"/>
      <c r="J7" s="365">
        <f>SUMIF(52:52,YEAR(I7)&amp;"-"&amp;MONTH(I7),53:53)</f>
        <v>0</v>
      </c>
      <c r="K7" s="560"/>
      <c r="L7" s="914"/>
      <c r="M7" s="915"/>
      <c r="N7" s="915"/>
      <c r="O7" s="915"/>
      <c r="P7" s="3673" t="s">
        <v>1680</v>
      </c>
      <c r="Q7" s="3701"/>
      <c r="R7" s="700" t="s">
        <v>14</v>
      </c>
      <c r="S7" s="701">
        <f t="shared" ref="S7:S15" si="0">F7</f>
        <v>0</v>
      </c>
      <c r="T7" s="700" t="s">
        <v>14</v>
      </c>
      <c r="U7" s="701">
        <f t="shared" ref="U7:U15" si="1">H7</f>
        <v>0</v>
      </c>
      <c r="V7" s="700" t="s">
        <v>14</v>
      </c>
      <c r="W7" s="701">
        <f t="shared" ref="W7:W15" si="2">J7</f>
        <v>0</v>
      </c>
      <c r="X7" s="702"/>
      <c r="Y7" s="3673" t="s">
        <v>1680</v>
      </c>
      <c r="Z7" s="367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73" t="s">
        <v>1683</v>
      </c>
      <c r="Q8" s="3674"/>
      <c r="R8" s="700" t="s">
        <v>14</v>
      </c>
      <c r="S8" s="701">
        <f t="shared" si="0"/>
        <v>100</v>
      </c>
      <c r="T8" s="700" t="s">
        <v>14</v>
      </c>
      <c r="U8" s="701">
        <f t="shared" si="1"/>
        <v>100</v>
      </c>
      <c r="V8" s="700" t="s">
        <v>14</v>
      </c>
      <c r="W8" s="701">
        <f t="shared" si="2"/>
        <v>100</v>
      </c>
      <c r="X8" s="702"/>
      <c r="Y8" s="3673" t="s">
        <v>1683</v>
      </c>
      <c r="Z8" s="367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5" t="s">
        <v>1686</v>
      </c>
      <c r="Q9" s="1342"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705"/>
      <c r="Q10" s="1342"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5"/>
      <c r="Q11" s="1342" t="str">
        <f t="shared" si="6"/>
        <v>容积率</v>
      </c>
      <c r="R11" s="700" t="s">
        <v>14</v>
      </c>
      <c r="S11" s="701">
        <f t="shared" si="0"/>
        <v>100</v>
      </c>
      <c r="T11" s="700" t="s">
        <v>14</v>
      </c>
      <c r="U11" s="701">
        <f t="shared" si="1"/>
        <v>100</v>
      </c>
      <c r="V11" s="700" t="s">
        <v>14</v>
      </c>
      <c r="W11" s="701">
        <f t="shared" si="2"/>
        <v>100</v>
      </c>
      <c r="X11" s="702"/>
      <c r="Y11" s="3617"/>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705"/>
      <c r="Q12" s="1342">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705"/>
      <c r="Q13" s="1342">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705"/>
      <c r="Q14" s="1342">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703">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7" t="s">
        <v>1691</v>
      </c>
      <c r="Q15" s="1351" t="str">
        <f t="shared" si="6"/>
        <v>产业集聚程度</v>
      </c>
      <c r="R15" s="704" t="s">
        <v>14</v>
      </c>
      <c r="S15" s="705">
        <f t="shared" si="0"/>
        <v>100</v>
      </c>
      <c r="T15" s="704" t="s">
        <v>14</v>
      </c>
      <c r="U15" s="705">
        <f t="shared" si="1"/>
        <v>100</v>
      </c>
      <c r="V15" s="704" t="s">
        <v>14</v>
      </c>
      <c r="W15" s="705">
        <f t="shared" si="2"/>
        <v>100</v>
      </c>
      <c r="X15" s="1354"/>
      <c r="Y15" s="370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8"/>
      <c r="Q16" s="1351"/>
      <c r="R16" s="704"/>
      <c r="S16" s="705"/>
      <c r="T16" s="704"/>
      <c r="U16" s="705"/>
      <c r="V16" s="704"/>
      <c r="W16" s="705"/>
      <c r="X16" s="1354"/>
      <c r="Y16" s="3708"/>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8"/>
      <c r="Q17" s="1351" t="str">
        <f>B17</f>
        <v>交通便捷度</v>
      </c>
      <c r="R17" s="704" t="s">
        <v>14</v>
      </c>
      <c r="S17" s="705">
        <f>F17</f>
        <v>100</v>
      </c>
      <c r="T17" s="704" t="s">
        <v>14</v>
      </c>
      <c r="U17" s="705">
        <f>H17</f>
        <v>100</v>
      </c>
      <c r="V17" s="704" t="s">
        <v>14</v>
      </c>
      <c r="W17" s="705">
        <f>J17</f>
        <v>100</v>
      </c>
      <c r="X17" s="1354"/>
      <c r="Y17" s="3708"/>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2"/>
      <c r="M18" s="913"/>
      <c r="N18" s="913"/>
      <c r="O18" s="921"/>
      <c r="P18" s="3708"/>
      <c r="Q18" s="1351"/>
      <c r="R18" s="704"/>
      <c r="S18" s="705"/>
      <c r="T18" s="704"/>
      <c r="U18" s="705"/>
      <c r="V18" s="704"/>
      <c r="W18" s="705"/>
      <c r="X18" s="1354"/>
      <c r="Y18" s="3708"/>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8"/>
      <c r="Q19" s="1351" t="str">
        <f>B19</f>
        <v>公共配套设施</v>
      </c>
      <c r="R19" s="704" t="s">
        <v>14</v>
      </c>
      <c r="S19" s="705">
        <f>F19</f>
        <v>100</v>
      </c>
      <c r="T19" s="704" t="s">
        <v>14</v>
      </c>
      <c r="U19" s="705">
        <f>H19</f>
        <v>100</v>
      </c>
      <c r="V19" s="704" t="s">
        <v>14</v>
      </c>
      <c r="W19" s="705">
        <f>J19</f>
        <v>100</v>
      </c>
      <c r="X19" s="1354"/>
      <c r="Y19" s="3708"/>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2"/>
      <c r="M20" s="913"/>
      <c r="N20" s="913"/>
      <c r="O20" s="921"/>
      <c r="P20" s="3708"/>
      <c r="Q20" s="1351"/>
      <c r="R20" s="704"/>
      <c r="S20" s="705"/>
      <c r="T20" s="704"/>
      <c r="U20" s="705"/>
      <c r="V20" s="704"/>
      <c r="W20" s="705"/>
      <c r="X20" s="1354"/>
      <c r="Y20" s="3708"/>
      <c r="Z20" s="1355"/>
      <c r="AA20" s="1352">
        <v>1</v>
      </c>
      <c r="AB20" s="1352">
        <v>1</v>
      </c>
      <c r="AC20" s="1352">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8"/>
      <c r="Q21" s="1351" t="str">
        <f>B21</f>
        <v>基础设施水平</v>
      </c>
      <c r="R21" s="704" t="s">
        <v>14</v>
      </c>
      <c r="S21" s="705">
        <f>F21</f>
        <v>100</v>
      </c>
      <c r="T21" s="704" t="s">
        <v>14</v>
      </c>
      <c r="U21" s="705">
        <f>H21</f>
        <v>100</v>
      </c>
      <c r="V21" s="704" t="s">
        <v>14</v>
      </c>
      <c r="W21" s="705">
        <f>J21</f>
        <v>100</v>
      </c>
      <c r="X21" s="1354"/>
      <c r="Y21" s="3708"/>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922"/>
      <c r="M22" s="913"/>
      <c r="N22" s="913"/>
      <c r="O22" s="921"/>
      <c r="P22" s="3708"/>
      <c r="Q22" s="1351"/>
      <c r="R22" s="704"/>
      <c r="S22" s="705"/>
      <c r="T22" s="704"/>
      <c r="U22" s="705"/>
      <c r="V22" s="704"/>
      <c r="W22" s="705"/>
      <c r="X22" s="1354"/>
      <c r="Y22" s="3708"/>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8"/>
      <c r="Q23" s="1351" t="str">
        <f>B23</f>
        <v>环境质量</v>
      </c>
      <c r="R23" s="704" t="s">
        <v>14</v>
      </c>
      <c r="S23" s="705">
        <f>F23</f>
        <v>100</v>
      </c>
      <c r="T23" s="704" t="s">
        <v>14</v>
      </c>
      <c r="U23" s="705">
        <f>H23</f>
        <v>100</v>
      </c>
      <c r="V23" s="704" t="s">
        <v>14</v>
      </c>
      <c r="W23" s="705">
        <f>J23</f>
        <v>100</v>
      </c>
      <c r="X23" s="1354"/>
      <c r="Y23" s="3708"/>
      <c r="Z23" s="1355" t="str">
        <f>Q23</f>
        <v>环境质量</v>
      </c>
      <c r="AA23" s="1352">
        <f t="shared" si="3"/>
        <v>1</v>
      </c>
      <c r="AB23" s="1352">
        <f t="shared" si="4"/>
        <v>1</v>
      </c>
      <c r="AC23" s="1352">
        <f t="shared" si="5"/>
        <v>1</v>
      </c>
    </row>
    <row r="24" spans="1:29" ht="15">
      <c r="A24" s="379"/>
      <c r="B24" s="1130"/>
      <c r="C24" s="398"/>
      <c r="D24" s="399"/>
      <c r="E24" s="1896"/>
      <c r="F24" s="400"/>
      <c r="G24" s="1895"/>
      <c r="H24" s="399"/>
      <c r="I24" s="1896"/>
      <c r="J24" s="399"/>
      <c r="K24" s="564"/>
      <c r="L24" s="922"/>
      <c r="M24" s="913"/>
      <c r="N24" s="913"/>
      <c r="O24" s="921"/>
      <c r="P24" s="3708"/>
      <c r="Q24" s="1351"/>
      <c r="R24" s="704"/>
      <c r="S24" s="705"/>
      <c r="T24" s="704"/>
      <c r="U24" s="705"/>
      <c r="V24" s="704"/>
      <c r="W24" s="705"/>
      <c r="X24" s="1354"/>
      <c r="Y24" s="3708"/>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8"/>
      <c r="Q25" s="1351">
        <f>B25</f>
        <v>111</v>
      </c>
      <c r="R25" s="704" t="s">
        <v>14</v>
      </c>
      <c r="S25" s="705">
        <f>F25</f>
        <v>100</v>
      </c>
      <c r="T25" s="704" t="s">
        <v>14</v>
      </c>
      <c r="U25" s="705">
        <f>H25</f>
        <v>100</v>
      </c>
      <c r="V25" s="704" t="s">
        <v>14</v>
      </c>
      <c r="W25" s="705">
        <f>J25</f>
        <v>100</v>
      </c>
      <c r="X25" s="1354"/>
      <c r="Y25" s="3708"/>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8"/>
      <c r="Q26" s="1351">
        <f t="shared" ref="Q26:Q40" si="11">B26</f>
        <v>111</v>
      </c>
      <c r="R26" s="704" t="s">
        <v>14</v>
      </c>
      <c r="S26" s="705">
        <f>F26</f>
        <v>100</v>
      </c>
      <c r="T26" s="704" t="s">
        <v>14</v>
      </c>
      <c r="U26" s="705">
        <f>H26</f>
        <v>100</v>
      </c>
      <c r="V26" s="704" t="s">
        <v>14</v>
      </c>
      <c r="W26" s="705">
        <f>J26</f>
        <v>100</v>
      </c>
      <c r="X26" s="1354"/>
      <c r="Y26" s="3708"/>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8"/>
      <c r="Q27" s="1342">
        <f t="shared" si="11"/>
        <v>111</v>
      </c>
      <c r="R27" s="700" t="s">
        <v>14</v>
      </c>
      <c r="S27" s="701">
        <f>F27</f>
        <v>100</v>
      </c>
      <c r="T27" s="700" t="s">
        <v>14</v>
      </c>
      <c r="U27" s="701">
        <f>H27</f>
        <v>100</v>
      </c>
      <c r="V27" s="700" t="s">
        <v>14</v>
      </c>
      <c r="W27" s="701">
        <f>J27</f>
        <v>100</v>
      </c>
      <c r="X27" s="702"/>
      <c r="Y27" s="3708"/>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8"/>
      <c r="Q28" s="1351">
        <f t="shared" si="11"/>
        <v>111</v>
      </c>
      <c r="R28" s="704" t="s">
        <v>14</v>
      </c>
      <c r="S28" s="705">
        <f t="shared" ref="S28:S40" si="12">F28</f>
        <v>100</v>
      </c>
      <c r="T28" s="704" t="s">
        <v>14</v>
      </c>
      <c r="U28" s="705">
        <f t="shared" ref="U28:U40" si="13">H28</f>
        <v>100</v>
      </c>
      <c r="V28" s="704" t="s">
        <v>14</v>
      </c>
      <c r="W28" s="705">
        <f t="shared" ref="W28:W40" si="14">J28</f>
        <v>100</v>
      </c>
      <c r="X28" s="1354"/>
      <c r="Y28" s="3708"/>
      <c r="Z28" s="1355">
        <f t="shared" ref="Z28:Z40" si="15">Q28</f>
        <v>111</v>
      </c>
      <c r="AA28" s="1352">
        <f t="shared" si="3"/>
        <v>1</v>
      </c>
      <c r="AB28" s="1352">
        <f t="shared" si="4"/>
        <v>1</v>
      </c>
      <c r="AC28" s="1352">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31" t="s">
        <v>1696</v>
      </c>
      <c r="Q29" s="1351" t="str">
        <f t="shared" si="11"/>
        <v>建筑类型</v>
      </c>
      <c r="R29" s="704" t="s">
        <v>14</v>
      </c>
      <c r="S29" s="705">
        <f t="shared" si="12"/>
        <v>100</v>
      </c>
      <c r="T29" s="704" t="s">
        <v>14</v>
      </c>
      <c r="U29" s="705">
        <f t="shared" si="13"/>
        <v>100</v>
      </c>
      <c r="V29" s="704" t="s">
        <v>14</v>
      </c>
      <c r="W29" s="705">
        <f t="shared" si="14"/>
        <v>100</v>
      </c>
      <c r="X29" s="1354"/>
      <c r="Y29" s="371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12"/>
      <c r="Q30" s="706" t="str">
        <f t="shared" si="11"/>
        <v>项目建筑规模</v>
      </c>
      <c r="R30" s="707" t="s">
        <v>14</v>
      </c>
      <c r="S30" s="708" t="e">
        <f t="shared" si="12"/>
        <v>#N/A</v>
      </c>
      <c r="T30" s="707" t="s">
        <v>14</v>
      </c>
      <c r="U30" s="708" t="e">
        <f t="shared" si="13"/>
        <v>#N/A</v>
      </c>
      <c r="V30" s="707" t="s">
        <v>14</v>
      </c>
      <c r="W30" s="708" t="e">
        <f t="shared" si="14"/>
        <v>#N/A</v>
      </c>
      <c r="X30" s="709"/>
      <c r="Y30" s="3712"/>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12"/>
      <c r="Q31" s="1351" t="str">
        <f t="shared" si="11"/>
        <v>建筑结构</v>
      </c>
      <c r="R31" s="704" t="s">
        <v>14</v>
      </c>
      <c r="S31" s="705">
        <f t="shared" si="12"/>
        <v>100</v>
      </c>
      <c r="T31" s="704" t="s">
        <v>14</v>
      </c>
      <c r="U31" s="705">
        <f t="shared" si="13"/>
        <v>100</v>
      </c>
      <c r="V31" s="704" t="s">
        <v>14</v>
      </c>
      <c r="W31" s="705">
        <f t="shared" si="14"/>
        <v>100</v>
      </c>
      <c r="X31" s="1354"/>
      <c r="Y31" s="371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12"/>
      <c r="Q32" s="1351" t="str">
        <f t="shared" si="11"/>
        <v>公共部分装修</v>
      </c>
      <c r="R32" s="704" t="s">
        <v>14</v>
      </c>
      <c r="S32" s="705">
        <f t="shared" si="12"/>
        <v>100</v>
      </c>
      <c r="T32" s="704" t="s">
        <v>14</v>
      </c>
      <c r="U32" s="705">
        <f t="shared" si="13"/>
        <v>100</v>
      </c>
      <c r="V32" s="704" t="s">
        <v>14</v>
      </c>
      <c r="W32" s="705">
        <f t="shared" si="14"/>
        <v>100</v>
      </c>
      <c r="X32" s="1354"/>
      <c r="Y32" s="371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12"/>
      <c r="Q33" s="1351" t="str">
        <f t="shared" si="11"/>
        <v>成新度</v>
      </c>
      <c r="R33" s="704" t="s">
        <v>14</v>
      </c>
      <c r="S33" s="705" t="e">
        <f t="shared" si="12"/>
        <v>#N/A</v>
      </c>
      <c r="T33" s="704" t="s">
        <v>14</v>
      </c>
      <c r="U33" s="705" t="e">
        <f t="shared" si="13"/>
        <v>#N/A</v>
      </c>
      <c r="V33" s="704" t="s">
        <v>14</v>
      </c>
      <c r="W33" s="705" t="e">
        <f t="shared" si="14"/>
        <v>#N/A</v>
      </c>
      <c r="X33" s="1354"/>
      <c r="Y33" s="371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12"/>
      <c r="Q34" s="1342" t="str">
        <f t="shared" si="11"/>
        <v>物业管理</v>
      </c>
      <c r="R34" s="700" t="s">
        <v>14</v>
      </c>
      <c r="S34" s="701">
        <f t="shared" si="12"/>
        <v>100</v>
      </c>
      <c r="T34" s="700" t="s">
        <v>14</v>
      </c>
      <c r="U34" s="701">
        <f t="shared" si="13"/>
        <v>100</v>
      </c>
      <c r="V34" s="700" t="s">
        <v>14</v>
      </c>
      <c r="W34" s="701">
        <f t="shared" si="14"/>
        <v>100</v>
      </c>
      <c r="X34" s="702"/>
      <c r="Y34" s="3712"/>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12" t="s">
        <v>1696</v>
      </c>
      <c r="Q35" s="1351" t="str">
        <f t="shared" si="11"/>
        <v>市政基础设施</v>
      </c>
      <c r="R35" s="704" t="s">
        <v>14</v>
      </c>
      <c r="S35" s="705">
        <f t="shared" si="12"/>
        <v>100</v>
      </c>
      <c r="T35" s="704" t="s">
        <v>14</v>
      </c>
      <c r="U35" s="705">
        <f t="shared" si="13"/>
        <v>100</v>
      </c>
      <c r="V35" s="704" t="s">
        <v>14</v>
      </c>
      <c r="W35" s="705">
        <f t="shared" si="14"/>
        <v>100</v>
      </c>
      <c r="X35" s="1354"/>
      <c r="Y35" s="371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12"/>
      <c r="Q36" s="1351" t="str">
        <f t="shared" si="11"/>
        <v>内部装修</v>
      </c>
      <c r="R36" s="704" t="s">
        <v>14</v>
      </c>
      <c r="S36" s="705">
        <f t="shared" si="12"/>
        <v>100</v>
      </c>
      <c r="T36" s="704" t="s">
        <v>14</v>
      </c>
      <c r="U36" s="705">
        <f t="shared" si="13"/>
        <v>100</v>
      </c>
      <c r="V36" s="704" t="s">
        <v>14</v>
      </c>
      <c r="W36" s="705">
        <f t="shared" si="14"/>
        <v>100</v>
      </c>
      <c r="X36" s="1354"/>
      <c r="Y36" s="371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12"/>
      <c r="Q37" s="1351" t="str">
        <f t="shared" si="11"/>
        <v>内部装修状况</v>
      </c>
      <c r="R37" s="704" t="s">
        <v>14</v>
      </c>
      <c r="S37" s="705">
        <f t="shared" si="12"/>
        <v>100</v>
      </c>
      <c r="T37" s="704" t="s">
        <v>14</v>
      </c>
      <c r="U37" s="705">
        <f t="shared" si="13"/>
        <v>100</v>
      </c>
      <c r="V37" s="704" t="s">
        <v>14</v>
      </c>
      <c r="W37" s="705">
        <f t="shared" si="14"/>
        <v>100</v>
      </c>
      <c r="X37" s="1354"/>
      <c r="Y37" s="3712"/>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12"/>
      <c r="Q38" s="706">
        <f t="shared" si="11"/>
        <v>111</v>
      </c>
      <c r="R38" s="707" t="s">
        <v>14</v>
      </c>
      <c r="S38" s="708">
        <f t="shared" si="12"/>
        <v>100</v>
      </c>
      <c r="T38" s="707" t="s">
        <v>14</v>
      </c>
      <c r="U38" s="708">
        <f t="shared" si="13"/>
        <v>100</v>
      </c>
      <c r="V38" s="707" t="s">
        <v>14</v>
      </c>
      <c r="W38" s="708">
        <f t="shared" si="14"/>
        <v>100</v>
      </c>
      <c r="X38" s="709"/>
      <c r="Y38" s="3712"/>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12"/>
      <c r="Q39" s="1351">
        <f t="shared" si="11"/>
        <v>111</v>
      </c>
      <c r="R39" s="704" t="s">
        <v>14</v>
      </c>
      <c r="S39" s="705">
        <f t="shared" si="12"/>
        <v>100</v>
      </c>
      <c r="T39" s="704" t="s">
        <v>14</v>
      </c>
      <c r="U39" s="705">
        <f t="shared" si="13"/>
        <v>100</v>
      </c>
      <c r="V39" s="704" t="s">
        <v>14</v>
      </c>
      <c r="W39" s="705">
        <f t="shared" si="14"/>
        <v>100</v>
      </c>
      <c r="X39" s="1354"/>
      <c r="Y39" s="3712"/>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13"/>
      <c r="Q40" s="1351">
        <f t="shared" si="11"/>
        <v>111</v>
      </c>
      <c r="R40" s="704" t="s">
        <v>14</v>
      </c>
      <c r="S40" s="705">
        <f t="shared" si="12"/>
        <v>100</v>
      </c>
      <c r="T40" s="704" t="s">
        <v>14</v>
      </c>
      <c r="U40" s="705">
        <f t="shared" si="13"/>
        <v>100</v>
      </c>
      <c r="V40" s="704" t="s">
        <v>14</v>
      </c>
      <c r="W40" s="705">
        <f t="shared" si="14"/>
        <v>100</v>
      </c>
      <c r="X40" s="1354"/>
      <c r="Y40" s="3713"/>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05" t="str">
        <f>A41</f>
        <v>成交单价（元/平方米）</v>
      </c>
      <c r="Q41" s="3705"/>
      <c r="R41" s="3706">
        <f>E41</f>
        <v>0</v>
      </c>
      <c r="S41" s="3706"/>
      <c r="T41" s="3706">
        <f>G41</f>
        <v>0</v>
      </c>
      <c r="U41" s="3706"/>
      <c r="V41" s="3706">
        <f>I41</f>
        <v>0</v>
      </c>
      <c r="W41" s="3706"/>
      <c r="X41" s="689"/>
      <c r="Y41" s="711"/>
      <c r="Z41" s="689"/>
      <c r="AA41" s="689"/>
      <c r="AB41" s="689"/>
      <c r="AC41" s="689"/>
    </row>
    <row r="42" spans="1:29" ht="15.75" thickBot="1">
      <c r="A42" s="437" t="s">
        <v>1793</v>
      </c>
      <c r="B42" s="438"/>
      <c r="C42" s="1159" t="e">
        <f>R43</f>
        <v>#DIV/0!</v>
      </c>
      <c r="D42" s="2315" t="s">
        <v>2137</v>
      </c>
      <c r="E42" s="1160" t="e">
        <f>R42</f>
        <v>#DIV/0!</v>
      </c>
      <c r="F42" s="2316"/>
      <c r="G42" s="1159" t="e">
        <f>T42</f>
        <v>#DIV/0!</v>
      </c>
      <c r="H42" s="2316"/>
      <c r="I42" s="1160" t="e">
        <f>V42</f>
        <v>#DIV/0!</v>
      </c>
      <c r="J42" s="2316"/>
      <c r="K42" s="2318">
        <f>F42+H42+J42</f>
        <v>0</v>
      </c>
      <c r="L42" s="925"/>
      <c r="M42" s="926"/>
      <c r="N42" s="913"/>
      <c r="O42" s="926"/>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2023-11</v>
      </c>
      <c r="D52" s="1184">
        <f>EDATE(C52,-1)</f>
        <v>45200</v>
      </c>
      <c r="E52" s="1184">
        <f t="shared" ref="E52:O52" si="16">EDATE(D52,-1)</f>
        <v>45170</v>
      </c>
      <c r="F52" s="1184">
        <f t="shared" si="16"/>
        <v>45139</v>
      </c>
      <c r="G52" s="1184">
        <f t="shared" si="16"/>
        <v>45108</v>
      </c>
      <c r="H52" s="1184">
        <f t="shared" si="16"/>
        <v>45078</v>
      </c>
      <c r="I52" s="1184">
        <f t="shared" si="16"/>
        <v>45047</v>
      </c>
      <c r="J52" s="1184">
        <f t="shared" si="16"/>
        <v>45017</v>
      </c>
      <c r="K52" s="1184">
        <f t="shared" si="16"/>
        <v>44986</v>
      </c>
      <c r="L52" s="1184">
        <f t="shared" si="16"/>
        <v>44958</v>
      </c>
      <c r="M52" s="1184">
        <f t="shared" si="16"/>
        <v>44927</v>
      </c>
      <c r="N52" s="1184">
        <f t="shared" si="16"/>
        <v>44896</v>
      </c>
      <c r="O52" s="1184">
        <f t="shared" si="16"/>
        <v>44866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1"/>
      <c r="F1" s="1877"/>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75" t="s">
        <v>1771</v>
      </c>
      <c r="S4" s="3676"/>
      <c r="T4" s="3675" t="s">
        <v>1772</v>
      </c>
      <c r="U4" s="3676"/>
      <c r="V4" s="3700" t="s">
        <v>1773</v>
      </c>
      <c r="W4" s="3700"/>
      <c r="X4" s="1354"/>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3"/>
      <c r="M5" s="2714"/>
      <c r="N5" s="2714"/>
      <c r="O5" s="2714"/>
      <c r="P5" s="3694"/>
      <c r="Q5" s="3695"/>
      <c r="R5" s="3677"/>
      <c r="S5" s="3678"/>
      <c r="T5" s="3677"/>
      <c r="U5" s="3678"/>
      <c r="V5" s="3700"/>
      <c r="W5" s="3700"/>
      <c r="X5" s="1354"/>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3"/>
      <c r="M6" s="2714"/>
      <c r="N6" s="2714"/>
      <c r="O6" s="2714"/>
      <c r="P6" s="3696"/>
      <c r="Q6" s="3697"/>
      <c r="R6" s="3677"/>
      <c r="S6" s="3678"/>
      <c r="T6" s="3698"/>
      <c r="U6" s="3699"/>
      <c r="V6" s="3700"/>
      <c r="W6" s="3700"/>
      <c r="X6" s="1354"/>
      <c r="Y6" s="3698"/>
      <c r="Z6" s="3699"/>
      <c r="AA6" s="3672"/>
      <c r="AB6" s="3672"/>
      <c r="AC6" s="3672"/>
    </row>
    <row r="7" spans="1:29" s="108" customFormat="1" ht="15.75" thickBot="1">
      <c r="A7" s="362" t="s">
        <v>1679</v>
      </c>
      <c r="B7" s="363"/>
      <c r="C7" s="364">
        <f>'数据-取费表'!B2</f>
        <v>45240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3" t="s">
        <v>1680</v>
      </c>
      <c r="Q7" s="3701"/>
      <c r="R7" s="700" t="s">
        <v>14</v>
      </c>
      <c r="S7" s="701">
        <f t="shared" ref="S7:S14" si="0">F7</f>
        <v>0</v>
      </c>
      <c r="T7" s="700" t="s">
        <v>14</v>
      </c>
      <c r="U7" s="701">
        <f t="shared" ref="U7:U14" si="1">H7</f>
        <v>0</v>
      </c>
      <c r="V7" s="700" t="s">
        <v>14</v>
      </c>
      <c r="W7" s="701">
        <f t="shared" ref="W7:W14" si="2">J7</f>
        <v>0</v>
      </c>
      <c r="X7" s="702"/>
      <c r="Y7" s="3673" t="s">
        <v>1680</v>
      </c>
      <c r="Z7" s="367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3" t="s">
        <v>1683</v>
      </c>
      <c r="Q8" s="3674"/>
      <c r="R8" s="700" t="s">
        <v>14</v>
      </c>
      <c r="S8" s="701">
        <f t="shared" si="0"/>
        <v>100</v>
      </c>
      <c r="T8" s="700" t="s">
        <v>14</v>
      </c>
      <c r="U8" s="701">
        <f t="shared" si="1"/>
        <v>100</v>
      </c>
      <c r="V8" s="700" t="s">
        <v>14</v>
      </c>
      <c r="W8" s="701">
        <f t="shared" si="2"/>
        <v>100</v>
      </c>
      <c r="X8" s="702"/>
      <c r="Y8" s="3673" t="s">
        <v>1683</v>
      </c>
      <c r="Z8" s="3674"/>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5" t="s">
        <v>1686</v>
      </c>
      <c r="Q9" s="1342" t="str">
        <f t="shared" ref="Q9:Q14" si="6">B9</f>
        <v>用途</v>
      </c>
      <c r="R9" s="700" t="s">
        <v>14</v>
      </c>
      <c r="S9" s="701">
        <f t="shared" si="0"/>
        <v>100</v>
      </c>
      <c r="T9" s="700" t="s">
        <v>14</v>
      </c>
      <c r="U9" s="701">
        <f t="shared" si="1"/>
        <v>100</v>
      </c>
      <c r="V9" s="700" t="s">
        <v>14</v>
      </c>
      <c r="W9" s="701">
        <f t="shared" si="2"/>
        <v>100</v>
      </c>
      <c r="X9" s="702"/>
      <c r="Y9" s="3617" t="s">
        <v>1687</v>
      </c>
      <c r="Z9" s="52" t="str">
        <f t="shared" ref="Z9:Z14" si="7">Q9</f>
        <v>用途</v>
      </c>
      <c r="AA9" s="703">
        <f t="shared" si="3"/>
        <v>1</v>
      </c>
      <c r="AB9" s="703">
        <f t="shared" si="4"/>
        <v>1</v>
      </c>
      <c r="AC9" s="703">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5"/>
      <c r="Q10" s="1342"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5"/>
      <c r="Q11" s="1342">
        <f t="shared" si="6"/>
        <v>111</v>
      </c>
      <c r="R11" s="700" t="s">
        <v>14</v>
      </c>
      <c r="S11" s="701">
        <f t="shared" si="0"/>
        <v>100</v>
      </c>
      <c r="T11" s="700" t="s">
        <v>14</v>
      </c>
      <c r="U11" s="701">
        <f t="shared" si="1"/>
        <v>100</v>
      </c>
      <c r="V11" s="700" t="s">
        <v>14</v>
      </c>
      <c r="W11" s="701">
        <f t="shared" si="2"/>
        <v>100</v>
      </c>
      <c r="X11" s="702"/>
      <c r="Y11" s="3617"/>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5"/>
      <c r="Q12" s="1342">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5"/>
      <c r="Q13" s="1342">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7" t="s">
        <v>1691</v>
      </c>
      <c r="Q14" s="1351" t="str">
        <f t="shared" si="6"/>
        <v>交通便捷度</v>
      </c>
      <c r="R14" s="704" t="s">
        <v>14</v>
      </c>
      <c r="S14" s="705">
        <f t="shared" si="0"/>
        <v>100</v>
      </c>
      <c r="T14" s="704" t="s">
        <v>14</v>
      </c>
      <c r="U14" s="705">
        <f t="shared" si="1"/>
        <v>100</v>
      </c>
      <c r="V14" s="704" t="s">
        <v>14</v>
      </c>
      <c r="W14" s="705">
        <f t="shared" si="2"/>
        <v>100</v>
      </c>
      <c r="X14" s="1354"/>
      <c r="Y14" s="3707"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08"/>
      <c r="Q15" s="1351"/>
      <c r="R15" s="704"/>
      <c r="S15" s="705"/>
      <c r="T15" s="704"/>
      <c r="U15" s="705"/>
      <c r="V15" s="704"/>
      <c r="W15" s="705"/>
      <c r="X15" s="1354"/>
      <c r="Y15" s="3708"/>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8"/>
      <c r="Q16" s="1351" t="str">
        <f>B16</f>
        <v>公共配套设施</v>
      </c>
      <c r="R16" s="704" t="s">
        <v>14</v>
      </c>
      <c r="S16" s="705">
        <f>F16</f>
        <v>100</v>
      </c>
      <c r="T16" s="704" t="s">
        <v>14</v>
      </c>
      <c r="U16" s="705">
        <f>H16</f>
        <v>100</v>
      </c>
      <c r="V16" s="704" t="s">
        <v>14</v>
      </c>
      <c r="W16" s="705">
        <f>J16</f>
        <v>100</v>
      </c>
      <c r="X16" s="1354"/>
      <c r="Y16" s="3708"/>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20"/>
      <c r="M17" s="2714"/>
      <c r="N17" s="2714"/>
      <c r="O17" s="2714"/>
      <c r="P17" s="3708"/>
      <c r="Q17" s="1351"/>
      <c r="R17" s="704"/>
      <c r="S17" s="705"/>
      <c r="T17" s="704"/>
      <c r="U17" s="705"/>
      <c r="V17" s="704"/>
      <c r="W17" s="705"/>
      <c r="X17" s="1354"/>
      <c r="Y17" s="3708"/>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8"/>
      <c r="Q18" s="1351" t="str">
        <f>B18</f>
        <v>基础设施水平</v>
      </c>
      <c r="R18" s="704" t="s">
        <v>14</v>
      </c>
      <c r="S18" s="705">
        <f>F18</f>
        <v>100</v>
      </c>
      <c r="T18" s="704" t="s">
        <v>14</v>
      </c>
      <c r="U18" s="705">
        <f>H18</f>
        <v>100</v>
      </c>
      <c r="V18" s="704" t="s">
        <v>14</v>
      </c>
      <c r="W18" s="705">
        <f>J18</f>
        <v>100</v>
      </c>
      <c r="X18" s="1354"/>
      <c r="Y18" s="3708"/>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29"/>
      <c r="L19" s="2720"/>
      <c r="M19" s="2714"/>
      <c r="N19" s="2714"/>
      <c r="O19" s="2714"/>
      <c r="P19" s="3708"/>
      <c r="Q19" s="1351"/>
      <c r="R19" s="704"/>
      <c r="S19" s="705"/>
      <c r="T19" s="704"/>
      <c r="U19" s="705"/>
      <c r="V19" s="704"/>
      <c r="W19" s="705"/>
      <c r="X19" s="1354"/>
      <c r="Y19" s="3708"/>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8"/>
      <c r="Q20" s="1351" t="str">
        <f>B20</f>
        <v>自然及人文环境</v>
      </c>
      <c r="R20" s="704" t="s">
        <v>14</v>
      </c>
      <c r="S20" s="705">
        <f>F20</f>
        <v>100</v>
      </c>
      <c r="T20" s="704" t="s">
        <v>14</v>
      </c>
      <c r="U20" s="705">
        <f>H20</f>
        <v>100</v>
      </c>
      <c r="V20" s="704" t="s">
        <v>14</v>
      </c>
      <c r="W20" s="705">
        <f>J20</f>
        <v>100</v>
      </c>
      <c r="X20" s="1354"/>
      <c r="Y20" s="3708"/>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08"/>
      <c r="Q21" s="1351"/>
      <c r="R21" s="704"/>
      <c r="S21" s="705"/>
      <c r="T21" s="704"/>
      <c r="U21" s="705"/>
      <c r="V21" s="704"/>
      <c r="W21" s="705"/>
      <c r="X21" s="1354"/>
      <c r="Y21" s="3708"/>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8"/>
      <c r="Q22" s="1351" t="str">
        <f>B22</f>
        <v>楼层</v>
      </c>
      <c r="R22" s="704" t="s">
        <v>14</v>
      </c>
      <c r="S22" s="705">
        <f>F22</f>
        <v>100</v>
      </c>
      <c r="T22" s="704" t="s">
        <v>14</v>
      </c>
      <c r="U22" s="705">
        <f>H22</f>
        <v>100</v>
      </c>
      <c r="V22" s="704" t="s">
        <v>14</v>
      </c>
      <c r="W22" s="705">
        <f>J22</f>
        <v>100</v>
      </c>
      <c r="X22" s="1354"/>
      <c r="Y22" s="3708"/>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8"/>
      <c r="Q23" s="1351">
        <f>B23</f>
        <v>111</v>
      </c>
      <c r="R23" s="704" t="s">
        <v>14</v>
      </c>
      <c r="S23" s="705">
        <f>F23</f>
        <v>100</v>
      </c>
      <c r="T23" s="704" t="s">
        <v>14</v>
      </c>
      <c r="U23" s="705">
        <f>H23</f>
        <v>100</v>
      </c>
      <c r="V23" s="704" t="s">
        <v>14</v>
      </c>
      <c r="W23" s="705">
        <f>J23</f>
        <v>100</v>
      </c>
      <c r="X23" s="1354"/>
      <c r="Y23" s="3708"/>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8"/>
      <c r="Q24" s="1351">
        <f t="shared" ref="Q24:Q36" si="11">B24</f>
        <v>111</v>
      </c>
      <c r="R24" s="704" t="s">
        <v>14</v>
      </c>
      <c r="S24" s="705">
        <f>F24</f>
        <v>100</v>
      </c>
      <c r="T24" s="704" t="s">
        <v>14</v>
      </c>
      <c r="U24" s="705">
        <f>H24</f>
        <v>100</v>
      </c>
      <c r="V24" s="704" t="s">
        <v>14</v>
      </c>
      <c r="W24" s="705">
        <f>J24</f>
        <v>100</v>
      </c>
      <c r="X24" s="1354"/>
      <c r="Y24" s="3708"/>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8"/>
      <c r="Q25" s="1342">
        <f t="shared" si="11"/>
        <v>111</v>
      </c>
      <c r="R25" s="700" t="s">
        <v>14</v>
      </c>
      <c r="S25" s="701">
        <f>F25</f>
        <v>100</v>
      </c>
      <c r="T25" s="700" t="s">
        <v>14</v>
      </c>
      <c r="U25" s="701">
        <f>H25</f>
        <v>100</v>
      </c>
      <c r="V25" s="700" t="s">
        <v>14</v>
      </c>
      <c r="W25" s="701">
        <f>J25</f>
        <v>100</v>
      </c>
      <c r="X25" s="702"/>
      <c r="Y25" s="3708"/>
      <c r="Z25" s="52">
        <f>Q25</f>
        <v>111</v>
      </c>
      <c r="AA25" s="1352">
        <f>D25/F25</f>
        <v>1</v>
      </c>
      <c r="AB25" s="1352">
        <f>D25/H25</f>
        <v>1</v>
      </c>
      <c r="AC25" s="1352">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1"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12"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2"/>
      <c r="Q27" s="706" t="str">
        <f t="shared" si="11"/>
        <v>项目停车位配比</v>
      </c>
      <c r="R27" s="707" t="s">
        <v>14</v>
      </c>
      <c r="S27" s="708">
        <f t="shared" si="12"/>
        <v>100</v>
      </c>
      <c r="T27" s="707" t="s">
        <v>14</v>
      </c>
      <c r="U27" s="708">
        <f t="shared" si="13"/>
        <v>100</v>
      </c>
      <c r="V27" s="707" t="s">
        <v>14</v>
      </c>
      <c r="W27" s="708">
        <f t="shared" si="14"/>
        <v>100</v>
      </c>
      <c r="X27" s="709"/>
      <c r="Y27" s="3712"/>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2"/>
      <c r="Q28" s="1351" t="str">
        <f t="shared" si="11"/>
        <v>公共部分装修</v>
      </c>
      <c r="R28" s="704" t="s">
        <v>14</v>
      </c>
      <c r="S28" s="705">
        <f t="shared" si="12"/>
        <v>100</v>
      </c>
      <c r="T28" s="704" t="s">
        <v>14</v>
      </c>
      <c r="U28" s="705">
        <f t="shared" si="13"/>
        <v>100</v>
      </c>
      <c r="V28" s="704" t="s">
        <v>14</v>
      </c>
      <c r="W28" s="705">
        <f t="shared" si="14"/>
        <v>100</v>
      </c>
      <c r="X28" s="1354"/>
      <c r="Y28" s="3712"/>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2"/>
      <c r="Q29" s="1351" t="str">
        <f t="shared" si="11"/>
        <v>成新率</v>
      </c>
      <c r="R29" s="704" t="s">
        <v>14</v>
      </c>
      <c r="S29" s="705" t="e">
        <f t="shared" si="12"/>
        <v>#N/A</v>
      </c>
      <c r="T29" s="704" t="s">
        <v>14</v>
      </c>
      <c r="U29" s="705" t="e">
        <f t="shared" si="13"/>
        <v>#N/A</v>
      </c>
      <c r="V29" s="704" t="s">
        <v>14</v>
      </c>
      <c r="W29" s="705" t="e">
        <f t="shared" si="14"/>
        <v>#N/A</v>
      </c>
      <c r="X29" s="1354"/>
      <c r="Y29" s="3712"/>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2"/>
      <c r="Q30" s="1351" t="str">
        <f t="shared" si="11"/>
        <v>物业等级</v>
      </c>
      <c r="R30" s="704" t="s">
        <v>14</v>
      </c>
      <c r="S30" s="705">
        <f t="shared" si="12"/>
        <v>100</v>
      </c>
      <c r="T30" s="704" t="s">
        <v>14</v>
      </c>
      <c r="U30" s="705">
        <f t="shared" si="13"/>
        <v>100</v>
      </c>
      <c r="V30" s="704" t="s">
        <v>14</v>
      </c>
      <c r="W30" s="705">
        <f t="shared" si="14"/>
        <v>100</v>
      </c>
      <c r="X30" s="1354"/>
      <c r="Y30" s="3712"/>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2"/>
      <c r="Q31" s="1342" t="str">
        <f t="shared" si="11"/>
        <v>停车位面积</v>
      </c>
      <c r="R31" s="700" t="s">
        <v>14</v>
      </c>
      <c r="S31" s="701" t="e">
        <f t="shared" si="12"/>
        <v>#N/A</v>
      </c>
      <c r="T31" s="700" t="s">
        <v>14</v>
      </c>
      <c r="U31" s="701" t="e">
        <f t="shared" si="13"/>
        <v>#N/A</v>
      </c>
      <c r="V31" s="700" t="s">
        <v>14</v>
      </c>
      <c r="W31" s="701" t="e">
        <f t="shared" si="14"/>
        <v>#N/A</v>
      </c>
      <c r="X31" s="702"/>
      <c r="Y31" s="3712"/>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2" t="s">
        <v>1696</v>
      </c>
      <c r="Q32" s="1351" t="str">
        <f t="shared" si="11"/>
        <v>车位类型</v>
      </c>
      <c r="R32" s="704" t="s">
        <v>14</v>
      </c>
      <c r="S32" s="705">
        <f t="shared" si="12"/>
        <v>100</v>
      </c>
      <c r="T32" s="704" t="s">
        <v>14</v>
      </c>
      <c r="U32" s="705">
        <f t="shared" si="13"/>
        <v>100</v>
      </c>
      <c r="V32" s="704" t="s">
        <v>14</v>
      </c>
      <c r="W32" s="705">
        <f t="shared" si="14"/>
        <v>100</v>
      </c>
      <c r="X32" s="1354"/>
      <c r="Y32" s="3712"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2"/>
      <c r="Q33" s="1351" t="str">
        <f t="shared" si="11"/>
        <v>是否直接入户</v>
      </c>
      <c r="R33" s="704" t="s">
        <v>14</v>
      </c>
      <c r="S33" s="705">
        <f t="shared" si="12"/>
        <v>100</v>
      </c>
      <c r="T33" s="704" t="s">
        <v>14</v>
      </c>
      <c r="U33" s="705">
        <f t="shared" si="13"/>
        <v>100</v>
      </c>
      <c r="V33" s="704" t="s">
        <v>14</v>
      </c>
      <c r="W33" s="705">
        <f t="shared" si="14"/>
        <v>100</v>
      </c>
      <c r="X33" s="1354"/>
      <c r="Y33" s="3712"/>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2"/>
      <c r="Q34" s="1351">
        <f t="shared" si="11"/>
        <v>111</v>
      </c>
      <c r="R34" s="704" t="s">
        <v>14</v>
      </c>
      <c r="S34" s="705">
        <f t="shared" si="12"/>
        <v>100</v>
      </c>
      <c r="T34" s="704" t="s">
        <v>14</v>
      </c>
      <c r="U34" s="705">
        <f t="shared" si="13"/>
        <v>100</v>
      </c>
      <c r="V34" s="704" t="s">
        <v>14</v>
      </c>
      <c r="W34" s="705">
        <f t="shared" si="14"/>
        <v>100</v>
      </c>
      <c r="X34" s="1354"/>
      <c r="Y34" s="3712"/>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2"/>
      <c r="Q35" s="706">
        <f t="shared" si="11"/>
        <v>111</v>
      </c>
      <c r="R35" s="707" t="s">
        <v>14</v>
      </c>
      <c r="S35" s="708">
        <f t="shared" si="12"/>
        <v>100</v>
      </c>
      <c r="T35" s="707" t="s">
        <v>14</v>
      </c>
      <c r="U35" s="708">
        <f t="shared" si="13"/>
        <v>100</v>
      </c>
      <c r="V35" s="707" t="s">
        <v>14</v>
      </c>
      <c r="W35" s="708">
        <f t="shared" si="14"/>
        <v>100</v>
      </c>
      <c r="X35" s="709"/>
      <c r="Y35" s="3712"/>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2"/>
      <c r="Q36" s="1351">
        <f t="shared" si="11"/>
        <v>111</v>
      </c>
      <c r="R36" s="704" t="s">
        <v>14</v>
      </c>
      <c r="S36" s="705">
        <f t="shared" si="12"/>
        <v>100</v>
      </c>
      <c r="T36" s="704" t="s">
        <v>14</v>
      </c>
      <c r="U36" s="705">
        <f t="shared" si="13"/>
        <v>100</v>
      </c>
      <c r="V36" s="704" t="s">
        <v>14</v>
      </c>
      <c r="W36" s="705">
        <f t="shared" si="14"/>
        <v>100</v>
      </c>
      <c r="X36" s="1354"/>
      <c r="Y36" s="3712"/>
      <c r="Z36" s="1355">
        <f t="shared" si="15"/>
        <v>111</v>
      </c>
      <c r="AA36" s="1352">
        <f t="shared" si="3"/>
        <v>1</v>
      </c>
      <c r="AB36" s="1352">
        <f t="shared" si="4"/>
        <v>1</v>
      </c>
      <c r="AC36" s="1352">
        <f t="shared" si="5"/>
        <v>1</v>
      </c>
    </row>
    <row r="37" spans="1:29" ht="15">
      <c r="A37" s="430" t="s">
        <v>1844</v>
      </c>
      <c r="B37" s="1971" t="s">
        <v>3357</v>
      </c>
      <c r="C37" s="1153" t="s">
        <v>0</v>
      </c>
      <c r="D37" s="1154"/>
      <c r="E37" s="1155"/>
      <c r="F37" s="1156"/>
      <c r="G37" s="1157"/>
      <c r="H37" s="1158"/>
      <c r="I37" s="1155"/>
      <c r="J37" s="1158"/>
      <c r="K37" s="568"/>
      <c r="L37" s="2722"/>
      <c r="M37" s="2723"/>
      <c r="N37" s="2714"/>
      <c r="O37" s="2723"/>
      <c r="P37" s="3705" t="str">
        <f>A37</f>
        <v>成交单价</v>
      </c>
      <c r="Q37" s="3705"/>
      <c r="R37" s="3706">
        <f>E37</f>
        <v>0</v>
      </c>
      <c r="S37" s="3706"/>
      <c r="T37" s="3706">
        <f>G37</f>
        <v>0</v>
      </c>
      <c r="U37" s="3706"/>
      <c r="V37" s="3706">
        <f>I37</f>
        <v>0</v>
      </c>
      <c r="W37" s="3706"/>
      <c r="X37" s="689"/>
      <c r="Y37" s="711"/>
      <c r="Z37" s="689"/>
      <c r="AA37" s="689"/>
      <c r="AB37" s="689"/>
      <c r="AC37" s="689"/>
    </row>
    <row r="38" spans="1:29" ht="15.75" thickBot="1">
      <c r="A38" s="437" t="s">
        <v>1845</v>
      </c>
      <c r="B38" s="438" t="str">
        <f>B37</f>
        <v>元/平方米</v>
      </c>
      <c r="C38" s="1159" t="e">
        <f>R39</f>
        <v>#DIV/0!</v>
      </c>
      <c r="D38" s="2315" t="s">
        <v>2137</v>
      </c>
      <c r="E38" s="1160" t="e">
        <f>R38</f>
        <v>#DIV/0!</v>
      </c>
      <c r="F38" s="2316"/>
      <c r="G38" s="1159" t="e">
        <f>T38</f>
        <v>#DIV/0!</v>
      </c>
      <c r="H38" s="2316"/>
      <c r="I38" s="1160" t="e">
        <f>V38</f>
        <v>#DIV/0!</v>
      </c>
      <c r="J38" s="2316"/>
      <c r="K38" s="2318">
        <f>F38+H38+J38</f>
        <v>0</v>
      </c>
      <c r="L38" s="2722"/>
      <c r="M38" s="2723"/>
      <c r="N38" s="2723"/>
      <c r="O38" s="2723"/>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2"/>
      <c r="M39" s="2723"/>
      <c r="N39" s="2723"/>
      <c r="O39" s="2723"/>
      <c r="P39" s="3702" t="str">
        <f>A39</f>
        <v>估价对象XX用房的比较价值（楼面单价，元/平方米）</v>
      </c>
      <c r="Q39" s="3703"/>
      <c r="R39" s="3732" t="e">
        <f>IF(F1="售价",ROUND(IF(D38="简单平均",AVERAGE(R38:W38),R38*F38+T38*H38+V38*J38),0),ROUND(IF(D38="简单平均",AVERAGE(R38:V38),R38*F38+T38*H38+V38*J38),1))</f>
        <v>#DIV/0!</v>
      </c>
      <c r="S39" s="3732"/>
      <c r="T39" s="3732"/>
      <c r="U39" s="3732"/>
      <c r="V39" s="3732"/>
      <c r="W39" s="3732"/>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2023-11</v>
      </c>
      <c r="D48" s="1184">
        <f>EDATE(C48,-1)</f>
        <v>45200</v>
      </c>
      <c r="E48" s="1184">
        <f t="shared" ref="E48:O48" si="16">EDATE(D48,-1)</f>
        <v>45170</v>
      </c>
      <c r="F48" s="1184">
        <f t="shared" si="16"/>
        <v>45139</v>
      </c>
      <c r="G48" s="1184">
        <f t="shared" si="16"/>
        <v>45108</v>
      </c>
      <c r="H48" s="1184">
        <f t="shared" si="16"/>
        <v>45078</v>
      </c>
      <c r="I48" s="1184">
        <f t="shared" si="16"/>
        <v>45047</v>
      </c>
      <c r="J48" s="1184">
        <f t="shared" si="16"/>
        <v>45017</v>
      </c>
      <c r="K48" s="1184">
        <f t="shared" si="16"/>
        <v>44986</v>
      </c>
      <c r="L48" s="1184">
        <f t="shared" si="16"/>
        <v>44958</v>
      </c>
      <c r="M48" s="1184">
        <f t="shared" si="16"/>
        <v>44927</v>
      </c>
      <c r="N48" s="1184">
        <f t="shared" si="16"/>
        <v>44896</v>
      </c>
      <c r="O48" s="1184">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75" t="s">
        <v>1771</v>
      </c>
      <c r="S4" s="3676"/>
      <c r="T4" s="3675" t="s">
        <v>1772</v>
      </c>
      <c r="U4" s="3676"/>
      <c r="V4" s="3700" t="s">
        <v>1773</v>
      </c>
      <c r="W4" s="3700"/>
      <c r="X4" s="1354"/>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3"/>
      <c r="M5" s="2714"/>
      <c r="N5" s="2714"/>
      <c r="O5" s="2714"/>
      <c r="P5" s="3694"/>
      <c r="Q5" s="3695"/>
      <c r="R5" s="3677"/>
      <c r="S5" s="3678"/>
      <c r="T5" s="3677"/>
      <c r="U5" s="3678"/>
      <c r="V5" s="3700"/>
      <c r="W5" s="3700"/>
      <c r="X5" s="1354"/>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3"/>
      <c r="M6" s="2714"/>
      <c r="N6" s="2714"/>
      <c r="O6" s="2714"/>
      <c r="P6" s="3696"/>
      <c r="Q6" s="3697"/>
      <c r="R6" s="3677"/>
      <c r="S6" s="3678"/>
      <c r="T6" s="3698"/>
      <c r="U6" s="3699"/>
      <c r="V6" s="3700"/>
      <c r="W6" s="3700"/>
      <c r="X6" s="1354"/>
      <c r="Y6" s="3698"/>
      <c r="Z6" s="3699"/>
      <c r="AA6" s="3672"/>
      <c r="AB6" s="3672"/>
      <c r="AC6" s="3672"/>
    </row>
    <row r="7" spans="1:29" s="108" customFormat="1" ht="15.75" thickBot="1">
      <c r="A7" s="362" t="s">
        <v>1679</v>
      </c>
      <c r="B7" s="363"/>
      <c r="C7" s="364">
        <f>'数据-取费表'!B2</f>
        <v>45240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73" t="s">
        <v>1680</v>
      </c>
      <c r="Q7" s="3701"/>
      <c r="R7" s="700" t="s">
        <v>14</v>
      </c>
      <c r="S7" s="701">
        <f t="shared" ref="S7:S14" si="0">F7</f>
        <v>0</v>
      </c>
      <c r="T7" s="700" t="s">
        <v>14</v>
      </c>
      <c r="U7" s="701">
        <f t="shared" ref="U7:U14" si="1">H7</f>
        <v>0</v>
      </c>
      <c r="V7" s="700" t="s">
        <v>14</v>
      </c>
      <c r="W7" s="701">
        <f t="shared" ref="W7:W14" si="2">J7</f>
        <v>0</v>
      </c>
      <c r="X7" s="702"/>
      <c r="Y7" s="3673" t="s">
        <v>1680</v>
      </c>
      <c r="Z7" s="367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3" t="s">
        <v>1683</v>
      </c>
      <c r="Q8" s="3674"/>
      <c r="R8" s="700" t="s">
        <v>14</v>
      </c>
      <c r="S8" s="701">
        <f t="shared" si="0"/>
        <v>100</v>
      </c>
      <c r="T8" s="700" t="s">
        <v>14</v>
      </c>
      <c r="U8" s="701">
        <f t="shared" si="1"/>
        <v>100</v>
      </c>
      <c r="V8" s="700" t="s">
        <v>14</v>
      </c>
      <c r="W8" s="701">
        <f t="shared" si="2"/>
        <v>100</v>
      </c>
      <c r="X8" s="702"/>
      <c r="Y8" s="3673" t="s">
        <v>1683</v>
      </c>
      <c r="Z8" s="367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5" t="s">
        <v>1686</v>
      </c>
      <c r="Q9" s="1342" t="str">
        <f t="shared" ref="Q9:Q14" si="6">B9</f>
        <v>用途</v>
      </c>
      <c r="R9" s="700" t="s">
        <v>14</v>
      </c>
      <c r="S9" s="701">
        <f t="shared" si="0"/>
        <v>100</v>
      </c>
      <c r="T9" s="700" t="s">
        <v>14</v>
      </c>
      <c r="U9" s="701">
        <f t="shared" si="1"/>
        <v>100</v>
      </c>
      <c r="V9" s="700" t="s">
        <v>14</v>
      </c>
      <c r="W9" s="701">
        <f t="shared" si="2"/>
        <v>100</v>
      </c>
      <c r="X9" s="702"/>
      <c r="Y9" s="3617"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5"/>
      <c r="Q10" s="1342"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5"/>
      <c r="Q11" s="1342">
        <f t="shared" si="6"/>
        <v>111</v>
      </c>
      <c r="R11" s="700" t="s">
        <v>14</v>
      </c>
      <c r="S11" s="701">
        <f t="shared" si="0"/>
        <v>100</v>
      </c>
      <c r="T11" s="700" t="s">
        <v>14</v>
      </c>
      <c r="U11" s="701">
        <f t="shared" si="1"/>
        <v>100</v>
      </c>
      <c r="V11" s="700" t="s">
        <v>14</v>
      </c>
      <c r="W11" s="701">
        <f t="shared" si="2"/>
        <v>100</v>
      </c>
      <c r="X11" s="702"/>
      <c r="Y11" s="3617"/>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5"/>
      <c r="Q12" s="1342">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05"/>
      <c r="Q13" s="1342">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7" t="s">
        <v>1691</v>
      </c>
      <c r="Q14" s="1351" t="str">
        <f t="shared" si="6"/>
        <v>交通便捷度</v>
      </c>
      <c r="R14" s="704" t="s">
        <v>14</v>
      </c>
      <c r="S14" s="705">
        <f t="shared" si="0"/>
        <v>100</v>
      </c>
      <c r="T14" s="704" t="s">
        <v>14</v>
      </c>
      <c r="U14" s="705">
        <f t="shared" si="1"/>
        <v>100</v>
      </c>
      <c r="V14" s="704" t="s">
        <v>14</v>
      </c>
      <c r="W14" s="705">
        <f t="shared" si="2"/>
        <v>100</v>
      </c>
      <c r="X14" s="1354"/>
      <c r="Y14" s="370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08"/>
      <c r="Q15" s="1351"/>
      <c r="R15" s="704"/>
      <c r="S15" s="705"/>
      <c r="T15" s="704"/>
      <c r="U15" s="705"/>
      <c r="V15" s="704"/>
      <c r="W15" s="705"/>
      <c r="X15" s="1354"/>
      <c r="Y15" s="3708"/>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8"/>
      <c r="Q16" s="1351" t="str">
        <f>B16</f>
        <v>公共配套设施</v>
      </c>
      <c r="R16" s="704" t="s">
        <v>14</v>
      </c>
      <c r="S16" s="705">
        <f>F16</f>
        <v>100</v>
      </c>
      <c r="T16" s="704" t="s">
        <v>14</v>
      </c>
      <c r="U16" s="705">
        <f>H16</f>
        <v>100</v>
      </c>
      <c r="V16" s="704" t="s">
        <v>14</v>
      </c>
      <c r="W16" s="705">
        <f>J16</f>
        <v>100</v>
      </c>
      <c r="X16" s="1354"/>
      <c r="Y16" s="3708"/>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20"/>
      <c r="M17" s="2714"/>
      <c r="N17" s="2714"/>
      <c r="O17" s="2772"/>
      <c r="P17" s="3708"/>
      <c r="Q17" s="1351"/>
      <c r="R17" s="704"/>
      <c r="S17" s="705"/>
      <c r="T17" s="704"/>
      <c r="U17" s="705"/>
      <c r="V17" s="704"/>
      <c r="W17" s="705"/>
      <c r="X17" s="1354"/>
      <c r="Y17" s="3708"/>
      <c r="Z17" s="1355"/>
      <c r="AA17" s="1352">
        <v>1</v>
      </c>
      <c r="AB17" s="1352">
        <v>1</v>
      </c>
      <c r="AC17" s="1352">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8"/>
      <c r="Q18" s="1351" t="str">
        <f>B18</f>
        <v>基础设施水平</v>
      </c>
      <c r="R18" s="704" t="s">
        <v>14</v>
      </c>
      <c r="S18" s="705">
        <f>F18</f>
        <v>100</v>
      </c>
      <c r="T18" s="704" t="s">
        <v>14</v>
      </c>
      <c r="U18" s="705">
        <f>H18</f>
        <v>100</v>
      </c>
      <c r="V18" s="704" t="s">
        <v>14</v>
      </c>
      <c r="W18" s="705">
        <f>J18</f>
        <v>100</v>
      </c>
      <c r="X18" s="1354"/>
      <c r="Y18" s="3708"/>
      <c r="Z18" s="1355" t="str">
        <f>Q18</f>
        <v>基础设施水平</v>
      </c>
      <c r="AA18" s="1352">
        <f t="shared" ref="AA18" si="8">D18/F18</f>
        <v>1</v>
      </c>
      <c r="AB18" s="1352">
        <f t="shared" ref="AB18" si="9">D18/H18</f>
        <v>1</v>
      </c>
      <c r="AC18" s="1352">
        <f t="shared" ref="AC18" si="10">D18/J18</f>
        <v>1</v>
      </c>
    </row>
    <row r="19" spans="1:29" ht="15">
      <c r="A19" s="379"/>
      <c r="B19" s="1130"/>
      <c r="C19" s="1899"/>
      <c r="D19" s="401"/>
      <c r="E19" s="1899"/>
      <c r="F19" s="404"/>
      <c r="G19" s="1899"/>
      <c r="H19" s="399"/>
      <c r="I19" s="398"/>
      <c r="J19" s="399"/>
      <c r="K19" s="1129"/>
      <c r="L19" s="2720"/>
      <c r="M19" s="2714"/>
      <c r="N19" s="2714"/>
      <c r="O19" s="2772"/>
      <c r="P19" s="3708"/>
      <c r="Q19" s="1351"/>
      <c r="R19" s="704"/>
      <c r="S19" s="705"/>
      <c r="T19" s="704"/>
      <c r="U19" s="705"/>
      <c r="V19" s="704"/>
      <c r="W19" s="705"/>
      <c r="X19" s="1354"/>
      <c r="Y19" s="3708"/>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8"/>
      <c r="Q20" s="1351" t="str">
        <f>B20</f>
        <v>自然及人文环境</v>
      </c>
      <c r="R20" s="704" t="s">
        <v>14</v>
      </c>
      <c r="S20" s="705">
        <f>F20</f>
        <v>100</v>
      </c>
      <c r="T20" s="704" t="s">
        <v>14</v>
      </c>
      <c r="U20" s="705">
        <f>H20</f>
        <v>100</v>
      </c>
      <c r="V20" s="704" t="s">
        <v>14</v>
      </c>
      <c r="W20" s="705">
        <f>J20</f>
        <v>100</v>
      </c>
      <c r="X20" s="1354"/>
      <c r="Y20" s="370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08"/>
      <c r="Q21" s="1351"/>
      <c r="R21" s="704"/>
      <c r="S21" s="705"/>
      <c r="T21" s="704"/>
      <c r="U21" s="705"/>
      <c r="V21" s="704"/>
      <c r="W21" s="705"/>
      <c r="X21" s="1354"/>
      <c r="Y21" s="370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8"/>
      <c r="Q22" s="1351" t="str">
        <f>B22</f>
        <v>楼层</v>
      </c>
      <c r="R22" s="704" t="s">
        <v>14</v>
      </c>
      <c r="S22" s="705">
        <f>F22</f>
        <v>100</v>
      </c>
      <c r="T22" s="704" t="s">
        <v>14</v>
      </c>
      <c r="U22" s="705">
        <f>H22</f>
        <v>100</v>
      </c>
      <c r="V22" s="704" t="s">
        <v>14</v>
      </c>
      <c r="W22" s="705">
        <f>J22</f>
        <v>100</v>
      </c>
      <c r="X22" s="1354"/>
      <c r="Y22" s="3708"/>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8"/>
      <c r="Q23" s="1351">
        <f>B23</f>
        <v>111</v>
      </c>
      <c r="R23" s="704" t="s">
        <v>14</v>
      </c>
      <c r="S23" s="705">
        <f>F23</f>
        <v>100</v>
      </c>
      <c r="T23" s="704" t="s">
        <v>14</v>
      </c>
      <c r="U23" s="705">
        <f>H23</f>
        <v>100</v>
      </c>
      <c r="V23" s="704" t="s">
        <v>14</v>
      </c>
      <c r="W23" s="705">
        <f>J23</f>
        <v>100</v>
      </c>
      <c r="X23" s="1354"/>
      <c r="Y23" s="3708"/>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8"/>
      <c r="Q24" s="1351">
        <f t="shared" ref="Q24:Q34" si="11">B24</f>
        <v>111</v>
      </c>
      <c r="R24" s="704" t="s">
        <v>14</v>
      </c>
      <c r="S24" s="705">
        <f>F24</f>
        <v>100</v>
      </c>
      <c r="T24" s="704" t="s">
        <v>14</v>
      </c>
      <c r="U24" s="705">
        <f>H24</f>
        <v>100</v>
      </c>
      <c r="V24" s="704" t="s">
        <v>14</v>
      </c>
      <c r="W24" s="705">
        <f>J24</f>
        <v>100</v>
      </c>
      <c r="X24" s="1354"/>
      <c r="Y24" s="3708"/>
      <c r="Z24" s="1355">
        <f>Q24</f>
        <v>111</v>
      </c>
      <c r="AA24" s="1352">
        <f t="shared" si="3"/>
        <v>1</v>
      </c>
      <c r="AB24" s="1352">
        <f t="shared" si="4"/>
        <v>1</v>
      </c>
      <c r="AC24" s="1352">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8"/>
      <c r="Q25" s="1342">
        <f t="shared" si="11"/>
        <v>111</v>
      </c>
      <c r="R25" s="700" t="s">
        <v>14</v>
      </c>
      <c r="S25" s="701">
        <f>F25</f>
        <v>100</v>
      </c>
      <c r="T25" s="700" t="s">
        <v>14</v>
      </c>
      <c r="U25" s="701">
        <f>H25</f>
        <v>100</v>
      </c>
      <c r="V25" s="700" t="s">
        <v>14</v>
      </c>
      <c r="W25" s="701">
        <f>J25</f>
        <v>100</v>
      </c>
      <c r="X25" s="702"/>
      <c r="Y25" s="3708"/>
      <c r="Z25" s="52">
        <f>Q25</f>
        <v>111</v>
      </c>
      <c r="AA25" s="1352">
        <f>D25/F25</f>
        <v>1</v>
      </c>
      <c r="AB25" s="1352">
        <f>D25/H25</f>
        <v>1</v>
      </c>
      <c r="AC25" s="1352">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1"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1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2"/>
      <c r="Q27" s="706" t="str">
        <f t="shared" si="11"/>
        <v>成新率</v>
      </c>
      <c r="R27" s="707" t="s">
        <v>14</v>
      </c>
      <c r="S27" s="708" t="e">
        <f t="shared" si="12"/>
        <v>#N/A</v>
      </c>
      <c r="T27" s="707" t="s">
        <v>14</v>
      </c>
      <c r="U27" s="708" t="e">
        <f t="shared" si="13"/>
        <v>#N/A</v>
      </c>
      <c r="V27" s="707" t="s">
        <v>14</v>
      </c>
      <c r="W27" s="708" t="e">
        <f t="shared" si="14"/>
        <v>#N/A</v>
      </c>
      <c r="X27" s="709"/>
      <c r="Y27" s="3712"/>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2"/>
      <c r="Q28" s="1351" t="str">
        <f t="shared" si="11"/>
        <v>物业等级</v>
      </c>
      <c r="R28" s="704" t="s">
        <v>14</v>
      </c>
      <c r="S28" s="705">
        <f t="shared" si="12"/>
        <v>100</v>
      </c>
      <c r="T28" s="704" t="s">
        <v>14</v>
      </c>
      <c r="U28" s="705">
        <f t="shared" si="13"/>
        <v>100</v>
      </c>
      <c r="V28" s="704" t="s">
        <v>14</v>
      </c>
      <c r="W28" s="705">
        <f t="shared" si="14"/>
        <v>100</v>
      </c>
      <c r="X28" s="1354"/>
      <c r="Y28" s="3712"/>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2"/>
      <c r="Q29" s="1351" t="str">
        <f t="shared" si="11"/>
        <v>有无电梯</v>
      </c>
      <c r="R29" s="704" t="s">
        <v>14</v>
      </c>
      <c r="S29" s="705">
        <f t="shared" si="12"/>
        <v>100</v>
      </c>
      <c r="T29" s="704" t="s">
        <v>14</v>
      </c>
      <c r="U29" s="705">
        <f t="shared" si="13"/>
        <v>100</v>
      </c>
      <c r="V29" s="704" t="s">
        <v>14</v>
      </c>
      <c r="W29" s="705">
        <f t="shared" si="14"/>
        <v>100</v>
      </c>
      <c r="X29" s="1354"/>
      <c r="Y29" s="371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2"/>
      <c r="Q30" s="1351" t="str">
        <f t="shared" si="11"/>
        <v>建筑面积</v>
      </c>
      <c r="R30" s="704" t="s">
        <v>14</v>
      </c>
      <c r="S30" s="705" t="e">
        <f t="shared" si="12"/>
        <v>#N/A</v>
      </c>
      <c r="T30" s="704" t="s">
        <v>14</v>
      </c>
      <c r="U30" s="705" t="e">
        <f t="shared" si="13"/>
        <v>#N/A</v>
      </c>
      <c r="V30" s="704" t="s">
        <v>14</v>
      </c>
      <c r="W30" s="705" t="e">
        <f t="shared" si="14"/>
        <v>#N/A</v>
      </c>
      <c r="X30" s="1354"/>
      <c r="Y30" s="3712"/>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2"/>
      <c r="Q31" s="1342" t="str">
        <f t="shared" si="11"/>
        <v>是否封闭</v>
      </c>
      <c r="R31" s="700" t="s">
        <v>14</v>
      </c>
      <c r="S31" s="701">
        <f t="shared" si="12"/>
        <v>100</v>
      </c>
      <c r="T31" s="700" t="s">
        <v>14</v>
      </c>
      <c r="U31" s="701">
        <f t="shared" si="13"/>
        <v>100</v>
      </c>
      <c r="V31" s="700" t="s">
        <v>14</v>
      </c>
      <c r="W31" s="701">
        <f t="shared" si="14"/>
        <v>100</v>
      </c>
      <c r="X31" s="702"/>
      <c r="Y31" s="3712"/>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2" t="s">
        <v>1696</v>
      </c>
      <c r="Q32" s="1351">
        <f t="shared" si="11"/>
        <v>111</v>
      </c>
      <c r="R32" s="704" t="s">
        <v>14</v>
      </c>
      <c r="S32" s="705">
        <f t="shared" si="12"/>
        <v>100</v>
      </c>
      <c r="T32" s="704" t="s">
        <v>14</v>
      </c>
      <c r="U32" s="705">
        <f t="shared" si="13"/>
        <v>100</v>
      </c>
      <c r="V32" s="704" t="s">
        <v>14</v>
      </c>
      <c r="W32" s="705">
        <f t="shared" si="14"/>
        <v>100</v>
      </c>
      <c r="X32" s="1354"/>
      <c r="Y32" s="3712"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2"/>
      <c r="Q33" s="1351">
        <f t="shared" si="11"/>
        <v>111</v>
      </c>
      <c r="R33" s="704" t="s">
        <v>14</v>
      </c>
      <c r="S33" s="705">
        <f t="shared" si="12"/>
        <v>100</v>
      </c>
      <c r="T33" s="704" t="s">
        <v>14</v>
      </c>
      <c r="U33" s="705">
        <f t="shared" si="13"/>
        <v>100</v>
      </c>
      <c r="V33" s="704" t="s">
        <v>14</v>
      </c>
      <c r="W33" s="705">
        <f t="shared" si="14"/>
        <v>100</v>
      </c>
      <c r="X33" s="1354"/>
      <c r="Y33" s="3712"/>
      <c r="Z33" s="1355">
        <f t="shared" si="15"/>
        <v>111</v>
      </c>
      <c r="AA33" s="1352">
        <f t="shared" si="3"/>
        <v>1</v>
      </c>
      <c r="AB33" s="1352">
        <f t="shared" si="4"/>
        <v>1</v>
      </c>
      <c r="AC33" s="1352">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12"/>
      <c r="Q34" s="1351">
        <f t="shared" si="11"/>
        <v>111</v>
      </c>
      <c r="R34" s="704" t="s">
        <v>14</v>
      </c>
      <c r="S34" s="705">
        <f t="shared" si="12"/>
        <v>100</v>
      </c>
      <c r="T34" s="704" t="s">
        <v>14</v>
      </c>
      <c r="U34" s="705">
        <f t="shared" si="13"/>
        <v>100</v>
      </c>
      <c r="V34" s="704" t="s">
        <v>14</v>
      </c>
      <c r="W34" s="705">
        <f t="shared" si="14"/>
        <v>100</v>
      </c>
      <c r="X34" s="1354"/>
      <c r="Y34" s="3712"/>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705" t="str">
        <f>A35</f>
        <v>成交单价（元/平方米）</v>
      </c>
      <c r="Q35" s="3705"/>
      <c r="R35" s="3706">
        <f>E35</f>
        <v>0</v>
      </c>
      <c r="S35" s="3706"/>
      <c r="T35" s="3706">
        <f>G35</f>
        <v>0</v>
      </c>
      <c r="U35" s="3706"/>
      <c r="V35" s="3706">
        <f>I35</f>
        <v>0</v>
      </c>
      <c r="W35" s="3706"/>
      <c r="X35" s="689"/>
      <c r="Y35" s="711"/>
      <c r="Z35" s="689"/>
      <c r="AA35" s="689"/>
      <c r="AB35" s="689"/>
      <c r="AC35" s="689"/>
    </row>
    <row r="36" spans="1:30" ht="15.75" thickBot="1">
      <c r="A36" s="437" t="s">
        <v>1793</v>
      </c>
      <c r="B36" s="438"/>
      <c r="C36" s="1159" t="e">
        <f>R37</f>
        <v>#DIV/0!</v>
      </c>
      <c r="D36" s="2315" t="s">
        <v>2137</v>
      </c>
      <c r="E36" s="1160" t="e">
        <f>R36</f>
        <v>#DIV/0!</v>
      </c>
      <c r="F36" s="2316"/>
      <c r="G36" s="1159" t="e">
        <f>T36</f>
        <v>#DIV/0!</v>
      </c>
      <c r="H36" s="2316"/>
      <c r="I36" s="1160" t="e">
        <f>V36</f>
        <v>#DIV/0!</v>
      </c>
      <c r="J36" s="2316"/>
      <c r="K36" s="2318">
        <f>F36+H36+J36</f>
        <v>0</v>
      </c>
      <c r="L36" s="2722"/>
      <c r="M36" s="2723"/>
      <c r="N36" s="2714"/>
      <c r="O36" s="2723"/>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702" t="str">
        <f>A37</f>
        <v>估价对象XX用房的比较价值（楼面单价，元/平方米）</v>
      </c>
      <c r="Q37" s="3703"/>
      <c r="R37" s="3732" t="e">
        <f>IF(F1="售价",ROUND(IF(D36="简单平均",AVERAGE(R36:W36),R36*F36+T36*H36+V36*J36),0),ROUND(IF(D36="简单平均",AVERAGE(R36:V36),R36*F36+T36*H36+V36*J36),1))</f>
        <v>#DIV/0!</v>
      </c>
      <c r="S37" s="3732"/>
      <c r="T37" s="3732"/>
      <c r="U37" s="3732"/>
      <c r="V37" s="3732"/>
      <c r="W37" s="3732"/>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2023-11</v>
      </c>
      <c r="D46" s="1184">
        <f>EDATE(C46,-1)</f>
        <v>45200</v>
      </c>
      <c r="E46" s="1184">
        <f t="shared" ref="E46:O46" si="16">EDATE(D46,-1)</f>
        <v>45170</v>
      </c>
      <c r="F46" s="1184">
        <f t="shared" si="16"/>
        <v>45139</v>
      </c>
      <c r="G46" s="1184">
        <f t="shared" si="16"/>
        <v>45108</v>
      </c>
      <c r="H46" s="1184">
        <f t="shared" si="16"/>
        <v>45078</v>
      </c>
      <c r="I46" s="1184">
        <f t="shared" si="16"/>
        <v>45047</v>
      </c>
      <c r="J46" s="1184">
        <f t="shared" si="16"/>
        <v>45017</v>
      </c>
      <c r="K46" s="1184">
        <f t="shared" si="16"/>
        <v>44986</v>
      </c>
      <c r="L46" s="1184">
        <f t="shared" si="16"/>
        <v>44958</v>
      </c>
      <c r="M46" s="1184">
        <f t="shared" si="16"/>
        <v>44927</v>
      </c>
      <c r="N46" s="1184">
        <f t="shared" si="16"/>
        <v>44896</v>
      </c>
      <c r="O46" s="1184">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75" t="s">
        <v>1771</v>
      </c>
      <c r="S4" s="3676"/>
      <c r="T4" s="3675" t="s">
        <v>1772</v>
      </c>
      <c r="U4" s="3676"/>
      <c r="V4" s="3700" t="s">
        <v>1773</v>
      </c>
      <c r="W4" s="3700"/>
      <c r="X4" s="1354"/>
      <c r="Y4" s="3675" t="s">
        <v>1775</v>
      </c>
      <c r="Z4" s="3676"/>
      <c r="AA4" s="3670" t="s">
        <v>1771</v>
      </c>
      <c r="AB4" s="3671" t="s">
        <v>1772</v>
      </c>
      <c r="AC4" s="3670" t="s">
        <v>1773</v>
      </c>
    </row>
    <row r="5" spans="1:30" ht="15">
      <c r="A5" s="358"/>
      <c r="B5" s="359"/>
      <c r="C5" s="3681" t="s">
        <v>1673</v>
      </c>
      <c r="D5" s="3682"/>
      <c r="E5" s="3679" t="s">
        <v>1674</v>
      </c>
      <c r="F5" s="3680"/>
      <c r="G5" s="3681" t="s">
        <v>1675</v>
      </c>
      <c r="H5" s="3682"/>
      <c r="I5" s="3681" t="s">
        <v>1676</v>
      </c>
      <c r="J5" s="3682"/>
      <c r="K5" s="559"/>
      <c r="L5" s="2713"/>
      <c r="M5" s="2714"/>
      <c r="N5" s="2714"/>
      <c r="O5" s="2714"/>
      <c r="P5" s="3694"/>
      <c r="Q5" s="3695"/>
      <c r="R5" s="3677"/>
      <c r="S5" s="3678"/>
      <c r="T5" s="3677"/>
      <c r="U5" s="3678"/>
      <c r="V5" s="3700"/>
      <c r="W5" s="3700"/>
      <c r="X5" s="1354"/>
      <c r="Y5" s="3677"/>
      <c r="Z5" s="3678"/>
      <c r="AA5" s="3671"/>
      <c r="AB5" s="3671"/>
      <c r="AC5" s="3671"/>
    </row>
    <row r="6" spans="1:30" ht="15.75" thickBot="1">
      <c r="A6" s="360"/>
      <c r="B6" s="361"/>
      <c r="C6" s="3683" t="s">
        <v>1677</v>
      </c>
      <c r="D6" s="3684"/>
      <c r="E6" s="3685" t="s">
        <v>1677</v>
      </c>
      <c r="F6" s="3686"/>
      <c r="G6" s="3683" t="s">
        <v>1677</v>
      </c>
      <c r="H6" s="3684"/>
      <c r="I6" s="3683" t="s">
        <v>1677</v>
      </c>
      <c r="J6" s="3684"/>
      <c r="K6" s="559" t="s">
        <v>1678</v>
      </c>
      <c r="L6" s="2713"/>
      <c r="M6" s="2714"/>
      <c r="N6" s="2714"/>
      <c r="O6" s="2714"/>
      <c r="P6" s="3696"/>
      <c r="Q6" s="3697"/>
      <c r="R6" s="3677"/>
      <c r="S6" s="3678"/>
      <c r="T6" s="3698"/>
      <c r="U6" s="3699"/>
      <c r="V6" s="3700"/>
      <c r="W6" s="3700"/>
      <c r="X6" s="1354"/>
      <c r="Y6" s="3698"/>
      <c r="Z6" s="3699"/>
      <c r="AA6" s="3672"/>
      <c r="AB6" s="3672"/>
      <c r="AC6" s="3672"/>
    </row>
    <row r="7" spans="1:30" s="108" customFormat="1" ht="15.75" thickBot="1">
      <c r="A7" s="362" t="s">
        <v>1679</v>
      </c>
      <c r="B7" s="363"/>
      <c r="C7" s="364">
        <f>'数据-取费表'!B2</f>
        <v>45240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73" t="s">
        <v>1680</v>
      </c>
      <c r="Q7" s="3701"/>
      <c r="R7" s="700" t="s">
        <v>14</v>
      </c>
      <c r="S7" s="701">
        <f t="shared" ref="S7:S15" si="0">F7</f>
        <v>0</v>
      </c>
      <c r="T7" s="700" t="s">
        <v>14</v>
      </c>
      <c r="U7" s="701">
        <f t="shared" ref="U7:U15" si="1">H7</f>
        <v>0</v>
      </c>
      <c r="V7" s="700" t="s">
        <v>14</v>
      </c>
      <c r="W7" s="701">
        <f t="shared" ref="W7:W15" si="2">J7</f>
        <v>0</v>
      </c>
      <c r="X7" s="702"/>
      <c r="Y7" s="3673" t="s">
        <v>1680</v>
      </c>
      <c r="Z7" s="367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3" t="s">
        <v>1683</v>
      </c>
      <c r="Q8" s="3674"/>
      <c r="R8" s="700" t="s">
        <v>14</v>
      </c>
      <c r="S8" s="701">
        <f t="shared" si="0"/>
        <v>0</v>
      </c>
      <c r="T8" s="700" t="s">
        <v>14</v>
      </c>
      <c r="U8" s="701">
        <f t="shared" si="1"/>
        <v>0</v>
      </c>
      <c r="V8" s="700" t="s">
        <v>14</v>
      </c>
      <c r="W8" s="701">
        <f t="shared" si="2"/>
        <v>0</v>
      </c>
      <c r="X8" s="702"/>
      <c r="Y8" s="3673" t="s">
        <v>1683</v>
      </c>
      <c r="Z8" s="3674"/>
      <c r="AA8" s="703" t="e">
        <f t="shared" ref="AA8:AA45" si="3">D8/F8</f>
        <v>#DIV/0!</v>
      </c>
      <c r="AB8" s="703" t="e">
        <f t="shared" ref="AB8:AB45" si="4">D8/H8</f>
        <v>#DIV/0!</v>
      </c>
      <c r="AC8" s="703"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05" t="s">
        <v>1686</v>
      </c>
      <c r="Q9" s="1342"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7"/>
      <c r="M10" s="2718"/>
      <c r="N10" s="2718"/>
      <c r="O10" s="2771"/>
      <c r="P10" s="3705"/>
      <c r="Q10" s="1342" t="str">
        <f t="shared" si="6"/>
        <v>土地使用年限（年）</v>
      </c>
      <c r="R10" s="700" t="s">
        <v>14</v>
      </c>
      <c r="S10" s="701">
        <f t="shared" si="0"/>
        <v>105</v>
      </c>
      <c r="T10" s="700" t="s">
        <v>14</v>
      </c>
      <c r="U10" s="701">
        <f t="shared" si="1"/>
        <v>105</v>
      </c>
      <c r="V10" s="700" t="s">
        <v>14</v>
      </c>
      <c r="W10" s="701">
        <f t="shared" si="2"/>
        <v>105</v>
      </c>
      <c r="X10" s="702"/>
      <c r="Y10" s="3617"/>
      <c r="Z10" s="52" t="str">
        <f t="shared" si="7"/>
        <v>土地使用年限（年）</v>
      </c>
      <c r="AA10" s="703">
        <f t="shared" si="3"/>
        <v>0.95238095238095233</v>
      </c>
      <c r="AB10" s="703">
        <f t="shared" si="4"/>
        <v>0.95238095238095233</v>
      </c>
      <c r="AC10" s="703">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5"/>
      <c r="Q11" s="1342" t="str">
        <f t="shared" si="6"/>
        <v>容积率</v>
      </c>
      <c r="R11" s="700" t="s">
        <v>14</v>
      </c>
      <c r="S11" s="701" t="e">
        <f t="shared" si="0"/>
        <v>#N/A</v>
      </c>
      <c r="T11" s="700" t="s">
        <v>14</v>
      </c>
      <c r="U11" s="701" t="e">
        <f t="shared" si="1"/>
        <v>#N/A</v>
      </c>
      <c r="V11" s="700" t="s">
        <v>14</v>
      </c>
      <c r="W11" s="701" t="e">
        <f t="shared" si="2"/>
        <v>#N/A</v>
      </c>
      <c r="X11" s="702"/>
      <c r="Y11" s="3617"/>
      <c r="Z11" s="52" t="str">
        <f t="shared" si="7"/>
        <v>容积率</v>
      </c>
      <c r="AA11" s="703" t="e">
        <f t="shared" si="3"/>
        <v>#N/A</v>
      </c>
      <c r="AB11" s="703" t="e">
        <f t="shared" si="4"/>
        <v>#N/A</v>
      </c>
      <c r="AC11" s="703"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5"/>
      <c r="Q12" s="1342" t="str">
        <f t="shared" si="6"/>
        <v>配建</v>
      </c>
      <c r="R12" s="700" t="s">
        <v>14</v>
      </c>
      <c r="S12" s="701">
        <f t="shared" si="0"/>
        <v>100</v>
      </c>
      <c r="T12" s="700" t="s">
        <v>14</v>
      </c>
      <c r="U12" s="701">
        <f t="shared" si="1"/>
        <v>100</v>
      </c>
      <c r="V12" s="700" t="s">
        <v>14</v>
      </c>
      <c r="W12" s="701">
        <f t="shared" si="2"/>
        <v>100</v>
      </c>
      <c r="X12" s="702"/>
      <c r="Y12" s="3617"/>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5"/>
      <c r="Q13" s="1342">
        <f t="shared" si="6"/>
        <v>111</v>
      </c>
      <c r="R13" s="700" t="s">
        <v>14</v>
      </c>
      <c r="S13" s="701">
        <f t="shared" si="0"/>
        <v>100</v>
      </c>
      <c r="T13" s="700" t="s">
        <v>14</v>
      </c>
      <c r="U13" s="701">
        <f t="shared" si="1"/>
        <v>100</v>
      </c>
      <c r="V13" s="700" t="s">
        <v>14</v>
      </c>
      <c r="W13" s="701">
        <f t="shared" si="2"/>
        <v>100</v>
      </c>
      <c r="X13" s="702"/>
      <c r="Y13" s="3617"/>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5"/>
      <c r="Q14" s="1342">
        <f t="shared" si="6"/>
        <v>111</v>
      </c>
      <c r="R14" s="700" t="s">
        <v>14</v>
      </c>
      <c r="S14" s="701">
        <f t="shared" si="0"/>
        <v>100</v>
      </c>
      <c r="T14" s="700" t="s">
        <v>14</v>
      </c>
      <c r="U14" s="701">
        <f t="shared" si="1"/>
        <v>100</v>
      </c>
      <c r="V14" s="700" t="s">
        <v>14</v>
      </c>
      <c r="W14" s="701">
        <f t="shared" si="2"/>
        <v>100</v>
      </c>
      <c r="X14" s="702"/>
      <c r="Y14" s="3617"/>
      <c r="Z14" s="52">
        <f t="shared" si="7"/>
        <v>111</v>
      </c>
      <c r="AA14" s="703">
        <f>D14/F14</f>
        <v>1</v>
      </c>
      <c r="AB14" s="703">
        <f>D14/H14</f>
        <v>1</v>
      </c>
      <c r="AC14" s="703">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7" t="s">
        <v>1691</v>
      </c>
      <c r="Q15" s="1351" t="str">
        <f t="shared" si="6"/>
        <v>居住社区成熟度</v>
      </c>
      <c r="R15" s="704" t="s">
        <v>14</v>
      </c>
      <c r="S15" s="705">
        <f t="shared" si="0"/>
        <v>100</v>
      </c>
      <c r="T15" s="704" t="s">
        <v>14</v>
      </c>
      <c r="U15" s="705">
        <f t="shared" si="1"/>
        <v>100</v>
      </c>
      <c r="V15" s="704" t="s">
        <v>14</v>
      </c>
      <c r="W15" s="705">
        <f t="shared" si="2"/>
        <v>100</v>
      </c>
      <c r="X15" s="1354"/>
      <c r="Y15" s="3707"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20"/>
      <c r="M16" s="2714"/>
      <c r="N16" s="2714"/>
      <c r="O16" s="2772"/>
      <c r="P16" s="3708"/>
      <c r="Q16" s="1351"/>
      <c r="R16" s="704"/>
      <c r="S16" s="705"/>
      <c r="T16" s="704"/>
      <c r="U16" s="705"/>
      <c r="V16" s="704"/>
      <c r="W16" s="705"/>
      <c r="X16" s="1354"/>
      <c r="Y16" s="3708"/>
      <c r="Z16" s="1355"/>
      <c r="AA16" s="1352">
        <v>1</v>
      </c>
      <c r="AB16" s="1352">
        <v>1</v>
      </c>
      <c r="AC16" s="1352">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8"/>
      <c r="Q17" s="1351" t="str">
        <f>B17</f>
        <v>商业繁华度</v>
      </c>
      <c r="R17" s="704" t="s">
        <v>14</v>
      </c>
      <c r="S17" s="705">
        <f>F17</f>
        <v>100</v>
      </c>
      <c r="T17" s="704" t="s">
        <v>14</v>
      </c>
      <c r="U17" s="705">
        <f>H17</f>
        <v>100</v>
      </c>
      <c r="V17" s="704" t="s">
        <v>14</v>
      </c>
      <c r="W17" s="705">
        <f>J17</f>
        <v>100</v>
      </c>
      <c r="X17" s="1354"/>
      <c r="Y17" s="3708"/>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20"/>
      <c r="M18" s="2714"/>
      <c r="N18" s="2714"/>
      <c r="O18" s="2772"/>
      <c r="P18" s="3708"/>
      <c r="Q18" s="1351"/>
      <c r="R18" s="704"/>
      <c r="S18" s="705"/>
      <c r="T18" s="704"/>
      <c r="U18" s="705"/>
      <c r="V18" s="704"/>
      <c r="W18" s="705"/>
      <c r="X18" s="1354"/>
      <c r="Y18" s="3708"/>
      <c r="Z18" s="1355"/>
      <c r="AA18" s="1352">
        <v>1</v>
      </c>
      <c r="AB18" s="1352">
        <v>1</v>
      </c>
      <c r="AC18" s="1352">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8"/>
      <c r="Q19" s="1351" t="str">
        <f>B19</f>
        <v>办公集聚程度</v>
      </c>
      <c r="R19" s="704" t="s">
        <v>14</v>
      </c>
      <c r="S19" s="705">
        <f>F19</f>
        <v>100</v>
      </c>
      <c r="T19" s="704" t="s">
        <v>14</v>
      </c>
      <c r="U19" s="705">
        <f>H19</f>
        <v>100</v>
      </c>
      <c r="V19" s="704" t="s">
        <v>14</v>
      </c>
      <c r="W19" s="705">
        <f>J19</f>
        <v>100</v>
      </c>
      <c r="X19" s="1354"/>
      <c r="Y19" s="3708"/>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20"/>
      <c r="M20" s="2714"/>
      <c r="N20" s="2714"/>
      <c r="O20" s="2772"/>
      <c r="P20" s="3708"/>
      <c r="Q20" s="1351"/>
      <c r="R20" s="704"/>
      <c r="S20" s="705"/>
      <c r="T20" s="704"/>
      <c r="U20" s="705"/>
      <c r="V20" s="704"/>
      <c r="W20" s="705"/>
      <c r="X20" s="1354"/>
      <c r="Y20" s="3708"/>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8"/>
      <c r="Q21" s="1351" t="str">
        <f>B21</f>
        <v>交通便捷度</v>
      </c>
      <c r="R21" s="704" t="s">
        <v>14</v>
      </c>
      <c r="S21" s="705">
        <f>F21</f>
        <v>100</v>
      </c>
      <c r="T21" s="704" t="s">
        <v>14</v>
      </c>
      <c r="U21" s="705">
        <f>H21</f>
        <v>100</v>
      </c>
      <c r="V21" s="704" t="s">
        <v>14</v>
      </c>
      <c r="W21" s="705">
        <f>J21</f>
        <v>100</v>
      </c>
      <c r="X21" s="1354"/>
      <c r="Y21" s="3708"/>
      <c r="Z21" s="1355" t="str">
        <f>Q21</f>
        <v>交通便捷度</v>
      </c>
      <c r="AA21" s="1352">
        <f t="shared" si="3"/>
        <v>1</v>
      </c>
      <c r="AB21" s="1352">
        <f t="shared" si="4"/>
        <v>1</v>
      </c>
      <c r="AC21" s="1352">
        <f t="shared" si="5"/>
        <v>1</v>
      </c>
    </row>
    <row r="22" spans="1:29" ht="15">
      <c r="A22" s="379"/>
      <c r="B22" s="1130"/>
      <c r="C22" s="398"/>
      <c r="D22" s="401"/>
      <c r="E22" s="1896"/>
      <c r="F22" s="399"/>
      <c r="G22" s="1896"/>
      <c r="H22" s="399"/>
      <c r="I22" s="1895"/>
      <c r="J22" s="399"/>
      <c r="K22" s="620"/>
      <c r="L22" s="2720"/>
      <c r="M22" s="2714"/>
      <c r="N22" s="2714"/>
      <c r="O22" s="2772"/>
      <c r="P22" s="3708"/>
      <c r="Q22" s="1351"/>
      <c r="R22" s="704"/>
      <c r="S22" s="705"/>
      <c r="T22" s="704"/>
      <c r="U22" s="705"/>
      <c r="V22" s="704"/>
      <c r="W22" s="705"/>
      <c r="X22" s="1354"/>
      <c r="Y22" s="3708"/>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8"/>
      <c r="Q23" s="1351" t="str">
        <f t="shared" ref="Q23:Q37" si="8">B23</f>
        <v>区域土地利用方向</v>
      </c>
      <c r="R23" s="704" t="s">
        <v>14</v>
      </c>
      <c r="S23" s="705">
        <f>F23</f>
        <v>100</v>
      </c>
      <c r="T23" s="704" t="s">
        <v>14</v>
      </c>
      <c r="U23" s="705">
        <f>H23</f>
        <v>100</v>
      </c>
      <c r="V23" s="704" t="s">
        <v>14</v>
      </c>
      <c r="W23" s="705">
        <f>J23</f>
        <v>100</v>
      </c>
      <c r="X23" s="1354"/>
      <c r="Y23" s="3708"/>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39"/>
      <c r="L24" s="2720"/>
      <c r="M24" s="2714"/>
      <c r="N24" s="2714"/>
      <c r="O24" s="2772"/>
      <c r="P24" s="3708"/>
      <c r="Q24" s="1351"/>
      <c r="R24" s="704"/>
      <c r="S24" s="705"/>
      <c r="T24" s="704"/>
      <c r="U24" s="705"/>
      <c r="V24" s="704"/>
      <c r="W24" s="705"/>
      <c r="X24" s="1354"/>
      <c r="Y24" s="3708"/>
      <c r="Z24" s="1355"/>
      <c r="AA24" s="1352"/>
      <c r="AB24" s="1352"/>
      <c r="AC24" s="1352"/>
    </row>
    <row r="25" spans="1:29" ht="57">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8"/>
      <c r="Q25" s="1351" t="str">
        <f t="shared" si="8"/>
        <v>自然及人文环境状况</v>
      </c>
      <c r="R25" s="704" t="s">
        <v>14</v>
      </c>
      <c r="S25" s="705">
        <f>F25</f>
        <v>100</v>
      </c>
      <c r="T25" s="704" t="s">
        <v>14</v>
      </c>
      <c r="U25" s="705">
        <f>H25</f>
        <v>100</v>
      </c>
      <c r="V25" s="704" t="s">
        <v>14</v>
      </c>
      <c r="W25" s="705">
        <f>J25</f>
        <v>100</v>
      </c>
      <c r="X25" s="1354"/>
      <c r="Y25" s="3708"/>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20"/>
      <c r="M26" s="2714"/>
      <c r="N26" s="2714"/>
      <c r="O26" s="2772"/>
      <c r="P26" s="3708"/>
      <c r="Q26" s="1351"/>
      <c r="R26" s="704"/>
      <c r="S26" s="705"/>
      <c r="T26" s="704"/>
      <c r="U26" s="705"/>
      <c r="V26" s="704"/>
      <c r="W26" s="705"/>
      <c r="X26" s="1354"/>
      <c r="Y26" s="3708"/>
      <c r="Z26" s="1355"/>
      <c r="AA26" s="1352">
        <v>1</v>
      </c>
      <c r="AB26" s="1352">
        <v>1</v>
      </c>
      <c r="AC26" s="1352">
        <v>1</v>
      </c>
    </row>
    <row r="27" spans="1:29" s="108" customFormat="1" ht="42.75">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8"/>
      <c r="Q27" s="1342" t="str">
        <f t="shared" si="8"/>
        <v>公共配套设施</v>
      </c>
      <c r="R27" s="700" t="s">
        <v>14</v>
      </c>
      <c r="S27" s="701">
        <f>F27</f>
        <v>100</v>
      </c>
      <c r="T27" s="700" t="s">
        <v>14</v>
      </c>
      <c r="U27" s="701">
        <f>H27</f>
        <v>100</v>
      </c>
      <c r="V27" s="700" t="s">
        <v>14</v>
      </c>
      <c r="W27" s="701">
        <f>J27</f>
        <v>100</v>
      </c>
      <c r="X27" s="702"/>
      <c r="Y27" s="3708"/>
      <c r="Z27" s="52" t="str">
        <f>Q27</f>
        <v>公共配套设施</v>
      </c>
      <c r="AA27" s="1352">
        <f>D27/F27</f>
        <v>1</v>
      </c>
      <c r="AB27" s="1352">
        <f>D27/H27</f>
        <v>1</v>
      </c>
      <c r="AC27" s="1352">
        <f>D27/J27</f>
        <v>1</v>
      </c>
    </row>
    <row r="28" spans="1:29" s="108" customFormat="1" ht="15">
      <c r="A28" s="597"/>
      <c r="B28" s="407"/>
      <c r="C28" s="1976"/>
      <c r="D28" s="399"/>
      <c r="E28" s="1902"/>
      <c r="F28" s="399"/>
      <c r="G28" s="1902"/>
      <c r="H28" s="399"/>
      <c r="I28" s="398"/>
      <c r="J28" s="399"/>
      <c r="K28" s="620"/>
      <c r="L28" s="2715"/>
      <c r="M28" s="2716"/>
      <c r="N28" s="2716"/>
      <c r="O28" s="2770"/>
      <c r="P28" s="3708"/>
      <c r="Q28" s="1342"/>
      <c r="R28" s="700"/>
      <c r="S28" s="701"/>
      <c r="T28" s="700"/>
      <c r="U28" s="701"/>
      <c r="V28" s="700"/>
      <c r="W28" s="701"/>
      <c r="X28" s="702"/>
      <c r="Y28" s="3708"/>
      <c r="Z28" s="52"/>
      <c r="AA28" s="1352">
        <v>1</v>
      </c>
      <c r="AB28" s="1352">
        <v>1</v>
      </c>
      <c r="AC28" s="1352">
        <v>1</v>
      </c>
    </row>
    <row r="29" spans="1:29" s="108" customFormat="1" ht="28.5">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8"/>
      <c r="Q29" s="1342" t="str">
        <f t="shared" ref="Q29" si="9">B29</f>
        <v>基础设施水平</v>
      </c>
      <c r="R29" s="700" t="s">
        <v>14</v>
      </c>
      <c r="S29" s="701">
        <f>F29</f>
        <v>100</v>
      </c>
      <c r="T29" s="700" t="s">
        <v>14</v>
      </c>
      <c r="U29" s="701">
        <f>H29</f>
        <v>100</v>
      </c>
      <c r="V29" s="700" t="s">
        <v>14</v>
      </c>
      <c r="W29" s="701">
        <f>J29</f>
        <v>100</v>
      </c>
      <c r="X29" s="702"/>
      <c r="Y29" s="3708"/>
      <c r="Z29" s="52" t="str">
        <f>Q29</f>
        <v>基础设施水平</v>
      </c>
      <c r="AA29" s="1352">
        <f>D29/F29</f>
        <v>1</v>
      </c>
      <c r="AB29" s="1352">
        <f>D29/H29</f>
        <v>1</v>
      </c>
      <c r="AC29" s="1352">
        <f>D29/J29</f>
        <v>1</v>
      </c>
    </row>
    <row r="30" spans="1:29" s="108" customFormat="1" ht="15">
      <c r="A30" s="597"/>
      <c r="B30" s="407"/>
      <c r="C30" s="1976"/>
      <c r="D30" s="399"/>
      <c r="E30" s="1977"/>
      <c r="F30" s="399"/>
      <c r="G30" s="1977"/>
      <c r="H30" s="399"/>
      <c r="I30" s="1977"/>
      <c r="J30" s="399"/>
      <c r="K30" s="620"/>
      <c r="L30" s="2715"/>
      <c r="M30" s="2716"/>
      <c r="N30" s="2716"/>
      <c r="O30" s="2770"/>
      <c r="P30" s="3708"/>
      <c r="Q30" s="1342"/>
      <c r="R30" s="700"/>
      <c r="S30" s="701"/>
      <c r="T30" s="700"/>
      <c r="U30" s="701"/>
      <c r="V30" s="700"/>
      <c r="W30" s="701"/>
      <c r="X30" s="702"/>
      <c r="Y30" s="3708"/>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8"/>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8"/>
      <c r="Q32" s="1351" t="str">
        <f t="shared" si="8"/>
        <v>毗邻道路的类型与等级</v>
      </c>
      <c r="R32" s="704" t="s">
        <v>14</v>
      </c>
      <c r="S32" s="705">
        <f t="shared" si="10"/>
        <v>100</v>
      </c>
      <c r="T32" s="704" t="s">
        <v>14</v>
      </c>
      <c r="U32" s="705">
        <f t="shared" si="11"/>
        <v>100</v>
      </c>
      <c r="V32" s="704" t="s">
        <v>14</v>
      </c>
      <c r="W32" s="705">
        <f t="shared" si="12"/>
        <v>100</v>
      </c>
      <c r="X32" s="1354"/>
      <c r="Y32" s="3708"/>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20"/>
      <c r="M33" s="2714"/>
      <c r="N33" s="2714"/>
      <c r="O33" s="2772"/>
      <c r="P33" s="3708"/>
      <c r="Q33" s="1351"/>
      <c r="R33" s="704"/>
      <c r="S33" s="705"/>
      <c r="T33" s="704"/>
      <c r="U33" s="705"/>
      <c r="V33" s="704"/>
      <c r="W33" s="705"/>
      <c r="X33" s="1354"/>
      <c r="Y33" s="3708"/>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8"/>
      <c r="Q34" s="1351" t="str">
        <f t="shared" si="8"/>
        <v>土地级别</v>
      </c>
      <c r="R34" s="704" t="s">
        <v>14</v>
      </c>
      <c r="S34" s="705">
        <f t="shared" si="10"/>
        <v>100</v>
      </c>
      <c r="T34" s="704" t="s">
        <v>14</v>
      </c>
      <c r="U34" s="705">
        <f t="shared" si="11"/>
        <v>100</v>
      </c>
      <c r="V34" s="704" t="s">
        <v>14</v>
      </c>
      <c r="W34" s="705">
        <f t="shared" si="12"/>
        <v>100</v>
      </c>
      <c r="X34" s="1354"/>
      <c r="Y34" s="3708"/>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8"/>
      <c r="Q35" s="1351">
        <f t="shared" si="8"/>
        <v>111</v>
      </c>
      <c r="R35" s="704" t="s">
        <v>14</v>
      </c>
      <c r="S35" s="705">
        <f t="shared" si="10"/>
        <v>100</v>
      </c>
      <c r="T35" s="704" t="s">
        <v>14</v>
      </c>
      <c r="U35" s="705">
        <f t="shared" si="11"/>
        <v>100</v>
      </c>
      <c r="V35" s="704" t="s">
        <v>14</v>
      </c>
      <c r="W35" s="705">
        <f t="shared" si="12"/>
        <v>100</v>
      </c>
      <c r="X35" s="1354"/>
      <c r="Y35" s="3708"/>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1" t="s">
        <v>1696</v>
      </c>
      <c r="Q36" s="1351">
        <f t="shared" si="8"/>
        <v>111</v>
      </c>
      <c r="R36" s="704" t="s">
        <v>14</v>
      </c>
      <c r="S36" s="705">
        <f t="shared" si="10"/>
        <v>100</v>
      </c>
      <c r="T36" s="704" t="s">
        <v>14</v>
      </c>
      <c r="U36" s="705">
        <f t="shared" si="11"/>
        <v>100</v>
      </c>
      <c r="V36" s="704" t="s">
        <v>14</v>
      </c>
      <c r="W36" s="705">
        <f t="shared" si="12"/>
        <v>100</v>
      </c>
      <c r="X36" s="1354"/>
      <c r="Y36" s="3712"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2"/>
      <c r="Q37" s="1351">
        <f t="shared" si="8"/>
        <v>111</v>
      </c>
      <c r="R37" s="707" t="s">
        <v>14</v>
      </c>
      <c r="S37" s="708">
        <f t="shared" si="10"/>
        <v>100</v>
      </c>
      <c r="T37" s="707" t="s">
        <v>14</v>
      </c>
      <c r="U37" s="708">
        <f t="shared" si="11"/>
        <v>100</v>
      </c>
      <c r="V37" s="707" t="s">
        <v>14</v>
      </c>
      <c r="W37" s="708">
        <f t="shared" si="12"/>
        <v>100</v>
      </c>
      <c r="X37" s="709"/>
      <c r="Y37" s="3712"/>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2"/>
      <c r="Q38" s="1351" t="str">
        <f>B38</f>
        <v>宗地面积</v>
      </c>
      <c r="R38" s="704" t="s">
        <v>14</v>
      </c>
      <c r="S38" s="705" t="e">
        <f t="shared" si="10"/>
        <v>#N/A</v>
      </c>
      <c r="T38" s="704" t="s">
        <v>14</v>
      </c>
      <c r="U38" s="705" t="e">
        <f t="shared" si="11"/>
        <v>#N/A</v>
      </c>
      <c r="V38" s="704" t="s">
        <v>14</v>
      </c>
      <c r="W38" s="705" t="e">
        <f t="shared" si="12"/>
        <v>#N/A</v>
      </c>
      <c r="X38" s="1354"/>
      <c r="Y38" s="3712"/>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12"/>
      <c r="Q39" s="1351" t="str">
        <f t="shared" ref="Q39:Q45" si="14">B39</f>
        <v>宗地形状</v>
      </c>
      <c r="R39" s="704" t="s">
        <v>14</v>
      </c>
      <c r="S39" s="705">
        <f t="shared" si="10"/>
        <v>100</v>
      </c>
      <c r="T39" s="704" t="s">
        <v>14</v>
      </c>
      <c r="U39" s="705">
        <f t="shared" si="11"/>
        <v>100</v>
      </c>
      <c r="V39" s="704" t="s">
        <v>14</v>
      </c>
      <c r="W39" s="705">
        <f t="shared" si="12"/>
        <v>100</v>
      </c>
      <c r="X39" s="1354"/>
      <c r="Y39" s="3712"/>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12"/>
      <c r="Q40" s="1351" t="str">
        <f t="shared" si="14"/>
        <v>临街宽度及深度</v>
      </c>
      <c r="R40" s="704" t="s">
        <v>14</v>
      </c>
      <c r="S40" s="705">
        <f t="shared" si="10"/>
        <v>100</v>
      </c>
      <c r="T40" s="704" t="s">
        <v>14</v>
      </c>
      <c r="U40" s="705">
        <f t="shared" si="11"/>
        <v>100</v>
      </c>
      <c r="V40" s="704" t="s">
        <v>14</v>
      </c>
      <c r="W40" s="705">
        <f t="shared" si="12"/>
        <v>100</v>
      </c>
      <c r="X40" s="1354"/>
      <c r="Y40" s="3712"/>
      <c r="Z40" s="1355" t="str">
        <f t="shared" si="13"/>
        <v>临街宽度及深度</v>
      </c>
      <c r="AA40" s="1352">
        <f t="shared" si="3"/>
        <v>1</v>
      </c>
      <c r="AB40" s="1352">
        <f t="shared" si="4"/>
        <v>1</v>
      </c>
      <c r="AC40" s="1352">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12"/>
      <c r="Q41" s="1351" t="str">
        <f t="shared" si="14"/>
        <v>宗地开发程度</v>
      </c>
      <c r="R41" s="700" t="s">
        <v>14</v>
      </c>
      <c r="S41" s="701">
        <f t="shared" si="10"/>
        <v>100</v>
      </c>
      <c r="T41" s="700" t="s">
        <v>14</v>
      </c>
      <c r="U41" s="701">
        <f t="shared" si="11"/>
        <v>100</v>
      </c>
      <c r="V41" s="700" t="s">
        <v>14</v>
      </c>
      <c r="W41" s="701">
        <f t="shared" si="12"/>
        <v>100</v>
      </c>
      <c r="X41" s="702"/>
      <c r="Y41" s="3712"/>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12" t="s">
        <v>1696</v>
      </c>
      <c r="Q42" s="1351" t="str">
        <f t="shared" si="14"/>
        <v>工程地质条件</v>
      </c>
      <c r="R42" s="704" t="s">
        <v>14</v>
      </c>
      <c r="S42" s="705">
        <f t="shared" si="10"/>
        <v>100</v>
      </c>
      <c r="T42" s="704" t="s">
        <v>14</v>
      </c>
      <c r="U42" s="705">
        <f t="shared" si="11"/>
        <v>100</v>
      </c>
      <c r="V42" s="704" t="s">
        <v>14</v>
      </c>
      <c r="W42" s="705">
        <f t="shared" si="12"/>
        <v>100</v>
      </c>
      <c r="X42" s="1354"/>
      <c r="Y42" s="3712"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2"/>
      <c r="Q43" s="1351">
        <f t="shared" si="14"/>
        <v>111</v>
      </c>
      <c r="R43" s="704" t="s">
        <v>14</v>
      </c>
      <c r="S43" s="705">
        <f t="shared" si="10"/>
        <v>100</v>
      </c>
      <c r="T43" s="704" t="s">
        <v>14</v>
      </c>
      <c r="U43" s="705">
        <f t="shared" si="11"/>
        <v>100</v>
      </c>
      <c r="V43" s="704" t="s">
        <v>14</v>
      </c>
      <c r="W43" s="705">
        <f t="shared" si="12"/>
        <v>100</v>
      </c>
      <c r="X43" s="1354"/>
      <c r="Y43" s="3712"/>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2"/>
      <c r="Q44" s="1351">
        <f t="shared" si="14"/>
        <v>111</v>
      </c>
      <c r="R44" s="704" t="s">
        <v>14</v>
      </c>
      <c r="S44" s="705">
        <f t="shared" si="10"/>
        <v>100</v>
      </c>
      <c r="T44" s="704" t="s">
        <v>14</v>
      </c>
      <c r="U44" s="705">
        <f t="shared" si="11"/>
        <v>100</v>
      </c>
      <c r="V44" s="704" t="s">
        <v>14</v>
      </c>
      <c r="W44" s="705">
        <f t="shared" si="12"/>
        <v>100</v>
      </c>
      <c r="X44" s="1354"/>
      <c r="Y44" s="3712"/>
      <c r="Z44" s="1355">
        <f t="shared" si="13"/>
        <v>111</v>
      </c>
      <c r="AA44" s="1352">
        <f t="shared" si="3"/>
        <v>1</v>
      </c>
      <c r="AB44" s="1352">
        <f t="shared" si="4"/>
        <v>1</v>
      </c>
      <c r="AC44" s="1352">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2"/>
      <c r="Q45" s="1351">
        <f t="shared" si="14"/>
        <v>111</v>
      </c>
      <c r="R45" s="707" t="s">
        <v>14</v>
      </c>
      <c r="S45" s="708">
        <f t="shared" si="10"/>
        <v>100</v>
      </c>
      <c r="T45" s="707" t="s">
        <v>14</v>
      </c>
      <c r="U45" s="708">
        <f t="shared" si="11"/>
        <v>100</v>
      </c>
      <c r="V45" s="707" t="s">
        <v>14</v>
      </c>
      <c r="W45" s="708">
        <f t="shared" si="12"/>
        <v>100</v>
      </c>
      <c r="X45" s="709"/>
      <c r="Y45" s="3712"/>
      <c r="Z45" s="710">
        <f t="shared" si="13"/>
        <v>111</v>
      </c>
      <c r="AA45" s="1352">
        <f t="shared" si="3"/>
        <v>1</v>
      </c>
      <c r="AB45" s="1352">
        <f t="shared" si="4"/>
        <v>1</v>
      </c>
      <c r="AC45" s="1352">
        <f t="shared" si="5"/>
        <v>1</v>
      </c>
    </row>
    <row r="46" spans="1:29" ht="15">
      <c r="A46" s="430" t="s">
        <v>1844</v>
      </c>
      <c r="B46" s="1980" t="s">
        <v>1879</v>
      </c>
      <c r="C46" s="630" t="s">
        <v>0</v>
      </c>
      <c r="D46" s="432"/>
      <c r="E46" s="433"/>
      <c r="F46" s="434"/>
      <c r="G46" s="435"/>
      <c r="H46" s="436"/>
      <c r="I46" s="433"/>
      <c r="J46" s="436"/>
      <c r="K46" s="713"/>
      <c r="L46" s="2722"/>
      <c r="M46" s="2723"/>
      <c r="N46" s="2714"/>
      <c r="O46" s="2723"/>
      <c r="P46" s="3705" t="str">
        <f>A46</f>
        <v>成交单价</v>
      </c>
      <c r="Q46" s="3705"/>
      <c r="R46" s="3700">
        <f>E46</f>
        <v>0</v>
      </c>
      <c r="S46" s="3700"/>
      <c r="T46" s="3700">
        <f>G46</f>
        <v>0</v>
      </c>
      <c r="U46" s="3700"/>
      <c r="V46" s="3700">
        <f>I46</f>
        <v>0</v>
      </c>
      <c r="W46" s="3700"/>
      <c r="X46" s="689"/>
      <c r="Y46" s="711"/>
      <c r="Z46" s="689"/>
      <c r="AA46" s="689"/>
      <c r="AB46" s="689"/>
      <c r="AC46" s="689"/>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705" t="str">
        <f>A47</f>
        <v>比较价值（元/平方米）</v>
      </c>
      <c r="Q47" s="3705"/>
      <c r="R47" s="3733" t="e">
        <f>ROUND(PRODUCT(R46,AA7:AA45),0)</f>
        <v>#DIV/0!</v>
      </c>
      <c r="S47" s="3733"/>
      <c r="T47" s="3733" t="e">
        <f>ROUND(PRODUCT(T46,AB7:AB45),0)</f>
        <v>#DIV/0!</v>
      </c>
      <c r="U47" s="3733"/>
      <c r="V47" s="3733" t="e">
        <f>ROUND(PRODUCT(V46,AC7:AC45),0)</f>
        <v>#DIV/0!</v>
      </c>
      <c r="W47" s="373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702" t="str">
        <f>A48</f>
        <v>估价对象XX用房的比较价值（楼面单价，元/平方米）</v>
      </c>
      <c r="Q48" s="3703"/>
      <c r="R48" s="3734" t="e">
        <f>ROUND(IF(D47="简单平均",AVERAGE(R47:W47),R47*F47+T47*H47+V47*J47),0)</f>
        <v>#DIV/0!</v>
      </c>
      <c r="S48" s="3734"/>
      <c r="T48" s="3734"/>
      <c r="U48" s="3734"/>
      <c r="V48" s="3734"/>
      <c r="W48" s="3734"/>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9" t="s">
        <v>1886</v>
      </c>
      <c r="G55" s="3688" t="s">
        <v>1887</v>
      </c>
      <c r="H55" s="3735"/>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3">
        <v>1</v>
      </c>
      <c r="E56" s="638">
        <f>'数据-汇总表'!E8+'数据-汇总表'!E9</f>
        <v>85566.27</v>
      </c>
      <c r="F56" s="885" t="e">
        <f t="shared" ref="F56:F64" si="15">ROUND(B56*E56/10000,0)</f>
        <v>#DIV/0!</v>
      </c>
      <c r="G56" s="3687"/>
      <c r="H56" s="3705"/>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4">
        <v>0.25</v>
      </c>
      <c r="E57" s="642"/>
      <c r="F57" s="885" t="e">
        <f t="shared" si="15"/>
        <v>#DIV/0!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4">
        <v>0.25</v>
      </c>
      <c r="E58" s="642"/>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4">
        <v>0.25</v>
      </c>
      <c r="E59" s="642"/>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4">
        <v>0.25</v>
      </c>
      <c r="E60" s="217">
        <f>'数据-汇总表'!E11</f>
        <v>0</v>
      </c>
      <c r="F60" s="885" t="e">
        <f t="shared" si="15"/>
        <v>#DIV/0!</v>
      </c>
      <c r="G60" s="1985"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4">
        <v>0.25</v>
      </c>
      <c r="E63" s="217">
        <f>'数据-汇总表'!E14</f>
        <v>0</v>
      </c>
      <c r="F63" s="885" t="e">
        <f t="shared" si="15"/>
        <v>#DIV/0!</v>
      </c>
      <c r="G63" s="1985"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4">
        <v>0.25</v>
      </c>
      <c r="E64" s="217">
        <f>'数据-汇总表'!E15</f>
        <v>0</v>
      </c>
      <c r="F64" s="885" t="e">
        <f t="shared" si="15"/>
        <v>#DIV/0!</v>
      </c>
      <c r="G64" s="1986"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85566.27</v>
      </c>
      <c r="F65" s="645"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2023-11-1</v>
      </c>
      <c r="D67" s="691">
        <f>EDATE(C67,-3)</f>
        <v>45139</v>
      </c>
      <c r="E67" s="691">
        <f>EDATE(D67,-3)</f>
        <v>45047</v>
      </c>
      <c r="F67" s="691">
        <f t="shared" ref="F67:O67" si="18">EDATE(E67,-3)</f>
        <v>44958</v>
      </c>
      <c r="G67" s="691">
        <f t="shared" si="18"/>
        <v>44866</v>
      </c>
      <c r="H67" s="691">
        <f t="shared" si="18"/>
        <v>44774</v>
      </c>
      <c r="I67" s="691">
        <f t="shared" si="18"/>
        <v>44682</v>
      </c>
      <c r="J67" s="691">
        <f t="shared" si="18"/>
        <v>44593</v>
      </c>
      <c r="K67" s="691">
        <f t="shared" si="18"/>
        <v>44501</v>
      </c>
      <c r="L67" s="691">
        <f t="shared" si="18"/>
        <v>44409</v>
      </c>
      <c r="M67" s="691">
        <f t="shared" si="18"/>
        <v>44317</v>
      </c>
      <c r="N67" s="691">
        <f t="shared" si="18"/>
        <v>44228</v>
      </c>
      <c r="O67" s="691">
        <f t="shared" si="18"/>
        <v>44136</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0" zoomScaleNormal="60" zoomScaleSheetLayoutView="80" workbookViewId="0">
      <selection activeCell="M8" sqref="M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f>F61</f>
        <v>1292</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ROUND(IF(D3="",B2*10000/'数据-汇总表'!E3,B2*10000/D3),0)</f>
        <v>143</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75" t="s">
        <v>1771</v>
      </c>
      <c r="S4" s="3676"/>
      <c r="T4" s="3675" t="s">
        <v>1772</v>
      </c>
      <c r="U4" s="3676"/>
      <c r="V4" s="3700" t="s">
        <v>1773</v>
      </c>
      <c r="W4" s="3700"/>
      <c r="X4" s="1354"/>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3"/>
      <c r="M5" s="2714"/>
      <c r="N5" s="2714"/>
      <c r="O5" s="2714"/>
      <c r="P5" s="3694"/>
      <c r="Q5" s="3695"/>
      <c r="R5" s="3677"/>
      <c r="S5" s="3678"/>
      <c r="T5" s="3677"/>
      <c r="U5" s="3678"/>
      <c r="V5" s="3700"/>
      <c r="W5" s="3700"/>
      <c r="X5" s="1354"/>
      <c r="Y5" s="3677"/>
      <c r="Z5" s="3678"/>
      <c r="AA5" s="3671"/>
      <c r="AB5" s="3671"/>
      <c r="AC5" s="3671"/>
    </row>
    <row r="6" spans="1:29" ht="15.75" thickBot="1">
      <c r="A6" s="360"/>
      <c r="B6" s="361"/>
      <c r="C6" s="3736" t="s">
        <v>1919</v>
      </c>
      <c r="D6" s="3737"/>
      <c r="E6" s="3738" t="s">
        <v>1919</v>
      </c>
      <c r="F6" s="3739"/>
      <c r="G6" s="3736" t="s">
        <v>1919</v>
      </c>
      <c r="H6" s="3737"/>
      <c r="I6" s="3736" t="s">
        <v>1919</v>
      </c>
      <c r="J6" s="3737"/>
      <c r="K6" s="559" t="s">
        <v>1678</v>
      </c>
      <c r="L6" s="2713"/>
      <c r="M6" s="2714"/>
      <c r="N6" s="2714"/>
      <c r="O6" s="2714"/>
      <c r="P6" s="3696"/>
      <c r="Q6" s="3697"/>
      <c r="R6" s="3677"/>
      <c r="S6" s="3678"/>
      <c r="T6" s="3698"/>
      <c r="U6" s="3699"/>
      <c r="V6" s="3700"/>
      <c r="W6" s="3700"/>
      <c r="X6" s="1354"/>
      <c r="Y6" s="3698"/>
      <c r="Z6" s="3699"/>
      <c r="AA6" s="3672"/>
      <c r="AB6" s="3672"/>
      <c r="AC6" s="3672"/>
    </row>
    <row r="7" spans="1:29" s="108" customFormat="1" ht="15.75" thickBot="1">
      <c r="A7" s="362" t="s">
        <v>1679</v>
      </c>
      <c r="B7" s="363"/>
      <c r="C7" s="364">
        <f>'数据-取费表'!B2</f>
        <v>45240</v>
      </c>
      <c r="D7" s="365">
        <v>100</v>
      </c>
      <c r="E7" s="366">
        <f>土地案例!L3</f>
        <v>45169.000497685185</v>
      </c>
      <c r="F7" s="367">
        <f>SUMIF(65:65,YEAR(E7)&amp;"-"&amp;INT((MONTH(E7)+2)/3),66:66)</f>
        <v>100</v>
      </c>
      <c r="G7" s="1972">
        <f>土地案例!L10</f>
        <v>45061.000497685185</v>
      </c>
      <c r="H7" s="365">
        <f>SUMIF(65:65,YEAR(G7)&amp;"-"&amp;INT((MONTH(G7)+2)/3),66:66)</f>
        <v>100</v>
      </c>
      <c r="I7" s="1972">
        <f>土地案例!L12</f>
        <v>45043.000497685185</v>
      </c>
      <c r="J7" s="365">
        <f>SUMIF(65:65,YEAR(I7)&amp;"-"&amp;INT((MONTH(I7)+2)/3),66:66)</f>
        <v>100</v>
      </c>
      <c r="K7" s="560"/>
      <c r="L7" s="2715"/>
      <c r="M7" s="2716"/>
      <c r="N7" s="2716"/>
      <c r="O7" s="2716"/>
      <c r="P7" s="3673" t="s">
        <v>1680</v>
      </c>
      <c r="Q7" s="3701"/>
      <c r="R7" s="700" t="s">
        <v>14</v>
      </c>
      <c r="S7" s="701">
        <f t="shared" ref="S7:S15" si="0">F7</f>
        <v>100</v>
      </c>
      <c r="T7" s="700" t="s">
        <v>14</v>
      </c>
      <c r="U7" s="701">
        <f t="shared" ref="U7:U15" si="1">H7</f>
        <v>100</v>
      </c>
      <c r="V7" s="700" t="s">
        <v>14</v>
      </c>
      <c r="W7" s="701">
        <f t="shared" ref="W7:W15" si="2">J7</f>
        <v>100</v>
      </c>
      <c r="X7" s="702"/>
      <c r="Y7" s="3673" t="s">
        <v>1680</v>
      </c>
      <c r="Z7" s="3674"/>
      <c r="AA7" s="703">
        <f>D7/F7</f>
        <v>1</v>
      </c>
      <c r="AB7" s="703">
        <f>D7/H7</f>
        <v>1</v>
      </c>
      <c r="AC7" s="703">
        <f>D7/J7</f>
        <v>1</v>
      </c>
    </row>
    <row r="8" spans="1:29" s="108" customFormat="1" ht="15.75" thickBot="1">
      <c r="A8" s="362" t="s">
        <v>1681</v>
      </c>
      <c r="B8" s="363"/>
      <c r="C8" s="368" t="s">
        <v>1682</v>
      </c>
      <c r="D8" s="365">
        <v>100</v>
      </c>
      <c r="E8" s="368" t="s">
        <v>3607</v>
      </c>
      <c r="F8" s="367">
        <f>SUMIF(68:68,E8,69:69)-SUMIF(68:68,C8,69:69)+100</f>
        <v>100</v>
      </c>
      <c r="G8" s="368" t="s">
        <v>3607</v>
      </c>
      <c r="H8" s="365">
        <f>SUMIF(68:68,G8,69:69)-SUMIF(68:68,C8,69:69)+100</f>
        <v>100</v>
      </c>
      <c r="I8" s="368" t="s">
        <v>3607</v>
      </c>
      <c r="J8" s="365">
        <f>SUMIF(68:68,I8,69:69)-SUMIF(68:68,C8,69:69)+100</f>
        <v>100</v>
      </c>
      <c r="K8" s="560"/>
      <c r="L8" s="2715"/>
      <c r="M8" s="2716"/>
      <c r="N8" s="2716"/>
      <c r="O8" s="2716"/>
      <c r="P8" s="3673" t="s">
        <v>1683</v>
      </c>
      <c r="Q8" s="3674"/>
      <c r="R8" s="700" t="s">
        <v>14</v>
      </c>
      <c r="S8" s="701">
        <f t="shared" si="0"/>
        <v>100</v>
      </c>
      <c r="T8" s="700" t="s">
        <v>14</v>
      </c>
      <c r="U8" s="701">
        <f t="shared" si="1"/>
        <v>100</v>
      </c>
      <c r="V8" s="700" t="s">
        <v>14</v>
      </c>
      <c r="W8" s="701">
        <f t="shared" si="2"/>
        <v>100</v>
      </c>
      <c r="X8" s="702"/>
      <c r="Y8" s="3673" t="s">
        <v>1683</v>
      </c>
      <c r="Z8" s="3674"/>
      <c r="AA8" s="703">
        <f t="shared" ref="AA8:AA40" si="3">D8/F8</f>
        <v>1</v>
      </c>
      <c r="AB8" s="703">
        <f t="shared" ref="AB8:AB40" si="4">D8/H8</f>
        <v>1</v>
      </c>
      <c r="AC8" s="703">
        <f t="shared" ref="AC8:AC40" si="5">D8/J8</f>
        <v>1</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05" t="s">
        <v>1686</v>
      </c>
      <c r="Q9" s="1342" t="str">
        <f t="shared" ref="Q9:Q15" si="6">B9</f>
        <v>用途</v>
      </c>
      <c r="R9" s="700" t="s">
        <v>14</v>
      </c>
      <c r="S9" s="701">
        <f t="shared" si="0"/>
        <v>100</v>
      </c>
      <c r="T9" s="700" t="s">
        <v>14</v>
      </c>
      <c r="U9" s="701">
        <f t="shared" si="1"/>
        <v>100</v>
      </c>
      <c r="V9" s="700" t="s">
        <v>14</v>
      </c>
      <c r="W9" s="701">
        <f t="shared" si="2"/>
        <v>100</v>
      </c>
      <c r="X9" s="702"/>
      <c r="Y9" s="3617"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7"/>
      <c r="M10" s="2718"/>
      <c r="N10" s="2718"/>
      <c r="O10" s="2771"/>
      <c r="P10" s="3705"/>
      <c r="Q10" s="1342" t="str">
        <f t="shared" si="6"/>
        <v>土地使用年限（年）</v>
      </c>
      <c r="R10" s="700" t="s">
        <v>14</v>
      </c>
      <c r="S10" s="701">
        <f t="shared" si="0"/>
        <v>105</v>
      </c>
      <c r="T10" s="700" t="s">
        <v>14</v>
      </c>
      <c r="U10" s="701">
        <f t="shared" si="1"/>
        <v>105</v>
      </c>
      <c r="V10" s="700" t="s">
        <v>14</v>
      </c>
      <c r="W10" s="701">
        <f t="shared" si="2"/>
        <v>105</v>
      </c>
      <c r="X10" s="702"/>
      <c r="Y10" s="3617"/>
      <c r="Z10" s="52" t="str">
        <f t="shared" si="7"/>
        <v>土地使用年限（年）</v>
      </c>
      <c r="AA10" s="703">
        <f t="shared" si="3"/>
        <v>0.95238095238095233</v>
      </c>
      <c r="AB10" s="703">
        <f t="shared" si="4"/>
        <v>0.95238095238095233</v>
      </c>
      <c r="AC10" s="703">
        <f t="shared" si="5"/>
        <v>0.95238095238095233</v>
      </c>
    </row>
    <row r="11" spans="1:29" ht="15">
      <c r="A11" s="379"/>
      <c r="B11" s="375" t="s">
        <v>1689</v>
      </c>
      <c r="C11" s="380">
        <f>'数据-汇总表'!I6</f>
        <v>1.21</v>
      </c>
      <c r="D11" s="127">
        <v>100</v>
      </c>
      <c r="E11" s="380">
        <v>3.5</v>
      </c>
      <c r="F11" s="127">
        <f>LOOKUP(E11,75:75,76:76)-LOOKUP(C11,75:75,76:76)+100</f>
        <v>95</v>
      </c>
      <c r="G11" s="381">
        <v>2.5</v>
      </c>
      <c r="H11" s="127">
        <f>LOOKUP(G11,75:75,76:76)-LOOKUP(C11,75:75,76:76)+100</f>
        <v>97</v>
      </c>
      <c r="I11" s="380">
        <v>3</v>
      </c>
      <c r="J11" s="127">
        <f>LOOKUP(I11,75:75,76:76)-LOOKUP(C11,75:75,76:76)+100</f>
        <v>96</v>
      </c>
      <c r="K11" s="621">
        <v>1</v>
      </c>
      <c r="L11" s="2719"/>
      <c r="M11" s="2714"/>
      <c r="N11" s="2714"/>
      <c r="O11" s="2772"/>
      <c r="P11" s="3705"/>
      <c r="Q11" s="1342" t="str">
        <f t="shared" si="6"/>
        <v>容积率</v>
      </c>
      <c r="R11" s="700" t="s">
        <v>14</v>
      </c>
      <c r="S11" s="701">
        <f t="shared" si="0"/>
        <v>95</v>
      </c>
      <c r="T11" s="700" t="s">
        <v>14</v>
      </c>
      <c r="U11" s="701">
        <f t="shared" si="1"/>
        <v>97</v>
      </c>
      <c r="V11" s="700" t="s">
        <v>14</v>
      </c>
      <c r="W11" s="701">
        <f t="shared" si="2"/>
        <v>96</v>
      </c>
      <c r="X11" s="702"/>
      <c r="Y11" s="3617"/>
      <c r="Z11" s="52" t="str">
        <f t="shared" si="7"/>
        <v>容积率</v>
      </c>
      <c r="AA11" s="703">
        <f t="shared" si="3"/>
        <v>1.0526315789473684</v>
      </c>
      <c r="AB11" s="703">
        <f t="shared" si="4"/>
        <v>1.0309278350515463</v>
      </c>
      <c r="AC11" s="703">
        <f t="shared" si="5"/>
        <v>1.0416666666666667</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5"/>
      <c r="Q12" s="1342">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5"/>
      <c r="Q13" s="1342">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5"/>
      <c r="Q14" s="1342">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703">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7" t="s">
        <v>1691</v>
      </c>
      <c r="Q15" s="1351" t="str">
        <f t="shared" si="6"/>
        <v>产业集聚程度</v>
      </c>
      <c r="R15" s="704" t="s">
        <v>14</v>
      </c>
      <c r="S15" s="705">
        <f t="shared" si="0"/>
        <v>100</v>
      </c>
      <c r="T15" s="704" t="s">
        <v>14</v>
      </c>
      <c r="U15" s="705">
        <f t="shared" si="1"/>
        <v>100</v>
      </c>
      <c r="V15" s="704" t="s">
        <v>14</v>
      </c>
      <c r="W15" s="705">
        <f t="shared" si="2"/>
        <v>100</v>
      </c>
      <c r="X15" s="1354"/>
      <c r="Y15" s="3707"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20"/>
      <c r="M16" s="2714"/>
      <c r="N16" s="2714"/>
      <c r="O16" s="2772"/>
      <c r="P16" s="3708"/>
      <c r="Q16" s="1351"/>
      <c r="R16" s="704"/>
      <c r="S16" s="705"/>
      <c r="T16" s="704"/>
      <c r="U16" s="705"/>
      <c r="V16" s="704"/>
      <c r="W16" s="705"/>
      <c r="X16" s="1354"/>
      <c r="Y16" s="3708"/>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8"/>
      <c r="Q17" s="1351" t="str">
        <f>B17</f>
        <v>交通便捷度</v>
      </c>
      <c r="R17" s="704" t="s">
        <v>14</v>
      </c>
      <c r="S17" s="705">
        <f>F17</f>
        <v>100</v>
      </c>
      <c r="T17" s="704" t="s">
        <v>14</v>
      </c>
      <c r="U17" s="705">
        <f>H17</f>
        <v>100</v>
      </c>
      <c r="V17" s="704" t="s">
        <v>14</v>
      </c>
      <c r="W17" s="705">
        <f>J17</f>
        <v>100</v>
      </c>
      <c r="X17" s="1354"/>
      <c r="Y17" s="3708"/>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20"/>
      <c r="M18" s="2714"/>
      <c r="N18" s="2714"/>
      <c r="O18" s="2772"/>
      <c r="P18" s="3708"/>
      <c r="Q18" s="1351"/>
      <c r="R18" s="704"/>
      <c r="S18" s="705"/>
      <c r="T18" s="704"/>
      <c r="U18" s="705"/>
      <c r="V18" s="704"/>
      <c r="W18" s="705"/>
      <c r="X18" s="1354"/>
      <c r="Y18" s="3708"/>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8"/>
      <c r="Q19" s="1351" t="str">
        <f t="shared" ref="Q19:Q33" si="8">B19</f>
        <v>区域土地利用方向</v>
      </c>
      <c r="R19" s="704" t="s">
        <v>14</v>
      </c>
      <c r="S19" s="705">
        <f>F19</f>
        <v>100</v>
      </c>
      <c r="T19" s="704" t="s">
        <v>14</v>
      </c>
      <c r="U19" s="705">
        <f>H19</f>
        <v>100</v>
      </c>
      <c r="V19" s="704" t="s">
        <v>14</v>
      </c>
      <c r="W19" s="705">
        <f>J19</f>
        <v>100</v>
      </c>
      <c r="X19" s="1354"/>
      <c r="Y19" s="3708"/>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39"/>
      <c r="L20" s="2720"/>
      <c r="M20" s="2714"/>
      <c r="N20" s="2714"/>
      <c r="O20" s="2772"/>
      <c r="P20" s="3708"/>
      <c r="Q20" s="1351"/>
      <c r="R20" s="704"/>
      <c r="S20" s="705"/>
      <c r="T20" s="704"/>
      <c r="U20" s="705"/>
      <c r="V20" s="704"/>
      <c r="W20" s="705"/>
      <c r="X20" s="1354"/>
      <c r="Y20" s="3708"/>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8"/>
      <c r="Q21" s="1351" t="str">
        <f t="shared" si="8"/>
        <v>环境状况</v>
      </c>
      <c r="R21" s="704" t="s">
        <v>14</v>
      </c>
      <c r="S21" s="705">
        <f>F21</f>
        <v>100</v>
      </c>
      <c r="T21" s="704" t="s">
        <v>14</v>
      </c>
      <c r="U21" s="705">
        <f>H21</f>
        <v>100</v>
      </c>
      <c r="V21" s="704" t="s">
        <v>14</v>
      </c>
      <c r="W21" s="705">
        <f>J21</f>
        <v>100</v>
      </c>
      <c r="X21" s="1354"/>
      <c r="Y21" s="3708"/>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20"/>
      <c r="M22" s="2714"/>
      <c r="N22" s="2714"/>
      <c r="O22" s="2772"/>
      <c r="P22" s="3708"/>
      <c r="Q22" s="1351"/>
      <c r="R22" s="704"/>
      <c r="S22" s="705"/>
      <c r="T22" s="704"/>
      <c r="U22" s="705"/>
      <c r="V22" s="704"/>
      <c r="W22" s="705"/>
      <c r="X22" s="1354"/>
      <c r="Y22" s="3708"/>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8"/>
      <c r="Q23" s="1342" t="str">
        <f t="shared" si="8"/>
        <v>公共配套设施</v>
      </c>
      <c r="R23" s="700" t="s">
        <v>14</v>
      </c>
      <c r="S23" s="701">
        <f>F23</f>
        <v>100</v>
      </c>
      <c r="T23" s="700" t="s">
        <v>14</v>
      </c>
      <c r="U23" s="701">
        <f>H23</f>
        <v>100</v>
      </c>
      <c r="V23" s="700" t="s">
        <v>14</v>
      </c>
      <c r="W23" s="701">
        <f>J23</f>
        <v>100</v>
      </c>
      <c r="X23" s="702"/>
      <c r="Y23" s="3708"/>
      <c r="Z23" s="52" t="str">
        <f>Q23</f>
        <v>公共配套设施</v>
      </c>
      <c r="AA23" s="1352">
        <f>D23/F23</f>
        <v>1</v>
      </c>
      <c r="AB23" s="1352">
        <f>D23/H23</f>
        <v>1</v>
      </c>
      <c r="AC23" s="1352">
        <f>D23/J23</f>
        <v>1</v>
      </c>
    </row>
    <row r="24" spans="1:29" s="108" customFormat="1" ht="15">
      <c r="A24" s="597"/>
      <c r="B24" s="580"/>
      <c r="C24" s="1976"/>
      <c r="D24" s="399"/>
      <c r="E24" s="1902"/>
      <c r="F24" s="399"/>
      <c r="G24" s="1902"/>
      <c r="H24" s="399"/>
      <c r="I24" s="398"/>
      <c r="J24" s="399"/>
      <c r="K24" s="620"/>
      <c r="L24" s="2715"/>
      <c r="M24" s="2716"/>
      <c r="N24" s="2716"/>
      <c r="O24" s="2770"/>
      <c r="P24" s="3708"/>
      <c r="Q24" s="1342"/>
      <c r="R24" s="700"/>
      <c r="S24" s="701"/>
      <c r="T24" s="700"/>
      <c r="U24" s="701"/>
      <c r="V24" s="700"/>
      <c r="W24" s="701"/>
      <c r="X24" s="702"/>
      <c r="Y24" s="3708"/>
      <c r="Z24" s="52"/>
      <c r="AA24" s="703">
        <v>1</v>
      </c>
      <c r="AB24" s="703">
        <v>1</v>
      </c>
      <c r="AC24" s="703">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8"/>
      <c r="Q25" s="1342" t="str">
        <f t="shared" ref="Q25" si="9">B25</f>
        <v>基础设施水平</v>
      </c>
      <c r="R25" s="700" t="s">
        <v>14</v>
      </c>
      <c r="S25" s="701">
        <f>F25</f>
        <v>100</v>
      </c>
      <c r="T25" s="700" t="s">
        <v>14</v>
      </c>
      <c r="U25" s="701">
        <f>H25</f>
        <v>100</v>
      </c>
      <c r="V25" s="700" t="s">
        <v>14</v>
      </c>
      <c r="W25" s="701">
        <f>J25</f>
        <v>100</v>
      </c>
      <c r="X25" s="702"/>
      <c r="Y25" s="3708"/>
      <c r="Z25" s="52" t="str">
        <f>Q25</f>
        <v>基础设施水平</v>
      </c>
      <c r="AA25" s="1352">
        <f>D25/F25</f>
        <v>1</v>
      </c>
      <c r="AB25" s="1352">
        <f>D25/H25</f>
        <v>1</v>
      </c>
      <c r="AC25" s="1352">
        <f>D25/J25</f>
        <v>1</v>
      </c>
    </row>
    <row r="26" spans="1:29" s="108" customFormat="1" ht="15">
      <c r="A26" s="597"/>
      <c r="B26" s="580"/>
      <c r="C26" s="1976"/>
      <c r="D26" s="399"/>
      <c r="E26" s="1977"/>
      <c r="F26" s="399"/>
      <c r="G26" s="1977"/>
      <c r="H26" s="399"/>
      <c r="I26" s="1977"/>
      <c r="J26" s="399"/>
      <c r="K26" s="620"/>
      <c r="L26" s="2715"/>
      <c r="M26" s="2716"/>
      <c r="N26" s="2716"/>
      <c r="O26" s="2770"/>
      <c r="P26" s="3708"/>
      <c r="Q26" s="1342"/>
      <c r="R26" s="700"/>
      <c r="S26" s="701"/>
      <c r="T26" s="700"/>
      <c r="U26" s="701"/>
      <c r="V26" s="700"/>
      <c r="W26" s="701"/>
      <c r="X26" s="702"/>
      <c r="Y26" s="3708"/>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8"/>
      <c r="Z27" s="1355" t="str">
        <f t="shared" ref="Z27:Z40" si="13">Q27</f>
        <v>临街状况</v>
      </c>
      <c r="AA27" s="1352">
        <f t="shared" si="3"/>
        <v>1</v>
      </c>
      <c r="AB27" s="1352">
        <f t="shared" si="4"/>
        <v>1</v>
      </c>
      <c r="AC27" s="1352">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8"/>
      <c r="Q28" s="1351" t="str">
        <f t="shared" si="8"/>
        <v>毗邻道路的类型与等级</v>
      </c>
      <c r="R28" s="704" t="s">
        <v>14</v>
      </c>
      <c r="S28" s="705">
        <f t="shared" si="10"/>
        <v>100</v>
      </c>
      <c r="T28" s="704" t="s">
        <v>14</v>
      </c>
      <c r="U28" s="705">
        <f t="shared" si="11"/>
        <v>100</v>
      </c>
      <c r="V28" s="704" t="s">
        <v>14</v>
      </c>
      <c r="W28" s="705">
        <f t="shared" si="12"/>
        <v>100</v>
      </c>
      <c r="X28" s="1354"/>
      <c r="Y28" s="3708"/>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20"/>
      <c r="M29" s="2714"/>
      <c r="N29" s="2714"/>
      <c r="O29" s="2772"/>
      <c r="P29" s="3708"/>
      <c r="Q29" s="1351"/>
      <c r="R29" s="704"/>
      <c r="S29" s="705"/>
      <c r="T29" s="704"/>
      <c r="U29" s="705"/>
      <c r="V29" s="704"/>
      <c r="W29" s="705"/>
      <c r="X29" s="1354"/>
      <c r="Y29" s="3708"/>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8"/>
      <c r="Q30" s="1351" t="str">
        <f t="shared" si="8"/>
        <v>土地级别</v>
      </c>
      <c r="R30" s="704" t="s">
        <v>14</v>
      </c>
      <c r="S30" s="705">
        <f t="shared" si="10"/>
        <v>100</v>
      </c>
      <c r="T30" s="704" t="s">
        <v>14</v>
      </c>
      <c r="U30" s="705">
        <f t="shared" si="11"/>
        <v>100</v>
      </c>
      <c r="V30" s="704" t="s">
        <v>14</v>
      </c>
      <c r="W30" s="705">
        <f t="shared" si="12"/>
        <v>100</v>
      </c>
      <c r="X30" s="1354"/>
      <c r="Y30" s="3708"/>
      <c r="Z30" s="1355" t="str">
        <f t="shared" si="13"/>
        <v>土地级别</v>
      </c>
      <c r="AA30" s="1352">
        <f t="shared" si="3"/>
        <v>1</v>
      </c>
      <c r="AB30" s="1352">
        <f t="shared" si="4"/>
        <v>1</v>
      </c>
      <c r="AC30" s="1352">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8"/>
      <c r="Q31" s="1351">
        <f t="shared" si="8"/>
        <v>111</v>
      </c>
      <c r="R31" s="704" t="s">
        <v>14</v>
      </c>
      <c r="S31" s="705">
        <f t="shared" si="10"/>
        <v>100</v>
      </c>
      <c r="T31" s="704" t="s">
        <v>14</v>
      </c>
      <c r="U31" s="705">
        <f t="shared" si="11"/>
        <v>100</v>
      </c>
      <c r="V31" s="704" t="s">
        <v>14</v>
      </c>
      <c r="W31" s="705">
        <f t="shared" si="12"/>
        <v>100</v>
      </c>
      <c r="X31" s="1354"/>
      <c r="Y31" s="3708"/>
      <c r="Z31" s="1355">
        <f t="shared" si="13"/>
        <v>111</v>
      </c>
      <c r="AA31" s="1352">
        <f t="shared" si="3"/>
        <v>1</v>
      </c>
      <c r="AB31" s="1352">
        <f t="shared" si="4"/>
        <v>1</v>
      </c>
      <c r="AC31" s="1352">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1" t="s">
        <v>1696</v>
      </c>
      <c r="Q32" s="1351">
        <f t="shared" si="8"/>
        <v>111</v>
      </c>
      <c r="R32" s="704" t="s">
        <v>14</v>
      </c>
      <c r="S32" s="705">
        <f t="shared" si="10"/>
        <v>100</v>
      </c>
      <c r="T32" s="704" t="s">
        <v>14</v>
      </c>
      <c r="U32" s="705">
        <f t="shared" si="11"/>
        <v>100</v>
      </c>
      <c r="V32" s="704" t="s">
        <v>14</v>
      </c>
      <c r="W32" s="705">
        <f t="shared" si="12"/>
        <v>100</v>
      </c>
      <c r="X32" s="1354"/>
      <c r="Y32" s="3712" t="s">
        <v>1696</v>
      </c>
      <c r="Z32" s="1355">
        <f t="shared" si="13"/>
        <v>111</v>
      </c>
      <c r="AA32" s="1352">
        <f t="shared" si="3"/>
        <v>1</v>
      </c>
      <c r="AB32" s="1352">
        <f t="shared" si="4"/>
        <v>1</v>
      </c>
      <c r="AC32" s="1352">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2"/>
      <c r="Q33" s="1351">
        <f t="shared" si="8"/>
        <v>111</v>
      </c>
      <c r="R33" s="707" t="s">
        <v>14</v>
      </c>
      <c r="S33" s="708">
        <f t="shared" si="10"/>
        <v>100</v>
      </c>
      <c r="T33" s="707" t="s">
        <v>14</v>
      </c>
      <c r="U33" s="708">
        <f t="shared" si="11"/>
        <v>100</v>
      </c>
      <c r="V33" s="707" t="s">
        <v>14</v>
      </c>
      <c r="W33" s="708">
        <f t="shared" si="12"/>
        <v>100</v>
      </c>
      <c r="X33" s="709"/>
      <c r="Y33" s="3712"/>
      <c r="Z33" s="710">
        <f t="shared" si="13"/>
        <v>111</v>
      </c>
      <c r="AA33" s="1352">
        <f t="shared" si="3"/>
        <v>1</v>
      </c>
      <c r="AB33" s="1352">
        <f t="shared" si="4"/>
        <v>1</v>
      </c>
      <c r="AC33" s="1352">
        <f t="shared" si="5"/>
        <v>1</v>
      </c>
    </row>
    <row r="34" spans="1:31" ht="15">
      <c r="A34" s="391" t="s">
        <v>1694</v>
      </c>
      <c r="B34" s="407" t="s">
        <v>1874</v>
      </c>
      <c r="C34" s="627">
        <f>'数据-基础表'!A3</f>
        <v>70820.800000000003</v>
      </c>
      <c r="D34" s="418">
        <v>100</v>
      </c>
      <c r="E34" s="627">
        <f>土地案例!E3</f>
        <v>18267.099999999999</v>
      </c>
      <c r="F34" s="418">
        <f>LOOKUP(E34,108:108,109:109)-LOOKUP(C34,108:108,109:109)+100</f>
        <v>97</v>
      </c>
      <c r="G34" s="627">
        <f>土地案例!E10</f>
        <v>20961.3</v>
      </c>
      <c r="H34" s="418">
        <f>LOOKUP(G34,108:108,109:109)-LOOKUP(C34,108:108,109:109)+100</f>
        <v>98</v>
      </c>
      <c r="I34" s="479">
        <f>土地案例!E17</f>
        <v>33762</v>
      </c>
      <c r="J34" s="418">
        <f>LOOKUP(I34,108:108,109:109)-LOOKUP(C34,108:108,109:109)+100</f>
        <v>98</v>
      </c>
      <c r="K34" s="562"/>
      <c r="L34" s="2720"/>
      <c r="M34" s="2714"/>
      <c r="N34" s="2714"/>
      <c r="O34" s="2772"/>
      <c r="P34" s="3712"/>
      <c r="Q34" s="1351" t="str">
        <f>B34</f>
        <v>宗地面积</v>
      </c>
      <c r="R34" s="704" t="s">
        <v>14</v>
      </c>
      <c r="S34" s="705">
        <f t="shared" si="10"/>
        <v>97</v>
      </c>
      <c r="T34" s="704" t="s">
        <v>14</v>
      </c>
      <c r="U34" s="705">
        <f t="shared" si="11"/>
        <v>98</v>
      </c>
      <c r="V34" s="704" t="s">
        <v>14</v>
      </c>
      <c r="W34" s="705">
        <f t="shared" si="12"/>
        <v>98</v>
      </c>
      <c r="X34" s="1354"/>
      <c r="Y34" s="3712"/>
      <c r="Z34" s="1355" t="str">
        <f t="shared" si="13"/>
        <v>宗地面积</v>
      </c>
      <c r="AA34" s="1352">
        <f t="shared" si="3"/>
        <v>1.0309278350515463</v>
      </c>
      <c r="AB34" s="1352">
        <f t="shared" si="4"/>
        <v>1.0204081632653061</v>
      </c>
      <c r="AC34" s="1352">
        <f t="shared" si="5"/>
        <v>1.0204081632653061</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12"/>
      <c r="Q35" s="1351" t="str">
        <f t="shared" ref="Q35:Q40" si="14">B35</f>
        <v>宗地形状</v>
      </c>
      <c r="R35" s="704" t="s">
        <v>14</v>
      </c>
      <c r="S35" s="705">
        <f t="shared" si="10"/>
        <v>100</v>
      </c>
      <c r="T35" s="704" t="s">
        <v>14</v>
      </c>
      <c r="U35" s="705">
        <f t="shared" si="11"/>
        <v>100</v>
      </c>
      <c r="V35" s="704" t="s">
        <v>14</v>
      </c>
      <c r="W35" s="705">
        <f t="shared" si="12"/>
        <v>100</v>
      </c>
      <c r="X35" s="1354"/>
      <c r="Y35" s="3712"/>
      <c r="Z35" s="1355" t="str">
        <f t="shared" si="13"/>
        <v>宗地形状</v>
      </c>
      <c r="AA35" s="1352">
        <f t="shared" si="3"/>
        <v>1</v>
      </c>
      <c r="AB35" s="1352">
        <f t="shared" si="4"/>
        <v>1</v>
      </c>
      <c r="AC35" s="1352">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12"/>
      <c r="Q36" s="1351" t="str">
        <f t="shared" si="14"/>
        <v>宗地开发程度</v>
      </c>
      <c r="R36" s="700" t="s">
        <v>14</v>
      </c>
      <c r="S36" s="701">
        <f t="shared" si="10"/>
        <v>100</v>
      </c>
      <c r="T36" s="700" t="s">
        <v>14</v>
      </c>
      <c r="U36" s="701">
        <f t="shared" si="11"/>
        <v>100</v>
      </c>
      <c r="V36" s="700" t="s">
        <v>14</v>
      </c>
      <c r="W36" s="701">
        <f t="shared" si="12"/>
        <v>100</v>
      </c>
      <c r="X36" s="702"/>
      <c r="Y36" s="3712"/>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12" t="s">
        <v>1696</v>
      </c>
      <c r="Q37" s="1351" t="str">
        <f t="shared" si="14"/>
        <v>工程地质条件</v>
      </c>
      <c r="R37" s="704" t="s">
        <v>14</v>
      </c>
      <c r="S37" s="705">
        <f t="shared" si="10"/>
        <v>100</v>
      </c>
      <c r="T37" s="704" t="s">
        <v>14</v>
      </c>
      <c r="U37" s="705">
        <f t="shared" si="11"/>
        <v>100</v>
      </c>
      <c r="V37" s="704" t="s">
        <v>14</v>
      </c>
      <c r="W37" s="705">
        <f t="shared" si="12"/>
        <v>100</v>
      </c>
      <c r="X37" s="1354"/>
      <c r="Y37" s="3712"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2"/>
      <c r="Q38" s="1351">
        <f t="shared" si="14"/>
        <v>111</v>
      </c>
      <c r="R38" s="704" t="s">
        <v>14</v>
      </c>
      <c r="S38" s="705">
        <f t="shared" si="10"/>
        <v>100</v>
      </c>
      <c r="T38" s="704" t="s">
        <v>14</v>
      </c>
      <c r="U38" s="705">
        <f t="shared" si="11"/>
        <v>100</v>
      </c>
      <c r="V38" s="704" t="s">
        <v>14</v>
      </c>
      <c r="W38" s="705">
        <f t="shared" si="12"/>
        <v>100</v>
      </c>
      <c r="X38" s="1354"/>
      <c r="Y38" s="3712"/>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2"/>
      <c r="Q39" s="1351">
        <f t="shared" si="14"/>
        <v>111</v>
      </c>
      <c r="R39" s="704" t="s">
        <v>14</v>
      </c>
      <c r="S39" s="705">
        <f t="shared" si="10"/>
        <v>100</v>
      </c>
      <c r="T39" s="704" t="s">
        <v>14</v>
      </c>
      <c r="U39" s="705">
        <f t="shared" si="11"/>
        <v>100</v>
      </c>
      <c r="V39" s="704" t="s">
        <v>14</v>
      </c>
      <c r="W39" s="705">
        <f t="shared" si="12"/>
        <v>100</v>
      </c>
      <c r="X39" s="1354"/>
      <c r="Y39" s="3712"/>
      <c r="Z39" s="1355">
        <f t="shared" si="13"/>
        <v>111</v>
      </c>
      <c r="AA39" s="1352">
        <f t="shared" si="3"/>
        <v>1</v>
      </c>
      <c r="AB39" s="1352">
        <f t="shared" si="4"/>
        <v>1</v>
      </c>
      <c r="AC39" s="1352">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2"/>
      <c r="Q40" s="1351">
        <f t="shared" si="14"/>
        <v>111</v>
      </c>
      <c r="R40" s="707" t="s">
        <v>14</v>
      </c>
      <c r="S40" s="708">
        <f t="shared" si="10"/>
        <v>100</v>
      </c>
      <c r="T40" s="707" t="s">
        <v>14</v>
      </c>
      <c r="U40" s="708">
        <f t="shared" si="11"/>
        <v>100</v>
      </c>
      <c r="V40" s="707" t="s">
        <v>14</v>
      </c>
      <c r="W40" s="708">
        <f t="shared" si="12"/>
        <v>100</v>
      </c>
      <c r="X40" s="709"/>
      <c r="Y40" s="3712"/>
      <c r="Z40" s="710">
        <f t="shared" si="13"/>
        <v>111</v>
      </c>
      <c r="AA40" s="1352">
        <f t="shared" si="3"/>
        <v>1</v>
      </c>
      <c r="AB40" s="1352">
        <f t="shared" si="4"/>
        <v>1</v>
      </c>
      <c r="AC40" s="1352">
        <f t="shared" si="5"/>
        <v>1</v>
      </c>
    </row>
    <row r="41" spans="1:31" ht="15">
      <c r="A41" s="430" t="s">
        <v>1844</v>
      </c>
      <c r="B41" s="1980" t="s">
        <v>3606</v>
      </c>
      <c r="C41" s="630" t="s">
        <v>0</v>
      </c>
      <c r="D41" s="432"/>
      <c r="E41" s="433">
        <v>125</v>
      </c>
      <c r="F41" s="434"/>
      <c r="G41" s="435">
        <v>175</v>
      </c>
      <c r="H41" s="436"/>
      <c r="I41" s="433">
        <v>146</v>
      </c>
      <c r="J41" s="436"/>
      <c r="K41" s="713"/>
      <c r="L41" s="2722"/>
      <c r="M41" s="2714"/>
      <c r="N41" s="2714"/>
      <c r="O41" s="2723"/>
      <c r="P41" s="3705" t="str">
        <f>A41</f>
        <v>成交单价</v>
      </c>
      <c r="Q41" s="3705"/>
      <c r="R41" s="3700">
        <f>E41</f>
        <v>125</v>
      </c>
      <c r="S41" s="3700"/>
      <c r="T41" s="3700">
        <f>G41</f>
        <v>175</v>
      </c>
      <c r="U41" s="3700"/>
      <c r="V41" s="3700">
        <f>I41</f>
        <v>146</v>
      </c>
      <c r="W41" s="3700"/>
      <c r="X41" s="689"/>
      <c r="Y41" s="711"/>
      <c r="Z41" s="689"/>
      <c r="AA41" s="689"/>
      <c r="AB41" s="689"/>
      <c r="AC41" s="689"/>
    </row>
    <row r="42" spans="1:31" ht="15.75" thickBot="1">
      <c r="A42" s="437" t="s">
        <v>1793</v>
      </c>
      <c r="B42" s="631"/>
      <c r="C42" s="440">
        <f>R43</f>
        <v>151</v>
      </c>
      <c r="D42" s="2315" t="s">
        <v>2137</v>
      </c>
      <c r="E42" s="440">
        <f>R42</f>
        <v>129</v>
      </c>
      <c r="F42" s="2316"/>
      <c r="G42" s="439">
        <f>T42</f>
        <v>175</v>
      </c>
      <c r="H42" s="2316"/>
      <c r="I42" s="440">
        <f>V42</f>
        <v>148</v>
      </c>
      <c r="J42" s="2316"/>
      <c r="K42" s="2318">
        <f>F42+H42+J42</f>
        <v>0</v>
      </c>
      <c r="L42" s="2722"/>
      <c r="M42" s="2714"/>
      <c r="N42" s="2714"/>
      <c r="O42" s="2723"/>
      <c r="P42" s="3705" t="str">
        <f>A42</f>
        <v>比较价值（元/平方米）</v>
      </c>
      <c r="Q42" s="3705"/>
      <c r="R42" s="3733">
        <f>ROUND(PRODUCT(R41,AA7:AA40),0)</f>
        <v>129</v>
      </c>
      <c r="S42" s="3733"/>
      <c r="T42" s="3733">
        <f>ROUND(PRODUCT(T41,AB7:AB40),0)</f>
        <v>175</v>
      </c>
      <c r="U42" s="3733"/>
      <c r="V42" s="3733">
        <f>ROUND(PRODUCT(V41,AC7:AC40),0)</f>
        <v>148</v>
      </c>
      <c r="W42" s="3733"/>
      <c r="X42" s="689"/>
      <c r="Y42" s="689"/>
      <c r="Z42" s="689"/>
      <c r="AA42" s="689"/>
      <c r="AB42" s="689"/>
      <c r="AC42" s="689"/>
    </row>
    <row r="43" spans="1:31" ht="15.75" thickBot="1">
      <c r="A43" s="441" t="s">
        <v>1794</v>
      </c>
      <c r="B43" s="442"/>
      <c r="C43" s="443">
        <f>R43</f>
        <v>151</v>
      </c>
      <c r="D43" s="443"/>
      <c r="E43" s="443"/>
      <c r="F43" s="443"/>
      <c r="G43" s="443"/>
      <c r="H43" s="443"/>
      <c r="I43" s="443"/>
      <c r="J43" s="443"/>
      <c r="K43" s="714"/>
      <c r="L43" s="2722"/>
      <c r="M43" s="2714"/>
      <c r="N43" s="2714"/>
      <c r="O43" s="2723"/>
      <c r="P43" s="3702" t="str">
        <f>A43</f>
        <v>估价对象XX用房的比较价值（楼面单价，元/平方米）</v>
      </c>
      <c r="Q43" s="3703"/>
      <c r="R43" s="3734">
        <f>ROUND(IF(D42="简单平均",AVERAGE(R42:W42),R42*F42+T42*H42+V42*J42),0)</f>
        <v>151</v>
      </c>
      <c r="S43" s="3734"/>
      <c r="T43" s="3734"/>
      <c r="U43" s="3734"/>
      <c r="V43" s="3734"/>
      <c r="W43" s="3734"/>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f>IF(E41&lt;E42,E42/E41-1,E41/E42-1)</f>
        <v>3.2000000000000028E-2</v>
      </c>
      <c r="F46" s="449" t="str">
        <f>IF(OR(E46&gt;=0.3,E46&lt;=-0.3),"超过30%","")</f>
        <v/>
      </c>
      <c r="G46" s="448">
        <f>IF(G41&lt;G42,G42/G41-1,G41/G42-1)</f>
        <v>0</v>
      </c>
      <c r="H46" s="449" t="str">
        <f>IF(OR(G46&gt;=0.3,G46&lt;=-0.3),"超过30%","")</f>
        <v/>
      </c>
      <c r="I46" s="448">
        <f>IF(I41&lt;I42,I42/I41-1,I41/I42-1)</f>
        <v>1.3698630136986356E-2</v>
      </c>
      <c r="J46" s="449" t="str">
        <f>IF(OR(I46&gt;=0.3,I46&lt;=-0.3),"超过30%","")</f>
        <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f>IF(E42&lt;G42,G42/E42-1,E42/G42-1)</f>
        <v>0.35658914728682167</v>
      </c>
      <c r="F47" s="449" t="str">
        <f>IF(OR(E47&gt;=0.2,E47&lt;=-0.2),"超过20%","")</f>
        <v>超过20%</v>
      </c>
      <c r="G47" s="448">
        <f>IF(G42&lt;I42,I42/G42-1,G42/I42-1)</f>
        <v>0.18243243243243246</v>
      </c>
      <c r="H47" s="449" t="str">
        <f>IF(OR(G47&gt;=0.2,G47&lt;=-0.2),"超过20%","")</f>
        <v/>
      </c>
      <c r="I47" s="448">
        <f>IF(I42&lt;E42,E42/I42-1,I42/E42-1)</f>
        <v>0.1472868217054264</v>
      </c>
      <c r="J47" s="449" t="str">
        <f>IF(OR(I47&gt;=0.2,I47&lt;=-0.2),"超过20%","")</f>
        <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f>IF(E41&lt;G41,G41/E41-1,E41/G41-1)</f>
        <v>0.39999999999999991</v>
      </c>
      <c r="F48" s="449" t="str">
        <f>IF(OR(E48&gt;=0.3,E48&lt;=-0.3),"超过30%","")</f>
        <v>超过30%</v>
      </c>
      <c r="G48" s="448">
        <f>IF(G41&lt;I41,I41/G41-1,G41/I41-1)</f>
        <v>0.19863013698630128</v>
      </c>
      <c r="H48" s="449" t="str">
        <f>IF(OR(G48&gt;=0.3,G48&lt;=-0.3),"超过30%","")</f>
        <v/>
      </c>
      <c r="I48" s="448">
        <f>IF(I41&lt;E41,E41/I41-1,I41/E41-1)</f>
        <v>0.16799999999999993</v>
      </c>
      <c r="J48" s="449" t="str">
        <f>IF(OR(I48&gt;=0.3,I48&lt;=-0.3),"超过30%","")</f>
        <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8" t="s">
        <v>1887</v>
      </c>
      <c r="H50" s="3735"/>
      <c r="I50" s="1355" t="s">
        <v>1922</v>
      </c>
      <c r="J50" s="1355">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f>C43</f>
        <v>151</v>
      </c>
      <c r="C51" s="638">
        <v>1</v>
      </c>
      <c r="D51" s="943">
        <v>1</v>
      </c>
      <c r="E51" s="638">
        <f>'数据-汇总表'!E8+'数据-汇总表'!E9</f>
        <v>85566.27</v>
      </c>
      <c r="F51" s="639">
        <f t="shared" ref="F51:F60" si="15">ROUND(B51*E51/10000,0)</f>
        <v>1292</v>
      </c>
      <c r="G51" s="3687"/>
      <c r="H51" s="3705"/>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f>ROUND($C$43*C52*D52,0)</f>
        <v>0</v>
      </c>
      <c r="C52" s="171">
        <f t="shared" ref="C52:C60" si="16">IF($C$50="北京市系数",I52,J52)</f>
        <v>0</v>
      </c>
      <c r="D52" s="944">
        <v>0.25</v>
      </c>
      <c r="E52" s="642"/>
      <c r="F52" s="639">
        <f t="shared" si="15"/>
        <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f t="shared" ref="B53:B60" si="17">ROUND($C$43*C53*D53,0)</f>
        <v>0</v>
      </c>
      <c r="C53" s="171">
        <f t="shared" si="16"/>
        <v>0</v>
      </c>
      <c r="D53" s="944">
        <v>0.25</v>
      </c>
      <c r="E53" s="642"/>
      <c r="F53" s="639">
        <f t="shared" si="15"/>
        <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f t="shared" si="17"/>
        <v>0</v>
      </c>
      <c r="C54" s="171">
        <f t="shared" si="16"/>
        <v>0</v>
      </c>
      <c r="D54" s="944">
        <v>0.25</v>
      </c>
      <c r="E54" s="642"/>
      <c r="F54" s="639">
        <f t="shared" si="15"/>
        <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4"/>
      <c r="E55" s="642"/>
      <c r="F55" s="639"/>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f t="shared" si="17"/>
        <v>0</v>
      </c>
      <c r="C56" s="171">
        <f t="shared" si="16"/>
        <v>0</v>
      </c>
      <c r="D56" s="944">
        <v>0.25</v>
      </c>
      <c r="E56" s="217">
        <f>'数据-汇总表'!E11</f>
        <v>0</v>
      </c>
      <c r="F56" s="639">
        <f t="shared" si="15"/>
        <v>0</v>
      </c>
      <c r="G56" s="1985"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f t="shared" si="17"/>
        <v>0</v>
      </c>
      <c r="C57" s="171">
        <f t="shared" si="16"/>
        <v>0</v>
      </c>
      <c r="D57" s="944">
        <v>0.25</v>
      </c>
      <c r="E57" s="217">
        <f>'数据-汇总表'!E12</f>
        <v>0</v>
      </c>
      <c r="F57" s="639">
        <f t="shared" si="15"/>
        <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f t="shared" si="17"/>
        <v>0</v>
      </c>
      <c r="C58" s="171">
        <f t="shared" si="16"/>
        <v>0</v>
      </c>
      <c r="D58" s="944">
        <v>0.25</v>
      </c>
      <c r="E58" s="217">
        <f>'数据-汇总表'!E13</f>
        <v>0</v>
      </c>
      <c r="F58" s="639">
        <f t="shared" si="15"/>
        <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f t="shared" si="17"/>
        <v>0</v>
      </c>
      <c r="C59" s="171">
        <f t="shared" si="16"/>
        <v>0</v>
      </c>
      <c r="D59" s="944">
        <v>0.25</v>
      </c>
      <c r="E59" s="217">
        <f>'数据-汇总表'!E14</f>
        <v>0</v>
      </c>
      <c r="F59" s="639">
        <f t="shared" si="15"/>
        <v>0</v>
      </c>
      <c r="G59" s="1985"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f t="shared" si="17"/>
        <v>0</v>
      </c>
      <c r="C60" s="171">
        <f t="shared" si="16"/>
        <v>0</v>
      </c>
      <c r="D60" s="944">
        <v>0.25</v>
      </c>
      <c r="E60" s="217">
        <f>'数据-汇总表'!E15</f>
        <v>0</v>
      </c>
      <c r="F60" s="639">
        <f t="shared" si="15"/>
        <v>0</v>
      </c>
      <c r="G60" s="1986"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85566.27</v>
      </c>
      <c r="F61" s="645">
        <f>IF(B41="楼面地价",SUM(F51:F60),ROUND(C43*E61/10000,0))</f>
        <v>1292</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2023-11-1</v>
      </c>
      <c r="D63" s="691">
        <f>EDATE(C63,-3)</f>
        <v>45139</v>
      </c>
      <c r="E63" s="691">
        <f>EDATE(D63,-3)</f>
        <v>45047</v>
      </c>
      <c r="F63" s="691">
        <f t="shared" ref="F63:O63" si="18">EDATE(E63,-3)</f>
        <v>44958</v>
      </c>
      <c r="G63" s="691">
        <f t="shared" si="18"/>
        <v>44866</v>
      </c>
      <c r="H63" s="691">
        <f t="shared" si="18"/>
        <v>44774</v>
      </c>
      <c r="I63" s="691">
        <f t="shared" si="18"/>
        <v>44682</v>
      </c>
      <c r="J63" s="691">
        <f t="shared" si="18"/>
        <v>44593</v>
      </c>
      <c r="K63" s="691">
        <f t="shared" si="18"/>
        <v>44501</v>
      </c>
      <c r="L63" s="691">
        <f t="shared" si="18"/>
        <v>44409</v>
      </c>
      <c r="M63" s="691">
        <f t="shared" si="18"/>
        <v>44317</v>
      </c>
      <c r="N63" s="691">
        <f t="shared" si="18"/>
        <v>44228</v>
      </c>
      <c r="O63" s="691">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1923</v>
      </c>
      <c r="B66" s="288" t="str">
        <f>"北京市平均增长率"&amp;TEXT(基准地价修正!P28,"0.00%")</f>
        <v>北京市平均增长率0.00%</v>
      </c>
      <c r="C66" s="552">
        <v>100</v>
      </c>
      <c r="D66" s="544">
        <v>100</v>
      </c>
      <c r="E66" s="544">
        <v>100</v>
      </c>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v>0</v>
      </c>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0（含）-1</v>
      </c>
      <c r="D74" s="496" t="str">
        <f t="shared" ref="D74:L74" si="20">D75&amp;"（含）"&amp;"-"&amp;E75</f>
        <v>1（含）-1.5</v>
      </c>
      <c r="E74" s="496" t="str">
        <f t="shared" si="20"/>
        <v>1.5（含）-2</v>
      </c>
      <c r="F74" s="496" t="str">
        <f t="shared" si="20"/>
        <v>2（含）-2.5</v>
      </c>
      <c r="G74" s="496" t="str">
        <f t="shared" si="20"/>
        <v>2.5（含）-3</v>
      </c>
      <c r="H74" s="496" t="str">
        <f t="shared" si="20"/>
        <v>3（含）-3.5</v>
      </c>
      <c r="I74" s="496" t="str">
        <f t="shared" si="20"/>
        <v>3.5（含）-4</v>
      </c>
      <c r="J74" s="496" t="str">
        <f t="shared" si="20"/>
        <v>4（含）-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v>0</v>
      </c>
      <c r="D75" s="498">
        <v>1</v>
      </c>
      <c r="E75" s="498">
        <v>1.5</v>
      </c>
      <c r="F75" s="498">
        <v>2</v>
      </c>
      <c r="G75" s="498">
        <v>2.5</v>
      </c>
      <c r="H75" s="498">
        <v>3</v>
      </c>
      <c r="I75" s="498">
        <v>3.5</v>
      </c>
      <c r="J75" s="498">
        <v>4</v>
      </c>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99</v>
      </c>
      <c r="E76" s="493">
        <f t="shared" ref="E76:M76" si="21">IF($B$41="单位面积地价",D76+$K11,D76-$K11)</f>
        <v>98</v>
      </c>
      <c r="F76" s="493">
        <f t="shared" si="21"/>
        <v>97</v>
      </c>
      <c r="G76" s="493">
        <f t="shared" si="21"/>
        <v>96</v>
      </c>
      <c r="H76" s="493">
        <f t="shared" si="21"/>
        <v>95</v>
      </c>
      <c r="I76" s="493">
        <f t="shared" si="21"/>
        <v>94</v>
      </c>
      <c r="J76" s="493">
        <f t="shared" si="21"/>
        <v>93</v>
      </c>
      <c r="K76" s="493">
        <f t="shared" si="21"/>
        <v>92</v>
      </c>
      <c r="L76" s="493">
        <f t="shared" si="21"/>
        <v>91</v>
      </c>
      <c r="M76" s="493">
        <f t="shared" si="21"/>
        <v>90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28.5">
      <c r="A107" s="476" t="s">
        <v>1694</v>
      </c>
      <c r="B107" s="477" t="s">
        <v>1913</v>
      </c>
      <c r="C107" s="478" t="str">
        <f t="shared" ref="C107:L107" si="25">C108&amp;"(含)"&amp;"-"&amp;D108</f>
        <v>0(含)-20000</v>
      </c>
      <c r="D107" s="478" t="str">
        <f t="shared" si="25"/>
        <v>20000(含)-40000</v>
      </c>
      <c r="E107" s="478" t="str">
        <f t="shared" si="25"/>
        <v>40000(含)-60000</v>
      </c>
      <c r="F107" s="478" t="str">
        <f t="shared" si="25"/>
        <v>60000(含)-80000</v>
      </c>
      <c r="G107" s="478" t="str">
        <f t="shared" si="25"/>
        <v>80000(含)-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v>0</v>
      </c>
      <c r="D108" s="544">
        <v>20000</v>
      </c>
      <c r="E108" s="544">
        <v>40000</v>
      </c>
      <c r="F108" s="544">
        <v>60000</v>
      </c>
      <c r="G108" s="544">
        <v>80000</v>
      </c>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v>100</v>
      </c>
      <c r="D109" s="540">
        <v>101</v>
      </c>
      <c r="E109" s="540">
        <v>102</v>
      </c>
      <c r="F109" s="540">
        <v>103</v>
      </c>
      <c r="G109" s="540">
        <v>104</v>
      </c>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3"/>
  <sheetViews>
    <sheetView tabSelected="1" workbookViewId="0">
      <selection activeCell="H7" sqref="H7"/>
    </sheetView>
  </sheetViews>
  <sheetFormatPr defaultRowHeight="14.25"/>
  <cols>
    <col min="1" max="1" width="23.875" style="3454" customWidth="1"/>
    <col min="2" max="2" width="7.375" style="3454" customWidth="1"/>
    <col min="3" max="3" width="18.5" style="3454" customWidth="1"/>
    <col min="4" max="4" width="9" style="3454" customWidth="1"/>
    <col min="5" max="5" width="8.875" style="3454" customWidth="1"/>
    <col min="6" max="6" width="9.125" style="3454" customWidth="1"/>
    <col min="7" max="7" width="10.25" style="3454" customWidth="1"/>
    <col min="8" max="8" width="7.375" style="3454" customWidth="1"/>
    <col min="9" max="9" width="8.625" style="3454" customWidth="1"/>
    <col min="10" max="10" width="8.25" style="3454" customWidth="1"/>
    <col min="11" max="11" width="10" style="3454" customWidth="1"/>
    <col min="12" max="12" width="10.75" style="3454" customWidth="1"/>
    <col min="13" max="13" width="8.25" style="3454" customWidth="1"/>
    <col min="14" max="14" width="20" style="3454" customWidth="1"/>
    <col min="15" max="15" width="10.75" style="3454" customWidth="1"/>
    <col min="16" max="16" width="11.125" style="3454" customWidth="1"/>
    <col min="17" max="17" width="15" style="3454" customWidth="1"/>
    <col min="18" max="18" width="10.125" style="3454" customWidth="1"/>
    <col min="19" max="19" width="8.5" style="3454" customWidth="1"/>
    <col min="20" max="20" width="7.625" style="3454" customWidth="1"/>
    <col min="21" max="21" width="8.5" style="3454" customWidth="1"/>
    <col min="22" max="22" width="9.25" style="3454" customWidth="1"/>
    <col min="23" max="23" width="20" style="3454" customWidth="1"/>
    <col min="24" max="16384" width="9" style="3454"/>
  </cols>
  <sheetData>
    <row r="1" spans="1:24">
      <c r="A1" s="3454" t="s">
        <v>3405</v>
      </c>
      <c r="B1" s="3454" t="s">
        <v>3406</v>
      </c>
      <c r="C1" s="3454" t="s">
        <v>3407</v>
      </c>
      <c r="D1" s="3454" t="s">
        <v>3408</v>
      </c>
      <c r="E1" s="3454" t="s">
        <v>3409</v>
      </c>
      <c r="F1" s="3454" t="s">
        <v>3410</v>
      </c>
      <c r="G1" s="3454" t="s">
        <v>3411</v>
      </c>
      <c r="H1" s="3454" t="s">
        <v>3412</v>
      </c>
      <c r="I1" s="3454" t="s">
        <v>3413</v>
      </c>
      <c r="J1" s="3454" t="s">
        <v>3414</v>
      </c>
      <c r="K1" s="3454" t="s">
        <v>3415</v>
      </c>
      <c r="L1" s="3454" t="s">
        <v>3416</v>
      </c>
      <c r="M1" s="3454" t="s">
        <v>3417</v>
      </c>
      <c r="N1" s="3454" t="s">
        <v>3418</v>
      </c>
      <c r="O1" s="3454" t="s">
        <v>3419</v>
      </c>
      <c r="P1" s="3454" t="s">
        <v>3420</v>
      </c>
      <c r="Q1" s="3454" t="s">
        <v>3421</v>
      </c>
      <c r="R1" s="3454" t="s">
        <v>3422</v>
      </c>
      <c r="S1" s="3454" t="s">
        <v>3423</v>
      </c>
      <c r="T1" s="3454" t="s">
        <v>3424</v>
      </c>
      <c r="U1" s="3454" t="s">
        <v>3425</v>
      </c>
      <c r="V1" s="3454" t="s">
        <v>3426</v>
      </c>
      <c r="W1" s="3454" t="s">
        <v>3605</v>
      </c>
      <c r="X1" s="3454">
        <f>常用公式!C18</f>
        <v>1.2132000000000001</v>
      </c>
    </row>
    <row r="2" spans="1:24">
      <c r="A2" s="3454" t="s">
        <v>3427</v>
      </c>
      <c r="B2" s="3454" t="s">
        <v>3428</v>
      </c>
      <c r="C2" s="3454" t="s">
        <v>3429</v>
      </c>
      <c r="D2" s="3454" t="s">
        <v>3430</v>
      </c>
      <c r="E2" s="3454">
        <v>24565</v>
      </c>
      <c r="F2" s="3454">
        <v>50000</v>
      </c>
      <c r="G2" s="3454" t="s">
        <v>3431</v>
      </c>
      <c r="H2" s="3454" t="s">
        <v>3432</v>
      </c>
      <c r="I2" s="3454" t="s">
        <v>3430</v>
      </c>
      <c r="J2" s="3454" t="s">
        <v>3433</v>
      </c>
      <c r="K2" s="3452">
        <v>45190.000497685185</v>
      </c>
      <c r="L2" s="3452">
        <v>45190.000497685185</v>
      </c>
      <c r="M2" s="3454" t="s">
        <v>3434</v>
      </c>
      <c r="N2" s="3454" t="s">
        <v>3435</v>
      </c>
      <c r="O2" s="3454">
        <v>884.34</v>
      </c>
      <c r="P2" s="3454">
        <v>180</v>
      </c>
      <c r="Q2" s="3454" t="s">
        <v>3436</v>
      </c>
      <c r="R2" s="3454">
        <v>884.34</v>
      </c>
      <c r="S2" s="3454">
        <v>24</v>
      </c>
      <c r="T2" s="3454">
        <v>177</v>
      </c>
      <c r="U2" s="3454">
        <v>0</v>
      </c>
      <c r="V2" s="3454" t="s">
        <v>3437</v>
      </c>
      <c r="W2" s="3454">
        <f>ROUND(T2*$X$1,0)</f>
        <v>215</v>
      </c>
    </row>
    <row r="3" spans="1:24" s="3451" customFormat="1">
      <c r="A3" s="3451" t="s">
        <v>3438</v>
      </c>
      <c r="B3" s="3451" t="s">
        <v>3428</v>
      </c>
      <c r="C3" s="3451" t="s">
        <v>3439</v>
      </c>
      <c r="D3" s="3451" t="s">
        <v>3430</v>
      </c>
      <c r="E3" s="3451">
        <v>18267.099999999999</v>
      </c>
      <c r="F3" s="3451">
        <v>63934.85</v>
      </c>
      <c r="G3" s="3451" t="s">
        <v>3440</v>
      </c>
      <c r="H3" s="3451" t="s">
        <v>3432</v>
      </c>
      <c r="I3" s="3451" t="s">
        <v>3430</v>
      </c>
      <c r="J3" s="3451" t="s">
        <v>3433</v>
      </c>
      <c r="K3" s="3450">
        <v>45169.000497685185</v>
      </c>
      <c r="L3" s="3450">
        <v>45169.000497685185</v>
      </c>
      <c r="M3" s="3451" t="s">
        <v>3434</v>
      </c>
      <c r="N3" s="3451" t="s">
        <v>3441</v>
      </c>
      <c r="O3" s="3451">
        <v>657.62</v>
      </c>
      <c r="P3" s="3451">
        <v>140</v>
      </c>
      <c r="Q3" s="3451" t="s">
        <v>3442</v>
      </c>
      <c r="R3" s="3451">
        <v>657.62</v>
      </c>
      <c r="S3" s="3451">
        <v>24</v>
      </c>
      <c r="T3" s="3451">
        <v>103</v>
      </c>
      <c r="U3" s="3451">
        <v>0</v>
      </c>
      <c r="V3" s="3451" t="s">
        <v>3437</v>
      </c>
      <c r="W3" s="3451">
        <f t="shared" ref="W3:W63" si="0">ROUND(T3*$X$1,0)</f>
        <v>125</v>
      </c>
    </row>
    <row r="4" spans="1:24">
      <c r="A4" s="3454" t="s">
        <v>3443</v>
      </c>
      <c r="B4" s="3454" t="s">
        <v>3428</v>
      </c>
      <c r="C4" s="3454" t="s">
        <v>3443</v>
      </c>
      <c r="D4" s="3454" t="s">
        <v>3430</v>
      </c>
      <c r="E4" s="3454">
        <v>24901.599999999999</v>
      </c>
      <c r="F4" s="3454">
        <v>74704.800000000003</v>
      </c>
      <c r="G4" s="3454" t="s">
        <v>3431</v>
      </c>
      <c r="H4" s="3454" t="s">
        <v>3432</v>
      </c>
      <c r="I4" s="3454" t="s">
        <v>3430</v>
      </c>
      <c r="J4" s="3454" t="s">
        <v>3433</v>
      </c>
      <c r="K4" s="3452">
        <v>45106.000497685185</v>
      </c>
      <c r="L4" s="3452">
        <v>45106.000497685185</v>
      </c>
      <c r="M4" s="3454" t="s">
        <v>3434</v>
      </c>
      <c r="N4" s="3454" t="s">
        <v>3444</v>
      </c>
      <c r="O4" s="3454">
        <v>896.46</v>
      </c>
      <c r="P4" s="3454">
        <v>180</v>
      </c>
      <c r="Q4" s="3454" t="s">
        <v>3445</v>
      </c>
      <c r="R4" s="3454">
        <v>896.46</v>
      </c>
      <c r="S4" s="3454">
        <v>24</v>
      </c>
      <c r="T4" s="3454">
        <v>120</v>
      </c>
      <c r="U4" s="3454">
        <v>0</v>
      </c>
      <c r="V4" s="3454" t="s">
        <v>3437</v>
      </c>
      <c r="W4" s="3454">
        <f t="shared" si="0"/>
        <v>146</v>
      </c>
    </row>
    <row r="5" spans="1:24">
      <c r="A5" s="3454" t="s">
        <v>3446</v>
      </c>
      <c r="B5" s="3454" t="s">
        <v>3428</v>
      </c>
      <c r="C5" s="3454" t="s">
        <v>3446</v>
      </c>
      <c r="D5" s="3454" t="s">
        <v>3430</v>
      </c>
      <c r="E5" s="3454">
        <v>8308.1</v>
      </c>
      <c r="F5" s="3454">
        <v>29078.35</v>
      </c>
      <c r="G5" s="3454" t="s">
        <v>3447</v>
      </c>
      <c r="H5" s="3454" t="s">
        <v>3432</v>
      </c>
      <c r="I5" s="3454" t="s">
        <v>3430</v>
      </c>
      <c r="J5" s="3454" t="s">
        <v>3433</v>
      </c>
      <c r="K5" s="3452">
        <v>45089.000497685185</v>
      </c>
      <c r="L5" s="3452">
        <v>45089.000497685185</v>
      </c>
      <c r="M5" s="3454" t="s">
        <v>3434</v>
      </c>
      <c r="N5" s="3454" t="s">
        <v>3448</v>
      </c>
      <c r="O5" s="3454">
        <v>1395.76</v>
      </c>
      <c r="P5" s="3454">
        <v>280</v>
      </c>
      <c r="Q5" s="3454" t="s">
        <v>3449</v>
      </c>
      <c r="R5" s="3454">
        <v>1395.76</v>
      </c>
      <c r="S5" s="3454">
        <v>112</v>
      </c>
      <c r="T5" s="3454">
        <v>480</v>
      </c>
      <c r="U5" s="3454">
        <v>0</v>
      </c>
      <c r="V5" s="3454" t="s">
        <v>3437</v>
      </c>
      <c r="W5" s="3454">
        <f t="shared" si="0"/>
        <v>582</v>
      </c>
    </row>
    <row r="6" spans="1:24" s="3449" customFormat="1">
      <c r="A6" s="3449" t="s">
        <v>3450</v>
      </c>
      <c r="B6" s="3449" t="s">
        <v>3428</v>
      </c>
      <c r="C6" s="3449" t="s">
        <v>3450</v>
      </c>
      <c r="D6" s="3449" t="s">
        <v>3430</v>
      </c>
      <c r="E6" s="3449">
        <v>21997</v>
      </c>
      <c r="F6" s="3449">
        <v>65991</v>
      </c>
      <c r="G6" s="3449" t="s">
        <v>3431</v>
      </c>
      <c r="H6" s="3449" t="s">
        <v>3432</v>
      </c>
      <c r="I6" s="3449" t="s">
        <v>3430</v>
      </c>
      <c r="J6" s="3449" t="s">
        <v>3433</v>
      </c>
      <c r="K6" s="3448">
        <v>45089.000497685185</v>
      </c>
      <c r="L6" s="3448">
        <v>45089.000497685185</v>
      </c>
      <c r="M6" s="3449" t="s">
        <v>3434</v>
      </c>
      <c r="N6" s="3449" t="s">
        <v>3451</v>
      </c>
      <c r="O6" s="3449">
        <v>791.89</v>
      </c>
      <c r="P6" s="3449">
        <v>160</v>
      </c>
      <c r="Q6" s="3449" t="s">
        <v>3449</v>
      </c>
      <c r="R6" s="3449">
        <v>791.89</v>
      </c>
      <c r="S6" s="3449">
        <v>24</v>
      </c>
      <c r="T6" s="3449">
        <v>120</v>
      </c>
      <c r="U6" s="3449">
        <v>0</v>
      </c>
      <c r="V6" s="3449" t="s">
        <v>3437</v>
      </c>
      <c r="W6" s="3449">
        <f t="shared" si="0"/>
        <v>146</v>
      </c>
    </row>
    <row r="7" spans="1:24">
      <c r="A7" s="3454" t="s">
        <v>3452</v>
      </c>
      <c r="B7" s="3454" t="s">
        <v>3428</v>
      </c>
      <c r="C7" s="3454" t="s">
        <v>3452</v>
      </c>
      <c r="D7" s="3454" t="s">
        <v>3430</v>
      </c>
      <c r="E7" s="3454">
        <v>33332.9</v>
      </c>
      <c r="F7" s="3454">
        <v>116665.15</v>
      </c>
      <c r="G7" s="3454" t="s">
        <v>3440</v>
      </c>
      <c r="H7" s="3454" t="s">
        <v>3432</v>
      </c>
      <c r="I7" s="3454" t="s">
        <v>3430</v>
      </c>
      <c r="J7" s="3454" t="s">
        <v>3433</v>
      </c>
      <c r="K7" s="3452">
        <v>45089.000497685185</v>
      </c>
      <c r="L7" s="3452">
        <v>45089.000497685185</v>
      </c>
      <c r="M7" s="3454" t="s">
        <v>3434</v>
      </c>
      <c r="N7" s="3454" t="s">
        <v>3453</v>
      </c>
      <c r="O7" s="3454">
        <v>1199.98</v>
      </c>
      <c r="P7" s="3454">
        <v>240</v>
      </c>
      <c r="Q7" s="3454" t="s">
        <v>3449</v>
      </c>
      <c r="R7" s="3454">
        <v>1199.98</v>
      </c>
      <c r="S7" s="3454">
        <v>24</v>
      </c>
      <c r="T7" s="3454">
        <v>103</v>
      </c>
      <c r="U7" s="3454">
        <v>0</v>
      </c>
      <c r="V7" s="3454" t="s">
        <v>3437</v>
      </c>
      <c r="W7" s="3454">
        <f t="shared" si="0"/>
        <v>125</v>
      </c>
    </row>
    <row r="8" spans="1:24">
      <c r="A8" s="3454" t="s">
        <v>3454</v>
      </c>
      <c r="B8" s="3454" t="s">
        <v>3428</v>
      </c>
      <c r="C8" s="3454" t="s">
        <v>3454</v>
      </c>
      <c r="D8" s="3454" t="s">
        <v>3430</v>
      </c>
      <c r="E8" s="3454">
        <v>16739.7</v>
      </c>
      <c r="F8" s="3454">
        <v>50219.1</v>
      </c>
      <c r="G8" s="3454" t="s">
        <v>3431</v>
      </c>
      <c r="H8" s="3454" t="s">
        <v>3432</v>
      </c>
      <c r="I8" s="3454" t="s">
        <v>3430</v>
      </c>
      <c r="J8" s="3454" t="s">
        <v>3433</v>
      </c>
      <c r="K8" s="3452">
        <v>45089.000497685185</v>
      </c>
      <c r="L8" s="3452">
        <v>45089.000497685185</v>
      </c>
      <c r="M8" s="3454" t="s">
        <v>3434</v>
      </c>
      <c r="N8" s="3454" t="s">
        <v>3455</v>
      </c>
      <c r="O8" s="3454">
        <v>602.63</v>
      </c>
      <c r="P8" s="3454">
        <v>130</v>
      </c>
      <c r="Q8" s="3454" t="s">
        <v>3449</v>
      </c>
      <c r="R8" s="3454">
        <v>602.63</v>
      </c>
      <c r="S8" s="3454">
        <v>24</v>
      </c>
      <c r="T8" s="3454">
        <v>120</v>
      </c>
      <c r="U8" s="3454">
        <v>0</v>
      </c>
      <c r="V8" s="3454" t="s">
        <v>3437</v>
      </c>
      <c r="W8" s="3454">
        <f t="shared" si="0"/>
        <v>146</v>
      </c>
    </row>
    <row r="9" spans="1:24">
      <c r="A9" s="3454" t="s">
        <v>3456</v>
      </c>
      <c r="B9" s="3454" t="s">
        <v>3428</v>
      </c>
      <c r="C9" s="3454" t="s">
        <v>3456</v>
      </c>
      <c r="D9" s="3454" t="s">
        <v>3430</v>
      </c>
      <c r="E9" s="3454">
        <v>33410.800000000003</v>
      </c>
      <c r="F9" s="3454">
        <v>100232.4</v>
      </c>
      <c r="G9" s="3454" t="s">
        <v>3431</v>
      </c>
      <c r="H9" s="3454" t="s">
        <v>3432</v>
      </c>
      <c r="I9" s="3454" t="s">
        <v>3430</v>
      </c>
      <c r="J9" s="3454" t="s">
        <v>3433</v>
      </c>
      <c r="K9" s="3452">
        <v>45061.000497685185</v>
      </c>
      <c r="L9" s="3452">
        <v>45061.000497685185</v>
      </c>
      <c r="M9" s="3454" t="s">
        <v>3434</v>
      </c>
      <c r="N9" s="3454" t="s">
        <v>3457</v>
      </c>
      <c r="O9" s="3454">
        <v>1202.79</v>
      </c>
      <c r="P9" s="3454">
        <v>250</v>
      </c>
      <c r="Q9" s="3454" t="s">
        <v>3458</v>
      </c>
      <c r="R9" s="3454">
        <v>1202.79</v>
      </c>
      <c r="S9" s="3454">
        <v>24</v>
      </c>
      <c r="T9" s="3454">
        <v>120</v>
      </c>
      <c r="U9" s="3454">
        <v>0</v>
      </c>
      <c r="V9" s="3454" t="s">
        <v>3437</v>
      </c>
      <c r="W9" s="3454">
        <f t="shared" si="0"/>
        <v>146</v>
      </c>
    </row>
    <row r="10" spans="1:24" s="3451" customFormat="1">
      <c r="A10" s="3451" t="s">
        <v>3459</v>
      </c>
      <c r="B10" s="3451" t="s">
        <v>3428</v>
      </c>
      <c r="C10" s="3451" t="s">
        <v>3459</v>
      </c>
      <c r="D10" s="3451" t="s">
        <v>3430</v>
      </c>
      <c r="E10" s="3451">
        <v>20961.3</v>
      </c>
      <c r="F10" s="3451">
        <v>52403.25</v>
      </c>
      <c r="G10" s="3451" t="s">
        <v>3460</v>
      </c>
      <c r="H10" s="3451" t="s">
        <v>3432</v>
      </c>
      <c r="I10" s="3451" t="s">
        <v>3430</v>
      </c>
      <c r="J10" s="3451" t="s">
        <v>3433</v>
      </c>
      <c r="K10" s="3450">
        <v>45061.000497685185</v>
      </c>
      <c r="L10" s="3450">
        <v>45061.000497685185</v>
      </c>
      <c r="M10" s="3451" t="s">
        <v>3434</v>
      </c>
      <c r="N10" s="3451" t="s">
        <v>3461</v>
      </c>
      <c r="O10" s="3451">
        <v>754.61</v>
      </c>
      <c r="P10" s="3451">
        <v>160</v>
      </c>
      <c r="Q10" s="3451" t="s">
        <v>3458</v>
      </c>
      <c r="R10" s="3451">
        <v>754.61</v>
      </c>
      <c r="S10" s="3451">
        <v>24</v>
      </c>
      <c r="T10" s="3451">
        <v>144</v>
      </c>
      <c r="U10" s="3451">
        <v>0</v>
      </c>
      <c r="V10" s="3451" t="s">
        <v>3437</v>
      </c>
      <c r="W10" s="3451">
        <f t="shared" si="0"/>
        <v>175</v>
      </c>
    </row>
    <row r="11" spans="1:24">
      <c r="A11" s="3454" t="s">
        <v>3462</v>
      </c>
      <c r="B11" s="3454" t="s">
        <v>3428</v>
      </c>
      <c r="C11" s="3454" t="s">
        <v>3462</v>
      </c>
      <c r="D11" s="3454" t="s">
        <v>3430</v>
      </c>
      <c r="E11" s="3454">
        <v>89429.4</v>
      </c>
      <c r="F11" s="3454">
        <v>313002.90000000002</v>
      </c>
      <c r="G11" s="3454" t="s">
        <v>3447</v>
      </c>
      <c r="H11" s="3454" t="s">
        <v>3432</v>
      </c>
      <c r="I11" s="3454" t="s">
        <v>3430</v>
      </c>
      <c r="J11" s="3454" t="s">
        <v>3433</v>
      </c>
      <c r="K11" s="3452">
        <v>45061.000497685185</v>
      </c>
      <c r="L11" s="3452">
        <v>45061.000497685185</v>
      </c>
      <c r="M11" s="3454" t="s">
        <v>3434</v>
      </c>
      <c r="N11" s="3454" t="s">
        <v>3463</v>
      </c>
      <c r="O11" s="3454">
        <v>9077.08</v>
      </c>
      <c r="P11" s="3454">
        <v>9077.08</v>
      </c>
      <c r="Q11" s="3454" t="s">
        <v>3458</v>
      </c>
      <c r="R11" s="3454">
        <v>9077.08</v>
      </c>
      <c r="S11" s="3454">
        <v>67.67</v>
      </c>
      <c r="T11" s="3454">
        <v>290</v>
      </c>
      <c r="U11" s="3454">
        <v>0</v>
      </c>
      <c r="V11" s="3454" t="s">
        <v>3437</v>
      </c>
      <c r="W11" s="3454">
        <f t="shared" si="0"/>
        <v>352</v>
      </c>
    </row>
    <row r="12" spans="1:24" s="3451" customFormat="1">
      <c r="A12" s="3451" t="s">
        <v>3464</v>
      </c>
      <c r="B12" s="3451" t="s">
        <v>3428</v>
      </c>
      <c r="C12" s="3451" t="s">
        <v>3464</v>
      </c>
      <c r="D12" s="3451" t="s">
        <v>3430</v>
      </c>
      <c r="E12" s="3451">
        <v>35763.599999999999</v>
      </c>
      <c r="F12" s="3451">
        <v>107290.8</v>
      </c>
      <c r="G12" s="3451" t="s">
        <v>3431</v>
      </c>
      <c r="H12" s="3451" t="s">
        <v>3432</v>
      </c>
      <c r="I12" s="3451" t="s">
        <v>3430</v>
      </c>
      <c r="J12" s="3451" t="s">
        <v>3433</v>
      </c>
      <c r="K12" s="3450">
        <v>45043.000497685185</v>
      </c>
      <c r="L12" s="3450">
        <v>45043.000497685185</v>
      </c>
      <c r="M12" s="3451" t="s">
        <v>3434</v>
      </c>
      <c r="N12" s="3451" t="s">
        <v>3465</v>
      </c>
      <c r="O12" s="3451">
        <v>1287.49</v>
      </c>
      <c r="P12" s="3451">
        <v>260</v>
      </c>
      <c r="Q12" s="3451" t="s">
        <v>3466</v>
      </c>
      <c r="R12" s="3451">
        <v>1287.49</v>
      </c>
      <c r="S12" s="3451">
        <v>24</v>
      </c>
      <c r="T12" s="3451">
        <v>120</v>
      </c>
      <c r="U12" s="3451">
        <v>0</v>
      </c>
      <c r="V12" s="3451" t="s">
        <v>3437</v>
      </c>
      <c r="W12" s="3451">
        <f t="shared" si="0"/>
        <v>146</v>
      </c>
    </row>
    <row r="13" spans="1:24">
      <c r="A13" s="3454" t="s">
        <v>3467</v>
      </c>
      <c r="B13" s="3454" t="s">
        <v>3428</v>
      </c>
      <c r="C13" s="3454" t="s">
        <v>3467</v>
      </c>
      <c r="D13" s="3454" t="s">
        <v>3430</v>
      </c>
      <c r="E13" s="3454">
        <v>19772</v>
      </c>
      <c r="F13" s="3454">
        <v>59316</v>
      </c>
      <c r="G13" s="3454" t="s">
        <v>3431</v>
      </c>
      <c r="H13" s="3454" t="s">
        <v>3432</v>
      </c>
      <c r="I13" s="3454" t="s">
        <v>3430</v>
      </c>
      <c r="J13" s="3454" t="s">
        <v>3433</v>
      </c>
      <c r="K13" s="3452">
        <v>45043.000497685185</v>
      </c>
      <c r="L13" s="3452">
        <v>45043.000497685185</v>
      </c>
      <c r="M13" s="3454" t="s">
        <v>3434</v>
      </c>
      <c r="N13" s="3454" t="s">
        <v>3468</v>
      </c>
      <c r="O13" s="3454">
        <v>711.79</v>
      </c>
      <c r="P13" s="3454">
        <v>150</v>
      </c>
      <c r="Q13" s="3454" t="s">
        <v>3466</v>
      </c>
      <c r="R13" s="3454">
        <v>711.79</v>
      </c>
      <c r="S13" s="3454">
        <v>24</v>
      </c>
      <c r="T13" s="3454">
        <v>120</v>
      </c>
      <c r="U13" s="3454">
        <v>0</v>
      </c>
      <c r="V13" s="3454" t="s">
        <v>3437</v>
      </c>
      <c r="W13" s="3454">
        <f t="shared" si="0"/>
        <v>146</v>
      </c>
    </row>
    <row r="14" spans="1:24">
      <c r="A14" s="3454" t="s">
        <v>3469</v>
      </c>
      <c r="B14" s="3454" t="s">
        <v>3428</v>
      </c>
      <c r="C14" s="3454" t="s">
        <v>3469</v>
      </c>
      <c r="D14" s="3454" t="s">
        <v>3430</v>
      </c>
      <c r="E14" s="3454">
        <v>6681.9</v>
      </c>
      <c r="F14" s="3454">
        <v>18041.13</v>
      </c>
      <c r="G14" s="3454" t="s">
        <v>3470</v>
      </c>
      <c r="H14" s="3454" t="s">
        <v>3432</v>
      </c>
      <c r="I14" s="3454" t="s">
        <v>3430</v>
      </c>
      <c r="J14" s="3454" t="s">
        <v>3433</v>
      </c>
      <c r="K14" s="3452">
        <v>44986.000497685185</v>
      </c>
      <c r="L14" s="3452">
        <v>44986.000497685185</v>
      </c>
      <c r="M14" s="3454" t="s">
        <v>3434</v>
      </c>
      <c r="N14" s="3454" t="s">
        <v>3471</v>
      </c>
      <c r="O14" s="3454">
        <v>993.6</v>
      </c>
      <c r="P14" s="3454">
        <v>200</v>
      </c>
      <c r="Q14" s="3454" t="s">
        <v>3472</v>
      </c>
      <c r="R14" s="3454">
        <v>993.6</v>
      </c>
      <c r="S14" s="3454">
        <v>99.13</v>
      </c>
      <c r="T14" s="3454">
        <v>551</v>
      </c>
      <c r="U14" s="3454">
        <v>0</v>
      </c>
      <c r="V14" s="3454" t="s">
        <v>3437</v>
      </c>
      <c r="W14" s="3454">
        <f t="shared" si="0"/>
        <v>668</v>
      </c>
    </row>
    <row r="15" spans="1:24">
      <c r="A15" s="3454" t="s">
        <v>3473</v>
      </c>
      <c r="B15" s="3454" t="s">
        <v>3428</v>
      </c>
      <c r="C15" s="3454" t="s">
        <v>3473</v>
      </c>
      <c r="D15" s="3454" t="s">
        <v>3430</v>
      </c>
      <c r="E15" s="3454">
        <v>15000</v>
      </c>
      <c r="F15" s="3454">
        <v>45000</v>
      </c>
      <c r="G15" s="3454" t="s">
        <v>3431</v>
      </c>
      <c r="H15" s="3454" t="s">
        <v>3432</v>
      </c>
      <c r="I15" s="3454" t="s">
        <v>3430</v>
      </c>
      <c r="J15" s="3454" t="s">
        <v>3433</v>
      </c>
      <c r="K15" s="3452">
        <v>44986.000497685185</v>
      </c>
      <c r="L15" s="3452">
        <v>44986.000497685185</v>
      </c>
      <c r="M15" s="3454" t="s">
        <v>3434</v>
      </c>
      <c r="N15" s="3454" t="s">
        <v>3474</v>
      </c>
      <c r="O15" s="3454">
        <v>540</v>
      </c>
      <c r="P15" s="3454">
        <v>110</v>
      </c>
      <c r="Q15" s="3454" t="s">
        <v>3472</v>
      </c>
      <c r="R15" s="3454">
        <v>540</v>
      </c>
      <c r="S15" s="3454">
        <v>24</v>
      </c>
      <c r="T15" s="3454">
        <v>120</v>
      </c>
      <c r="U15" s="3454">
        <v>0</v>
      </c>
      <c r="V15" s="3454" t="s">
        <v>3437</v>
      </c>
      <c r="W15" s="3454">
        <f t="shared" si="0"/>
        <v>146</v>
      </c>
    </row>
    <row r="16" spans="1:24">
      <c r="A16" s="3454" t="s">
        <v>3475</v>
      </c>
      <c r="B16" s="3454" t="s">
        <v>3428</v>
      </c>
      <c r="C16" s="3454" t="s">
        <v>3475</v>
      </c>
      <c r="D16" s="3454" t="s">
        <v>3430</v>
      </c>
      <c r="E16" s="3454">
        <v>21538.2</v>
      </c>
      <c r="F16" s="3454">
        <v>75383.7</v>
      </c>
      <c r="G16" s="3454" t="s">
        <v>3440</v>
      </c>
      <c r="H16" s="3454" t="s">
        <v>3432</v>
      </c>
      <c r="I16" s="3454" t="s">
        <v>3430</v>
      </c>
      <c r="J16" s="3454" t="s">
        <v>3433</v>
      </c>
      <c r="K16" s="3452">
        <v>44986.000497685185</v>
      </c>
      <c r="L16" s="3452">
        <v>44986.000497685185</v>
      </c>
      <c r="M16" s="3454" t="s">
        <v>3434</v>
      </c>
      <c r="N16" s="3454" t="s">
        <v>3476</v>
      </c>
      <c r="O16" s="3454">
        <v>775.38</v>
      </c>
      <c r="P16" s="3454">
        <v>160</v>
      </c>
      <c r="Q16" s="3454" t="s">
        <v>3472</v>
      </c>
      <c r="R16" s="3454">
        <v>775.38</v>
      </c>
      <c r="S16" s="3454">
        <v>24</v>
      </c>
      <c r="T16" s="3454">
        <v>103</v>
      </c>
      <c r="U16" s="3454">
        <v>0</v>
      </c>
      <c r="V16" s="3454" t="s">
        <v>3437</v>
      </c>
      <c r="W16" s="3454">
        <f t="shared" si="0"/>
        <v>125</v>
      </c>
    </row>
    <row r="17" spans="1:23" s="3451" customFormat="1">
      <c r="A17" s="3451" t="s">
        <v>3477</v>
      </c>
      <c r="B17" s="3451" t="s">
        <v>3428</v>
      </c>
      <c r="C17" s="3451" t="s">
        <v>3477</v>
      </c>
      <c r="D17" s="3451" t="s">
        <v>3430</v>
      </c>
      <c r="E17" s="3451">
        <v>33762</v>
      </c>
      <c r="F17" s="3451">
        <v>101286</v>
      </c>
      <c r="G17" s="3451" t="s">
        <v>3478</v>
      </c>
      <c r="H17" s="3451" t="s">
        <v>3432</v>
      </c>
      <c r="I17" s="3451" t="s">
        <v>3430</v>
      </c>
      <c r="J17" s="3451" t="s">
        <v>3433</v>
      </c>
      <c r="K17" s="3450">
        <v>44986.000497685185</v>
      </c>
      <c r="L17" s="3450">
        <v>44986.000497685185</v>
      </c>
      <c r="M17" s="3451" t="s">
        <v>3434</v>
      </c>
      <c r="N17" s="3451" t="s">
        <v>3479</v>
      </c>
      <c r="O17" s="3451">
        <v>3254.66</v>
      </c>
      <c r="P17" s="3451">
        <v>660</v>
      </c>
      <c r="Q17" s="3451" t="s">
        <v>3472</v>
      </c>
      <c r="R17" s="3451">
        <v>3254.66</v>
      </c>
      <c r="S17" s="3451">
        <v>64.27</v>
      </c>
      <c r="T17" s="3451">
        <v>321</v>
      </c>
      <c r="U17" s="3451">
        <v>0</v>
      </c>
      <c r="V17" s="3451" t="s">
        <v>3437</v>
      </c>
      <c r="W17" s="3451">
        <f t="shared" si="0"/>
        <v>389</v>
      </c>
    </row>
    <row r="18" spans="1:23">
      <c r="A18" s="3454" t="s">
        <v>3480</v>
      </c>
      <c r="B18" s="3454" t="s">
        <v>3428</v>
      </c>
      <c r="C18" s="3454" t="s">
        <v>3480</v>
      </c>
      <c r="D18" s="3454" t="s">
        <v>3430</v>
      </c>
      <c r="E18" s="3454">
        <v>42721.599999999999</v>
      </c>
      <c r="F18" s="3454">
        <v>128164.8</v>
      </c>
      <c r="G18" s="3454" t="s">
        <v>3431</v>
      </c>
      <c r="H18" s="3454" t="s">
        <v>3432</v>
      </c>
      <c r="I18" s="3454" t="s">
        <v>3430</v>
      </c>
      <c r="J18" s="3454" t="s">
        <v>3433</v>
      </c>
      <c r="K18" s="3452">
        <v>44965.000497685185</v>
      </c>
      <c r="L18" s="3452">
        <v>44965.000497685185</v>
      </c>
      <c r="M18" s="3454" t="s">
        <v>3434</v>
      </c>
      <c r="N18" s="3454" t="s">
        <v>3481</v>
      </c>
      <c r="O18" s="3454">
        <v>1537.98</v>
      </c>
      <c r="P18" s="3454">
        <v>310</v>
      </c>
      <c r="Q18" s="3454" t="s">
        <v>3482</v>
      </c>
      <c r="R18" s="3454">
        <v>1537.98</v>
      </c>
      <c r="S18" s="3454">
        <v>24</v>
      </c>
      <c r="T18" s="3454">
        <v>120</v>
      </c>
      <c r="U18" s="3454">
        <v>0</v>
      </c>
      <c r="V18" s="3454" t="s">
        <v>3437</v>
      </c>
      <c r="W18" s="3454">
        <f t="shared" si="0"/>
        <v>146</v>
      </c>
    </row>
    <row r="19" spans="1:23">
      <c r="A19" s="3454" t="s">
        <v>3483</v>
      </c>
      <c r="B19" s="3454" t="s">
        <v>3428</v>
      </c>
      <c r="C19" s="3454" t="s">
        <v>3483</v>
      </c>
      <c r="D19" s="3454" t="s">
        <v>3430</v>
      </c>
      <c r="E19" s="3454">
        <v>38674.6</v>
      </c>
      <c r="F19" s="3454">
        <v>38674.6</v>
      </c>
      <c r="G19" s="3454" t="s">
        <v>3484</v>
      </c>
      <c r="H19" s="3454" t="s">
        <v>3432</v>
      </c>
      <c r="I19" s="3454" t="s">
        <v>3430</v>
      </c>
      <c r="J19" s="3454" t="s">
        <v>3433</v>
      </c>
      <c r="K19" s="3452">
        <v>44965.000497685185</v>
      </c>
      <c r="L19" s="3452">
        <v>44965.000497685185</v>
      </c>
      <c r="M19" s="3454" t="s">
        <v>3434</v>
      </c>
      <c r="N19" s="3454" t="s">
        <v>3485</v>
      </c>
      <c r="O19" s="3454">
        <v>1392.29</v>
      </c>
      <c r="P19" s="3454">
        <v>280</v>
      </c>
      <c r="Q19" s="3454" t="s">
        <v>3482</v>
      </c>
      <c r="R19" s="3454">
        <v>1392.29</v>
      </c>
      <c r="S19" s="3454">
        <v>24</v>
      </c>
      <c r="T19" s="3454">
        <v>360</v>
      </c>
      <c r="U19" s="3454">
        <v>0</v>
      </c>
      <c r="V19" s="3454" t="s">
        <v>3437</v>
      </c>
      <c r="W19" s="3454">
        <f t="shared" si="0"/>
        <v>437</v>
      </c>
    </row>
    <row r="20" spans="1:23">
      <c r="A20" s="3454" t="s">
        <v>3486</v>
      </c>
      <c r="B20" s="3454" t="s">
        <v>3428</v>
      </c>
      <c r="C20" s="3454" t="s">
        <v>3486</v>
      </c>
      <c r="D20" s="3454" t="s">
        <v>3430</v>
      </c>
      <c r="E20" s="3454">
        <v>64950</v>
      </c>
      <c r="F20" s="3454">
        <v>194850</v>
      </c>
      <c r="G20" s="3454" t="s">
        <v>3431</v>
      </c>
      <c r="H20" s="3454" t="s">
        <v>3432</v>
      </c>
      <c r="I20" s="3454" t="s">
        <v>3430</v>
      </c>
      <c r="J20" s="3454" t="s">
        <v>3433</v>
      </c>
      <c r="K20" s="3452">
        <v>44965.000497685185</v>
      </c>
      <c r="L20" s="3452">
        <v>44965.000497685185</v>
      </c>
      <c r="M20" s="3454" t="s">
        <v>3434</v>
      </c>
      <c r="N20" s="3454" t="s">
        <v>3487</v>
      </c>
      <c r="O20" s="3454">
        <v>3117.6</v>
      </c>
      <c r="P20" s="3454">
        <v>630</v>
      </c>
      <c r="Q20" s="3454" t="s">
        <v>3482</v>
      </c>
      <c r="R20" s="3454">
        <v>3117.6</v>
      </c>
      <c r="S20" s="3454">
        <v>32</v>
      </c>
      <c r="T20" s="3454">
        <v>160</v>
      </c>
      <c r="U20" s="3454">
        <v>0</v>
      </c>
      <c r="V20" s="3454" t="s">
        <v>3488</v>
      </c>
      <c r="W20" s="3454">
        <f t="shared" si="0"/>
        <v>194</v>
      </c>
    </row>
    <row r="21" spans="1:23">
      <c r="A21" s="3454" t="s">
        <v>3489</v>
      </c>
      <c r="B21" s="3454" t="s">
        <v>3428</v>
      </c>
      <c r="C21" s="3454" t="s">
        <v>3489</v>
      </c>
      <c r="D21" s="3454" t="s">
        <v>3430</v>
      </c>
      <c r="E21" s="3454">
        <v>33193.800000000003</v>
      </c>
      <c r="F21" s="3454">
        <v>99581.4</v>
      </c>
      <c r="G21" s="3454" t="s">
        <v>3431</v>
      </c>
      <c r="H21" s="3454" t="s">
        <v>3432</v>
      </c>
      <c r="I21" s="3454" t="s">
        <v>3430</v>
      </c>
      <c r="J21" s="3454" t="s">
        <v>3433</v>
      </c>
      <c r="K21" s="3452">
        <v>44965.000497685185</v>
      </c>
      <c r="L21" s="3452">
        <v>44965.000497685185</v>
      </c>
      <c r="M21" s="3454" t="s">
        <v>3434</v>
      </c>
      <c r="N21" s="3454" t="s">
        <v>3490</v>
      </c>
      <c r="O21" s="3454">
        <v>1194.98</v>
      </c>
      <c r="P21" s="3454">
        <v>240</v>
      </c>
      <c r="Q21" s="3454" t="s">
        <v>3482</v>
      </c>
      <c r="R21" s="3454">
        <v>1194.98</v>
      </c>
      <c r="S21" s="3454">
        <v>24</v>
      </c>
      <c r="T21" s="3454">
        <v>120</v>
      </c>
      <c r="U21" s="3454">
        <v>0</v>
      </c>
      <c r="V21" s="3454" t="s">
        <v>3437</v>
      </c>
      <c r="W21" s="3454">
        <f t="shared" si="0"/>
        <v>146</v>
      </c>
    </row>
    <row r="22" spans="1:23">
      <c r="A22" s="3454" t="s">
        <v>3491</v>
      </c>
      <c r="B22" s="3454" t="s">
        <v>3428</v>
      </c>
      <c r="C22" s="3454" t="s">
        <v>3491</v>
      </c>
      <c r="D22" s="3454" t="s">
        <v>3430</v>
      </c>
      <c r="E22" s="3454">
        <v>66341.2</v>
      </c>
      <c r="F22" s="3454">
        <v>265364.8</v>
      </c>
      <c r="G22" s="3454" t="s">
        <v>3492</v>
      </c>
      <c r="H22" s="3454" t="s">
        <v>3432</v>
      </c>
      <c r="I22" s="3454" t="s">
        <v>3430</v>
      </c>
      <c r="J22" s="3454" t="s">
        <v>3433</v>
      </c>
      <c r="K22" s="3452">
        <v>44965.000497685185</v>
      </c>
      <c r="L22" s="3452">
        <v>44965.000497685185</v>
      </c>
      <c r="M22" s="3454" t="s">
        <v>3434</v>
      </c>
      <c r="N22" s="3454" t="s">
        <v>3493</v>
      </c>
      <c r="O22" s="3454">
        <v>2388.2800000000002</v>
      </c>
      <c r="P22" s="3454">
        <v>480</v>
      </c>
      <c r="Q22" s="3454" t="s">
        <v>3482</v>
      </c>
      <c r="R22" s="3454">
        <v>2388.2800000000002</v>
      </c>
      <c r="S22" s="3454">
        <v>24</v>
      </c>
      <c r="T22" s="3454">
        <v>90</v>
      </c>
      <c r="U22" s="3454">
        <v>0</v>
      </c>
      <c r="V22" s="3454" t="s">
        <v>3437</v>
      </c>
      <c r="W22" s="3454">
        <f t="shared" si="0"/>
        <v>109</v>
      </c>
    </row>
    <row r="23" spans="1:23">
      <c r="A23" s="3454" t="s">
        <v>3494</v>
      </c>
      <c r="B23" s="3454" t="s">
        <v>3428</v>
      </c>
      <c r="C23" s="3454" t="s">
        <v>3494</v>
      </c>
      <c r="D23" s="3454" t="s">
        <v>3430</v>
      </c>
      <c r="E23" s="3454">
        <v>23333.3</v>
      </c>
      <c r="F23" s="3454">
        <v>69999.899999999994</v>
      </c>
      <c r="G23" s="3454" t="s">
        <v>3431</v>
      </c>
      <c r="H23" s="3454" t="s">
        <v>3432</v>
      </c>
      <c r="I23" s="3454" t="s">
        <v>3430</v>
      </c>
      <c r="J23" s="3454" t="s">
        <v>3433</v>
      </c>
      <c r="K23" s="3452">
        <v>44965.000497685185</v>
      </c>
      <c r="L23" s="3452">
        <v>44965.000497685185</v>
      </c>
      <c r="M23" s="3454" t="s">
        <v>3434</v>
      </c>
      <c r="N23" s="3454" t="s">
        <v>3495</v>
      </c>
      <c r="O23" s="3454">
        <v>840</v>
      </c>
      <c r="P23" s="3454">
        <v>170</v>
      </c>
      <c r="Q23" s="3454" t="s">
        <v>3482</v>
      </c>
      <c r="R23" s="3454">
        <v>840</v>
      </c>
      <c r="S23" s="3454">
        <v>24</v>
      </c>
      <c r="T23" s="3454">
        <v>120</v>
      </c>
      <c r="U23" s="3454">
        <v>0</v>
      </c>
      <c r="V23" s="3454" t="s">
        <v>3437</v>
      </c>
      <c r="W23" s="3454">
        <f t="shared" si="0"/>
        <v>146</v>
      </c>
    </row>
    <row r="24" spans="1:23">
      <c r="A24" s="3454" t="s">
        <v>3496</v>
      </c>
      <c r="B24" s="3454" t="s">
        <v>3428</v>
      </c>
      <c r="C24" s="3454" t="s">
        <v>3496</v>
      </c>
      <c r="D24" s="3454" t="s">
        <v>3430</v>
      </c>
      <c r="E24" s="3454">
        <v>15155.8</v>
      </c>
      <c r="F24" s="3454">
        <v>45467.4</v>
      </c>
      <c r="G24" s="3454" t="s">
        <v>3431</v>
      </c>
      <c r="H24" s="3454" t="s">
        <v>3432</v>
      </c>
      <c r="I24" s="3454" t="s">
        <v>3430</v>
      </c>
      <c r="J24" s="3454" t="s">
        <v>3433</v>
      </c>
      <c r="K24" s="3452">
        <v>44910.000497685185</v>
      </c>
      <c r="L24" s="3452">
        <v>44910.000497685185</v>
      </c>
      <c r="M24" s="3454" t="s">
        <v>3434</v>
      </c>
      <c r="N24" s="3454" t="s">
        <v>3497</v>
      </c>
      <c r="O24" s="3454">
        <v>727.48</v>
      </c>
      <c r="P24" s="3454">
        <v>150</v>
      </c>
      <c r="Q24" s="3454" t="s">
        <v>3498</v>
      </c>
      <c r="R24" s="3454">
        <v>727.48</v>
      </c>
      <c r="S24" s="3454">
        <v>32</v>
      </c>
      <c r="T24" s="3454">
        <v>160</v>
      </c>
      <c r="U24" s="3454">
        <v>0</v>
      </c>
      <c r="V24" s="3454" t="s">
        <v>3488</v>
      </c>
      <c r="W24" s="3454">
        <f t="shared" si="0"/>
        <v>194</v>
      </c>
    </row>
    <row r="25" spans="1:23">
      <c r="A25" s="3454" t="s">
        <v>3499</v>
      </c>
      <c r="B25" s="3454" t="s">
        <v>3428</v>
      </c>
      <c r="C25" s="3454" t="s">
        <v>3499</v>
      </c>
      <c r="D25" s="3454" t="s">
        <v>3430</v>
      </c>
      <c r="E25" s="3454">
        <v>16659.900000000001</v>
      </c>
      <c r="F25" s="3454">
        <v>49979.7</v>
      </c>
      <c r="G25" s="3454" t="s">
        <v>3431</v>
      </c>
      <c r="H25" s="3454" t="s">
        <v>3432</v>
      </c>
      <c r="I25" s="3454" t="s">
        <v>3430</v>
      </c>
      <c r="J25" s="3454" t="s">
        <v>3433</v>
      </c>
      <c r="K25" s="3452">
        <v>44910.000497685185</v>
      </c>
      <c r="L25" s="3452">
        <v>44910.000497685185</v>
      </c>
      <c r="M25" s="3454" t="s">
        <v>3434</v>
      </c>
      <c r="N25" s="3454" t="s">
        <v>3500</v>
      </c>
      <c r="O25" s="3454">
        <v>599.76</v>
      </c>
      <c r="P25" s="3454">
        <v>120</v>
      </c>
      <c r="Q25" s="3454" t="s">
        <v>3498</v>
      </c>
      <c r="R25" s="3454">
        <v>599.76</v>
      </c>
      <c r="S25" s="3454">
        <v>24</v>
      </c>
      <c r="T25" s="3454">
        <v>120</v>
      </c>
      <c r="U25" s="3454">
        <v>0</v>
      </c>
      <c r="V25" s="3454" t="s">
        <v>3437</v>
      </c>
      <c r="W25" s="3454">
        <f t="shared" si="0"/>
        <v>146</v>
      </c>
    </row>
    <row r="26" spans="1:23">
      <c r="A26" s="3454" t="s">
        <v>3501</v>
      </c>
      <c r="B26" s="3454" t="s">
        <v>3428</v>
      </c>
      <c r="C26" s="3454" t="s">
        <v>3501</v>
      </c>
      <c r="D26" s="3454" t="s">
        <v>3430</v>
      </c>
      <c r="E26" s="3454">
        <v>33340.800000000003</v>
      </c>
      <c r="F26" s="3454">
        <v>83352</v>
      </c>
      <c r="G26" s="3454" t="s">
        <v>3502</v>
      </c>
      <c r="H26" s="3454" t="s">
        <v>3432</v>
      </c>
      <c r="I26" s="3454" t="s">
        <v>3430</v>
      </c>
      <c r="J26" s="3454" t="s">
        <v>3433</v>
      </c>
      <c r="K26" s="3452">
        <v>44910.000497685185</v>
      </c>
      <c r="L26" s="3452">
        <v>44910.000497685185</v>
      </c>
      <c r="M26" s="3454" t="s">
        <v>3434</v>
      </c>
      <c r="N26" s="3454" t="s">
        <v>3503</v>
      </c>
      <c r="O26" s="3454">
        <v>3047.35</v>
      </c>
      <c r="P26" s="3454">
        <v>3047.35</v>
      </c>
      <c r="Q26" s="3454" t="s">
        <v>3498</v>
      </c>
      <c r="R26" s="3454">
        <v>3047.35</v>
      </c>
      <c r="S26" s="3454">
        <v>60.93</v>
      </c>
      <c r="T26" s="3454">
        <v>366</v>
      </c>
      <c r="U26" s="3454">
        <v>0</v>
      </c>
      <c r="V26" s="3454" t="s">
        <v>3437</v>
      </c>
      <c r="W26" s="3454">
        <f t="shared" si="0"/>
        <v>444</v>
      </c>
    </row>
    <row r="27" spans="1:23">
      <c r="A27" s="3454" t="s">
        <v>3504</v>
      </c>
      <c r="B27" s="3454" t="s">
        <v>3428</v>
      </c>
      <c r="C27" s="3454" t="s">
        <v>3504</v>
      </c>
      <c r="D27" s="3454" t="s">
        <v>3430</v>
      </c>
      <c r="E27" s="3454">
        <v>13144.1</v>
      </c>
      <c r="F27" s="3454">
        <v>48633.17</v>
      </c>
      <c r="G27" s="3454" t="s">
        <v>3505</v>
      </c>
      <c r="H27" s="3454" t="s">
        <v>3432</v>
      </c>
      <c r="I27" s="3454" t="s">
        <v>3430</v>
      </c>
      <c r="J27" s="3454" t="s">
        <v>3433</v>
      </c>
      <c r="K27" s="3452">
        <v>44910.000497685185</v>
      </c>
      <c r="L27" s="3452">
        <v>44910.000497685185</v>
      </c>
      <c r="M27" s="3454" t="s">
        <v>3434</v>
      </c>
      <c r="N27" s="3454" t="s">
        <v>3506</v>
      </c>
      <c r="O27" s="3454">
        <v>473.19</v>
      </c>
      <c r="P27" s="3454">
        <v>100</v>
      </c>
      <c r="Q27" s="3454" t="s">
        <v>3498</v>
      </c>
      <c r="R27" s="3454">
        <v>473.19</v>
      </c>
      <c r="S27" s="3454">
        <v>24</v>
      </c>
      <c r="T27" s="3454">
        <v>97</v>
      </c>
      <c r="U27" s="3454">
        <v>0</v>
      </c>
      <c r="V27" s="3454" t="s">
        <v>3437</v>
      </c>
      <c r="W27" s="3454">
        <f t="shared" si="0"/>
        <v>118</v>
      </c>
    </row>
    <row r="28" spans="1:23" s="3449" customFormat="1">
      <c r="A28" s="3449" t="s">
        <v>3507</v>
      </c>
      <c r="B28" s="3449" t="s">
        <v>3428</v>
      </c>
      <c r="C28" s="3449" t="s">
        <v>3508</v>
      </c>
      <c r="D28" s="3449" t="s">
        <v>3430</v>
      </c>
      <c r="E28" s="3449">
        <v>24000</v>
      </c>
      <c r="F28" s="3449">
        <v>72000</v>
      </c>
      <c r="G28" s="3449" t="s">
        <v>3431</v>
      </c>
      <c r="H28" s="3449" t="s">
        <v>3432</v>
      </c>
      <c r="I28" s="3449" t="s">
        <v>3430</v>
      </c>
      <c r="J28" s="3449" t="s">
        <v>3433</v>
      </c>
      <c r="K28" s="3448">
        <v>44910.000497685185</v>
      </c>
      <c r="L28" s="3448">
        <v>44910.000497685185</v>
      </c>
      <c r="M28" s="3449" t="s">
        <v>3434</v>
      </c>
      <c r="N28" s="3449" t="s">
        <v>3509</v>
      </c>
      <c r="O28" s="3449">
        <v>864</v>
      </c>
      <c r="P28" s="3449">
        <v>180</v>
      </c>
      <c r="Q28" s="3449" t="s">
        <v>3498</v>
      </c>
      <c r="R28" s="3449">
        <v>864</v>
      </c>
      <c r="S28" s="3449">
        <v>24</v>
      </c>
      <c r="T28" s="3449">
        <v>120</v>
      </c>
      <c r="U28" s="3449">
        <v>0</v>
      </c>
      <c r="V28" s="3449" t="s">
        <v>3437</v>
      </c>
      <c r="W28" s="3449">
        <f t="shared" si="0"/>
        <v>146</v>
      </c>
    </row>
    <row r="29" spans="1:23">
      <c r="A29" s="3454" t="s">
        <v>3510</v>
      </c>
      <c r="B29" s="3454" t="s">
        <v>3428</v>
      </c>
      <c r="C29" s="3454" t="s">
        <v>3510</v>
      </c>
      <c r="D29" s="3454" t="s">
        <v>3430</v>
      </c>
      <c r="E29" s="3454">
        <v>42340.4</v>
      </c>
      <c r="F29" s="3454">
        <v>127021.2</v>
      </c>
      <c r="G29" s="3454" t="s">
        <v>3431</v>
      </c>
      <c r="H29" s="3454" t="s">
        <v>3432</v>
      </c>
      <c r="I29" s="3454" t="s">
        <v>3430</v>
      </c>
      <c r="J29" s="3454" t="s">
        <v>3433</v>
      </c>
      <c r="K29" s="3452">
        <v>44910.000497685185</v>
      </c>
      <c r="L29" s="3452">
        <v>44910.000497685185</v>
      </c>
      <c r="M29" s="3454" t="s">
        <v>3434</v>
      </c>
      <c r="N29" s="3454" t="s">
        <v>3511</v>
      </c>
      <c r="O29" s="3454">
        <v>1524.25</v>
      </c>
      <c r="P29" s="3454">
        <v>310</v>
      </c>
      <c r="Q29" s="3454" t="s">
        <v>3498</v>
      </c>
      <c r="R29" s="3454">
        <v>1524.25</v>
      </c>
      <c r="S29" s="3454">
        <v>24</v>
      </c>
      <c r="T29" s="3454">
        <v>120</v>
      </c>
      <c r="U29" s="3454">
        <v>0</v>
      </c>
      <c r="V29" s="3454" t="s">
        <v>3437</v>
      </c>
      <c r="W29" s="3454">
        <f t="shared" si="0"/>
        <v>146</v>
      </c>
    </row>
    <row r="30" spans="1:23">
      <c r="A30" s="3454" t="s">
        <v>3512</v>
      </c>
      <c r="B30" s="3454" t="s">
        <v>3428</v>
      </c>
      <c r="C30" s="3454" t="s">
        <v>3512</v>
      </c>
      <c r="D30" s="3454" t="s">
        <v>3430</v>
      </c>
      <c r="E30" s="3454">
        <v>30038</v>
      </c>
      <c r="F30" s="3454">
        <v>90114</v>
      </c>
      <c r="G30" s="3454" t="s">
        <v>3431</v>
      </c>
      <c r="H30" s="3454" t="s">
        <v>3432</v>
      </c>
      <c r="I30" s="3454" t="s">
        <v>3430</v>
      </c>
      <c r="J30" s="3454" t="s">
        <v>3433</v>
      </c>
      <c r="K30" s="3452">
        <v>44854.000497685185</v>
      </c>
      <c r="L30" s="3452">
        <v>44854.000497685185</v>
      </c>
      <c r="M30" s="3454" t="s">
        <v>3434</v>
      </c>
      <c r="N30" s="3454" t="s">
        <v>3513</v>
      </c>
      <c r="O30" s="3454">
        <v>1081.3699999999999</v>
      </c>
      <c r="P30" s="3454">
        <v>220</v>
      </c>
      <c r="Q30" s="3454" t="s">
        <v>3514</v>
      </c>
      <c r="R30" s="3454">
        <v>1081.3699999999999</v>
      </c>
      <c r="S30" s="3454">
        <v>24</v>
      </c>
      <c r="T30" s="3454">
        <v>120</v>
      </c>
      <c r="U30" s="3454">
        <v>0</v>
      </c>
      <c r="V30" s="3454" t="s">
        <v>3437</v>
      </c>
      <c r="W30" s="3454">
        <f t="shared" si="0"/>
        <v>146</v>
      </c>
    </row>
    <row r="31" spans="1:23">
      <c r="A31" s="3454" t="s">
        <v>3515</v>
      </c>
      <c r="B31" s="3454" t="s">
        <v>3428</v>
      </c>
      <c r="C31" s="3454" t="s">
        <v>3515</v>
      </c>
      <c r="D31" s="3454" t="s">
        <v>3430</v>
      </c>
      <c r="E31" s="3454">
        <v>46333.5</v>
      </c>
      <c r="F31" s="3454">
        <v>125100.45</v>
      </c>
      <c r="G31" s="3454" t="s">
        <v>3516</v>
      </c>
      <c r="H31" s="3454" t="s">
        <v>3432</v>
      </c>
      <c r="I31" s="3454" t="s">
        <v>3430</v>
      </c>
      <c r="J31" s="3454" t="s">
        <v>3433</v>
      </c>
      <c r="K31" s="3452">
        <v>44804.000497685185</v>
      </c>
      <c r="L31" s="3452">
        <v>44804.000497685185</v>
      </c>
      <c r="M31" s="3454" t="s">
        <v>3434</v>
      </c>
      <c r="N31" s="3454" t="s">
        <v>3517</v>
      </c>
      <c r="O31" s="3454">
        <v>1647.01</v>
      </c>
      <c r="P31" s="3454">
        <v>330</v>
      </c>
      <c r="Q31" s="3454" t="s">
        <v>3518</v>
      </c>
      <c r="R31" s="3454">
        <v>1647.01</v>
      </c>
      <c r="S31" s="3454">
        <v>23.7</v>
      </c>
      <c r="T31" s="3454">
        <v>132</v>
      </c>
      <c r="U31" s="3454">
        <v>0</v>
      </c>
      <c r="V31" s="3454" t="s">
        <v>3437</v>
      </c>
      <c r="W31" s="3454">
        <f t="shared" si="0"/>
        <v>160</v>
      </c>
    </row>
    <row r="32" spans="1:23">
      <c r="A32" s="3454" t="s">
        <v>3519</v>
      </c>
      <c r="B32" s="3454" t="s">
        <v>3428</v>
      </c>
      <c r="C32" s="3454" t="s">
        <v>3519</v>
      </c>
      <c r="D32" s="3454" t="s">
        <v>3430</v>
      </c>
      <c r="E32" s="3454">
        <v>20234.099999999999</v>
      </c>
      <c r="F32" s="3454">
        <v>60702.3</v>
      </c>
      <c r="G32" s="3454" t="s">
        <v>3431</v>
      </c>
      <c r="H32" s="3454" t="s">
        <v>3432</v>
      </c>
      <c r="I32" s="3454" t="s">
        <v>3430</v>
      </c>
      <c r="J32" s="3454" t="s">
        <v>3433</v>
      </c>
      <c r="K32" s="3452">
        <v>44804.000497685185</v>
      </c>
      <c r="L32" s="3452">
        <v>44804.000497685185</v>
      </c>
      <c r="M32" s="3454" t="s">
        <v>3434</v>
      </c>
      <c r="N32" s="3454" t="s">
        <v>3520</v>
      </c>
      <c r="O32" s="3454">
        <v>728.43</v>
      </c>
      <c r="P32" s="3454">
        <v>150</v>
      </c>
      <c r="Q32" s="3454" t="s">
        <v>3518</v>
      </c>
      <c r="R32" s="3454">
        <v>728.43</v>
      </c>
      <c r="S32" s="3454">
        <v>24</v>
      </c>
      <c r="T32" s="3454">
        <v>120</v>
      </c>
      <c r="U32" s="3454">
        <v>0</v>
      </c>
      <c r="V32" s="3454" t="s">
        <v>3437</v>
      </c>
      <c r="W32" s="3454">
        <f t="shared" si="0"/>
        <v>146</v>
      </c>
    </row>
    <row r="33" spans="1:23">
      <c r="A33" s="3454" t="s">
        <v>3521</v>
      </c>
      <c r="B33" s="3454" t="s">
        <v>3428</v>
      </c>
      <c r="C33" s="3454" t="s">
        <v>3521</v>
      </c>
      <c r="D33" s="3454" t="s">
        <v>3430</v>
      </c>
      <c r="E33" s="3454">
        <v>22606.9</v>
      </c>
      <c r="F33" s="3454">
        <v>67820.7</v>
      </c>
      <c r="G33" s="3454" t="s">
        <v>3431</v>
      </c>
      <c r="H33" s="3454" t="s">
        <v>3432</v>
      </c>
      <c r="I33" s="3454" t="s">
        <v>3430</v>
      </c>
      <c r="J33" s="3454" t="s">
        <v>3433</v>
      </c>
      <c r="K33" s="3452">
        <v>44804.000497685185</v>
      </c>
      <c r="L33" s="3452">
        <v>44804.000497685185</v>
      </c>
      <c r="M33" s="3454" t="s">
        <v>3434</v>
      </c>
      <c r="N33" s="3454" t="s">
        <v>3522</v>
      </c>
      <c r="O33" s="3454">
        <v>813.85</v>
      </c>
      <c r="P33" s="3454">
        <v>170</v>
      </c>
      <c r="Q33" s="3454" t="s">
        <v>3518</v>
      </c>
      <c r="R33" s="3454">
        <v>813.85</v>
      </c>
      <c r="S33" s="3454">
        <v>24</v>
      </c>
      <c r="T33" s="3454">
        <v>120</v>
      </c>
      <c r="U33" s="3454">
        <v>0</v>
      </c>
      <c r="V33" s="3454" t="s">
        <v>3437</v>
      </c>
      <c r="W33" s="3454">
        <f t="shared" si="0"/>
        <v>146</v>
      </c>
    </row>
    <row r="34" spans="1:23">
      <c r="A34" s="3454" t="s">
        <v>3523</v>
      </c>
      <c r="B34" s="3454" t="s">
        <v>3428</v>
      </c>
      <c r="C34" s="3454" t="s">
        <v>3523</v>
      </c>
      <c r="D34" s="3454" t="s">
        <v>3430</v>
      </c>
      <c r="E34" s="3454">
        <v>49778.8</v>
      </c>
      <c r="F34" s="3454">
        <v>99557.6</v>
      </c>
      <c r="G34" s="3454" t="s">
        <v>3524</v>
      </c>
      <c r="H34" s="3454" t="s">
        <v>3432</v>
      </c>
      <c r="I34" s="3454" t="s">
        <v>3430</v>
      </c>
      <c r="J34" s="3454" t="s">
        <v>3433</v>
      </c>
      <c r="K34" s="3452">
        <v>44770.000497685185</v>
      </c>
      <c r="L34" s="3452">
        <v>44770.000497685185</v>
      </c>
      <c r="M34" s="3454" t="s">
        <v>3434</v>
      </c>
      <c r="N34" s="3454" t="s">
        <v>3525</v>
      </c>
      <c r="O34" s="3454">
        <v>2389.38</v>
      </c>
      <c r="P34" s="3454">
        <v>480</v>
      </c>
      <c r="Q34" s="3454" t="s">
        <v>3526</v>
      </c>
      <c r="R34" s="3454">
        <v>2389.38</v>
      </c>
      <c r="S34" s="3454">
        <v>32</v>
      </c>
      <c r="T34" s="3454">
        <v>240</v>
      </c>
      <c r="U34" s="3454">
        <v>0</v>
      </c>
      <c r="V34" s="3454" t="s">
        <v>3488</v>
      </c>
      <c r="W34" s="3454">
        <f t="shared" si="0"/>
        <v>291</v>
      </c>
    </row>
    <row r="35" spans="1:23">
      <c r="A35" s="3454" t="s">
        <v>3527</v>
      </c>
      <c r="B35" s="3454" t="s">
        <v>3428</v>
      </c>
      <c r="C35" s="3454" t="s">
        <v>3527</v>
      </c>
      <c r="D35" s="3454" t="s">
        <v>3430</v>
      </c>
      <c r="E35" s="3454">
        <v>81585.899999999994</v>
      </c>
      <c r="F35" s="3454">
        <v>244757.7</v>
      </c>
      <c r="G35" s="3454" t="s">
        <v>3431</v>
      </c>
      <c r="H35" s="3454" t="s">
        <v>3432</v>
      </c>
      <c r="I35" s="3454" t="s">
        <v>3430</v>
      </c>
      <c r="J35" s="3454" t="s">
        <v>3433</v>
      </c>
      <c r="K35" s="3452">
        <v>44770.000497685185</v>
      </c>
      <c r="L35" s="3452">
        <v>44770.000497685185</v>
      </c>
      <c r="M35" s="3454" t="s">
        <v>3434</v>
      </c>
      <c r="N35" s="3454" t="s">
        <v>3528</v>
      </c>
      <c r="O35" s="3454">
        <v>2937.09</v>
      </c>
      <c r="P35" s="3454">
        <v>590</v>
      </c>
      <c r="Q35" s="3454" t="s">
        <v>3526</v>
      </c>
      <c r="R35" s="3454">
        <v>2937.09</v>
      </c>
      <c r="S35" s="3454">
        <v>24</v>
      </c>
      <c r="T35" s="3454">
        <v>120</v>
      </c>
      <c r="U35" s="3454">
        <v>0</v>
      </c>
      <c r="V35" s="3454" t="s">
        <v>3437</v>
      </c>
      <c r="W35" s="3454">
        <f t="shared" si="0"/>
        <v>146</v>
      </c>
    </row>
    <row r="36" spans="1:23">
      <c r="A36" s="3454" t="s">
        <v>3529</v>
      </c>
      <c r="B36" s="3454" t="s">
        <v>3428</v>
      </c>
      <c r="C36" s="3454" t="s">
        <v>3529</v>
      </c>
      <c r="D36" s="3454" t="s">
        <v>3430</v>
      </c>
      <c r="E36" s="3454">
        <v>13236.1</v>
      </c>
      <c r="F36" s="3454">
        <v>39708.300000000003</v>
      </c>
      <c r="G36" s="3454" t="s">
        <v>3431</v>
      </c>
      <c r="H36" s="3454" t="s">
        <v>3432</v>
      </c>
      <c r="I36" s="3454" t="s">
        <v>3430</v>
      </c>
      <c r="J36" s="3454" t="s">
        <v>3433</v>
      </c>
      <c r="K36" s="3452">
        <v>44770.000497685185</v>
      </c>
      <c r="L36" s="3452">
        <v>44770.000497685185</v>
      </c>
      <c r="M36" s="3454" t="s">
        <v>3434</v>
      </c>
      <c r="N36" s="3454" t="s">
        <v>3530</v>
      </c>
      <c r="O36" s="3454">
        <v>476.5</v>
      </c>
      <c r="P36" s="3454">
        <v>100</v>
      </c>
      <c r="Q36" s="3454" t="s">
        <v>3526</v>
      </c>
      <c r="R36" s="3454">
        <v>476.5</v>
      </c>
      <c r="S36" s="3454">
        <v>24</v>
      </c>
      <c r="T36" s="3454">
        <v>120</v>
      </c>
      <c r="U36" s="3454">
        <v>0</v>
      </c>
      <c r="V36" s="3454" t="s">
        <v>3437</v>
      </c>
      <c r="W36" s="3454">
        <f t="shared" si="0"/>
        <v>146</v>
      </c>
    </row>
    <row r="37" spans="1:23">
      <c r="A37" s="3454" t="s">
        <v>3531</v>
      </c>
      <c r="B37" s="3454" t="s">
        <v>3428</v>
      </c>
      <c r="C37" s="3454" t="s">
        <v>3531</v>
      </c>
      <c r="D37" s="3454" t="s">
        <v>3430</v>
      </c>
      <c r="E37" s="3454">
        <v>20830.099999999999</v>
      </c>
      <c r="F37" s="3454">
        <v>62490.3</v>
      </c>
      <c r="G37" s="3454" t="s">
        <v>3532</v>
      </c>
      <c r="H37" s="3454" t="s">
        <v>3432</v>
      </c>
      <c r="I37" s="3454" t="s">
        <v>3430</v>
      </c>
      <c r="J37" s="3454" t="s">
        <v>3433</v>
      </c>
      <c r="K37" s="3452">
        <v>44770.000497685185</v>
      </c>
      <c r="L37" s="3452">
        <v>44770.000497685185</v>
      </c>
      <c r="M37" s="3454" t="s">
        <v>3434</v>
      </c>
      <c r="N37" s="3454" t="s">
        <v>3533</v>
      </c>
      <c r="O37" s="3454">
        <v>749.88</v>
      </c>
      <c r="P37" s="3454">
        <v>150</v>
      </c>
      <c r="Q37" s="3454" t="s">
        <v>3526</v>
      </c>
      <c r="R37" s="3454">
        <v>749.88</v>
      </c>
      <c r="S37" s="3454">
        <v>24</v>
      </c>
      <c r="T37" s="3454">
        <v>120</v>
      </c>
      <c r="U37" s="3454">
        <v>0</v>
      </c>
      <c r="V37" s="3454" t="s">
        <v>3437</v>
      </c>
      <c r="W37" s="3454">
        <f t="shared" si="0"/>
        <v>146</v>
      </c>
    </row>
    <row r="38" spans="1:23">
      <c r="A38" s="3454" t="s">
        <v>3534</v>
      </c>
      <c r="B38" s="3454" t="s">
        <v>3428</v>
      </c>
      <c r="C38" s="3454" t="s">
        <v>3534</v>
      </c>
      <c r="D38" s="3454" t="s">
        <v>3430</v>
      </c>
      <c r="E38" s="3454">
        <v>15138.8</v>
      </c>
      <c r="F38" s="3454">
        <v>45416.4</v>
      </c>
      <c r="G38" s="3454" t="s">
        <v>3431</v>
      </c>
      <c r="H38" s="3454" t="s">
        <v>3432</v>
      </c>
      <c r="I38" s="3454" t="s">
        <v>3430</v>
      </c>
      <c r="J38" s="3454" t="s">
        <v>3433</v>
      </c>
      <c r="K38" s="3452">
        <v>44770.000497685185</v>
      </c>
      <c r="L38" s="3452">
        <v>44770.000497685185</v>
      </c>
      <c r="M38" s="3454" t="s">
        <v>3434</v>
      </c>
      <c r="N38" s="3454" t="s">
        <v>3535</v>
      </c>
      <c r="O38" s="3454">
        <v>545</v>
      </c>
      <c r="P38" s="3454">
        <v>110</v>
      </c>
      <c r="Q38" s="3454" t="s">
        <v>3526</v>
      </c>
      <c r="R38" s="3454">
        <v>545</v>
      </c>
      <c r="S38" s="3454">
        <v>24</v>
      </c>
      <c r="T38" s="3454">
        <v>120</v>
      </c>
      <c r="U38" s="3454">
        <v>0</v>
      </c>
      <c r="V38" s="3454" t="s">
        <v>3437</v>
      </c>
      <c r="W38" s="3454">
        <f t="shared" si="0"/>
        <v>146</v>
      </c>
    </row>
    <row r="39" spans="1:23">
      <c r="A39" s="3454" t="s">
        <v>3536</v>
      </c>
      <c r="B39" s="3454" t="s">
        <v>3428</v>
      </c>
      <c r="C39" s="3454" t="s">
        <v>3536</v>
      </c>
      <c r="D39" s="3454" t="s">
        <v>3430</v>
      </c>
      <c r="E39" s="3454">
        <v>16647.099999999999</v>
      </c>
      <c r="F39" s="3454">
        <v>49941.3</v>
      </c>
      <c r="G39" s="3454" t="s">
        <v>3431</v>
      </c>
      <c r="H39" s="3454" t="s">
        <v>3432</v>
      </c>
      <c r="I39" s="3454" t="s">
        <v>3430</v>
      </c>
      <c r="J39" s="3454" t="s">
        <v>3433</v>
      </c>
      <c r="K39" s="3452">
        <v>44721.000497685185</v>
      </c>
      <c r="L39" s="3452">
        <v>44721.000497685185</v>
      </c>
      <c r="M39" s="3454" t="s">
        <v>3434</v>
      </c>
      <c r="N39" s="3454" t="s">
        <v>3537</v>
      </c>
      <c r="O39" s="3454">
        <v>599.29999999999995</v>
      </c>
      <c r="P39" s="3454">
        <v>120</v>
      </c>
      <c r="Q39" s="3454" t="s">
        <v>3538</v>
      </c>
      <c r="R39" s="3454">
        <v>599.29999999999995</v>
      </c>
      <c r="S39" s="3454">
        <v>24</v>
      </c>
      <c r="T39" s="3454">
        <v>120</v>
      </c>
      <c r="U39" s="3454">
        <v>0</v>
      </c>
      <c r="V39" s="3454" t="s">
        <v>3437</v>
      </c>
      <c r="W39" s="3454">
        <f t="shared" si="0"/>
        <v>146</v>
      </c>
    </row>
    <row r="40" spans="1:23">
      <c r="A40" s="3454" t="s">
        <v>3539</v>
      </c>
      <c r="B40" s="3454" t="s">
        <v>3428</v>
      </c>
      <c r="C40" s="3454" t="s">
        <v>3539</v>
      </c>
      <c r="D40" s="3454" t="s">
        <v>3430</v>
      </c>
      <c r="E40" s="3454">
        <v>34360.6</v>
      </c>
      <c r="F40" s="3454">
        <v>120262.1</v>
      </c>
      <c r="G40" s="3454" t="s">
        <v>3440</v>
      </c>
      <c r="H40" s="3454" t="s">
        <v>3432</v>
      </c>
      <c r="I40" s="3454" t="s">
        <v>3430</v>
      </c>
      <c r="J40" s="3454" t="s">
        <v>3433</v>
      </c>
      <c r="K40" s="3452">
        <v>44590.000497685185</v>
      </c>
      <c r="L40" s="3452">
        <v>44590.000497685185</v>
      </c>
      <c r="M40" s="3454" t="s">
        <v>3434</v>
      </c>
      <c r="N40" s="3454" t="s">
        <v>3540</v>
      </c>
      <c r="O40" s="3454">
        <v>865.89</v>
      </c>
      <c r="P40" s="3454">
        <v>180</v>
      </c>
      <c r="Q40" s="3454" t="s">
        <v>3541</v>
      </c>
      <c r="R40" s="3454">
        <v>865.89</v>
      </c>
      <c r="S40" s="3454">
        <v>16.8</v>
      </c>
      <c r="T40" s="3454">
        <v>72</v>
      </c>
      <c r="U40" s="3454">
        <v>0</v>
      </c>
      <c r="V40" s="3454" t="s">
        <v>3437</v>
      </c>
      <c r="W40" s="3454">
        <f t="shared" si="0"/>
        <v>87</v>
      </c>
    </row>
    <row r="41" spans="1:23">
      <c r="A41" s="3454" t="s">
        <v>3542</v>
      </c>
      <c r="B41" s="3454" t="s">
        <v>3428</v>
      </c>
      <c r="C41" s="3454" t="s">
        <v>3542</v>
      </c>
      <c r="D41" s="3454" t="s">
        <v>3430</v>
      </c>
      <c r="E41" s="3454">
        <v>19727.7</v>
      </c>
      <c r="F41" s="3454">
        <v>59183.1</v>
      </c>
      <c r="G41" s="3454" t="s">
        <v>3431</v>
      </c>
      <c r="H41" s="3454" t="s">
        <v>3432</v>
      </c>
      <c r="I41" s="3454" t="s">
        <v>3430</v>
      </c>
      <c r="J41" s="3454" t="s">
        <v>3433</v>
      </c>
      <c r="K41" s="3452">
        <v>44590.000497685185</v>
      </c>
      <c r="L41" s="3452">
        <v>44590.000497685185</v>
      </c>
      <c r="M41" s="3454" t="s">
        <v>3434</v>
      </c>
      <c r="N41" s="3454" t="s">
        <v>3520</v>
      </c>
      <c r="O41" s="3454">
        <v>497.14</v>
      </c>
      <c r="P41" s="3454">
        <v>100</v>
      </c>
      <c r="Q41" s="3454" t="s">
        <v>3541</v>
      </c>
      <c r="R41" s="3454">
        <v>497.14</v>
      </c>
      <c r="S41" s="3454">
        <v>16.8</v>
      </c>
      <c r="T41" s="3454">
        <v>84</v>
      </c>
      <c r="U41" s="3454">
        <v>0</v>
      </c>
      <c r="V41" s="3454" t="s">
        <v>3437</v>
      </c>
      <c r="W41" s="3454">
        <f t="shared" si="0"/>
        <v>102</v>
      </c>
    </row>
    <row r="42" spans="1:23">
      <c r="A42" s="3454" t="s">
        <v>3543</v>
      </c>
      <c r="B42" s="3454" t="s">
        <v>3428</v>
      </c>
      <c r="C42" s="3454" t="s">
        <v>3543</v>
      </c>
      <c r="D42" s="3454" t="s">
        <v>3430</v>
      </c>
      <c r="E42" s="3454">
        <v>33304.9</v>
      </c>
      <c r="F42" s="3454">
        <v>99914.7</v>
      </c>
      <c r="G42" s="3454" t="s">
        <v>3431</v>
      </c>
      <c r="H42" s="3454" t="s">
        <v>3432</v>
      </c>
      <c r="I42" s="3454" t="s">
        <v>3430</v>
      </c>
      <c r="J42" s="3454" t="s">
        <v>3433</v>
      </c>
      <c r="K42" s="3452">
        <v>44590.000497685185</v>
      </c>
      <c r="L42" s="3452">
        <v>44590.000497685185</v>
      </c>
      <c r="M42" s="3454" t="s">
        <v>3434</v>
      </c>
      <c r="N42" s="3454" t="s">
        <v>3544</v>
      </c>
      <c r="O42" s="3454">
        <v>1119.04</v>
      </c>
      <c r="P42" s="3454">
        <v>230</v>
      </c>
      <c r="Q42" s="3454" t="s">
        <v>3541</v>
      </c>
      <c r="R42" s="3454">
        <v>1119.04</v>
      </c>
      <c r="S42" s="3454">
        <v>22.4</v>
      </c>
      <c r="T42" s="3454">
        <v>112</v>
      </c>
      <c r="U42" s="3454">
        <v>0</v>
      </c>
      <c r="V42" s="3454" t="s">
        <v>3488</v>
      </c>
      <c r="W42" s="3454">
        <f t="shared" si="0"/>
        <v>136</v>
      </c>
    </row>
    <row r="43" spans="1:23">
      <c r="A43" s="3454" t="s">
        <v>3545</v>
      </c>
      <c r="B43" s="3454" t="s">
        <v>3428</v>
      </c>
      <c r="C43" s="3454" t="s">
        <v>3545</v>
      </c>
      <c r="D43" s="3454" t="s">
        <v>3430</v>
      </c>
      <c r="E43" s="3454">
        <v>32140.5</v>
      </c>
      <c r="F43" s="3454">
        <v>96421.5</v>
      </c>
      <c r="G43" s="3454" t="s">
        <v>3431</v>
      </c>
      <c r="H43" s="3454" t="s">
        <v>3432</v>
      </c>
      <c r="I43" s="3454" t="s">
        <v>3430</v>
      </c>
      <c r="J43" s="3454" t="s">
        <v>3433</v>
      </c>
      <c r="K43" s="3452">
        <v>44590.000497685185</v>
      </c>
      <c r="L43" s="3452">
        <v>44590.000497685185</v>
      </c>
      <c r="M43" s="3454" t="s">
        <v>3434</v>
      </c>
      <c r="N43" s="3454" t="s">
        <v>3546</v>
      </c>
      <c r="O43" s="3454">
        <v>809.94</v>
      </c>
      <c r="P43" s="3454">
        <v>170</v>
      </c>
      <c r="Q43" s="3454" t="s">
        <v>3541</v>
      </c>
      <c r="R43" s="3454">
        <v>809.94</v>
      </c>
      <c r="S43" s="3454">
        <v>16.8</v>
      </c>
      <c r="T43" s="3454">
        <v>84</v>
      </c>
      <c r="U43" s="3454">
        <v>0</v>
      </c>
      <c r="V43" s="3454" t="s">
        <v>3437</v>
      </c>
      <c r="W43" s="3454">
        <f t="shared" si="0"/>
        <v>102</v>
      </c>
    </row>
    <row r="44" spans="1:23">
      <c r="A44" s="3454" t="s">
        <v>3547</v>
      </c>
      <c r="B44" s="3454" t="s">
        <v>3428</v>
      </c>
      <c r="C44" s="3454" t="s">
        <v>3547</v>
      </c>
      <c r="D44" s="3454" t="s">
        <v>3430</v>
      </c>
      <c r="E44" s="3454">
        <v>29947.9</v>
      </c>
      <c r="F44" s="3454">
        <v>104817.65</v>
      </c>
      <c r="G44" s="3454" t="s">
        <v>3440</v>
      </c>
      <c r="H44" s="3454" t="s">
        <v>3432</v>
      </c>
      <c r="I44" s="3454" t="s">
        <v>3430</v>
      </c>
      <c r="J44" s="3454" t="s">
        <v>3433</v>
      </c>
      <c r="K44" s="3452">
        <v>44589.000497685185</v>
      </c>
      <c r="L44" s="3452">
        <v>44589.000497685185</v>
      </c>
      <c r="M44" s="3454" t="s">
        <v>3434</v>
      </c>
      <c r="N44" s="3454" t="s">
        <v>3548</v>
      </c>
      <c r="O44" s="3454">
        <v>754.69</v>
      </c>
      <c r="P44" s="3454">
        <v>160</v>
      </c>
      <c r="Q44" s="3454" t="s">
        <v>3549</v>
      </c>
      <c r="R44" s="3454">
        <v>754.69</v>
      </c>
      <c r="S44" s="3454">
        <v>16.8</v>
      </c>
      <c r="T44" s="3454">
        <v>72</v>
      </c>
      <c r="U44" s="3454">
        <v>0</v>
      </c>
      <c r="V44" s="3454" t="s">
        <v>3437</v>
      </c>
      <c r="W44" s="3454">
        <f t="shared" si="0"/>
        <v>87</v>
      </c>
    </row>
    <row r="45" spans="1:23">
      <c r="A45" s="3454" t="s">
        <v>3550</v>
      </c>
      <c r="B45" s="3454" t="s">
        <v>3428</v>
      </c>
      <c r="C45" s="3454" t="s">
        <v>3550</v>
      </c>
      <c r="D45" s="3454" t="s">
        <v>3430</v>
      </c>
      <c r="E45" s="3454">
        <v>3577.3</v>
      </c>
      <c r="F45" s="3454">
        <v>8943.25</v>
      </c>
      <c r="G45" s="3454" t="s">
        <v>3502</v>
      </c>
      <c r="H45" s="3454" t="s">
        <v>3432</v>
      </c>
      <c r="I45" s="3454" t="s">
        <v>3430</v>
      </c>
      <c r="J45" s="3454" t="s">
        <v>3433</v>
      </c>
      <c r="K45" s="3452">
        <v>44589.000497685185</v>
      </c>
      <c r="L45" s="3452">
        <v>44589.000497685185</v>
      </c>
      <c r="M45" s="3454" t="s">
        <v>3434</v>
      </c>
      <c r="N45" s="3454" t="s">
        <v>3551</v>
      </c>
      <c r="O45" s="3454">
        <v>90.15</v>
      </c>
      <c r="P45" s="3454">
        <v>20</v>
      </c>
      <c r="Q45" s="3454" t="s">
        <v>3549</v>
      </c>
      <c r="R45" s="3454">
        <v>90.15</v>
      </c>
      <c r="S45" s="3454">
        <v>16.8</v>
      </c>
      <c r="T45" s="3454">
        <v>101</v>
      </c>
      <c r="U45" s="3454">
        <v>0</v>
      </c>
      <c r="V45" s="3454" t="s">
        <v>3437</v>
      </c>
      <c r="W45" s="3454">
        <f t="shared" si="0"/>
        <v>123</v>
      </c>
    </row>
    <row r="46" spans="1:23">
      <c r="A46" s="3454" t="s">
        <v>3552</v>
      </c>
      <c r="B46" s="3454" t="s">
        <v>3428</v>
      </c>
      <c r="C46" s="3454" t="s">
        <v>3552</v>
      </c>
      <c r="D46" s="3454" t="s">
        <v>3430</v>
      </c>
      <c r="E46" s="3454">
        <v>53600.5</v>
      </c>
      <c r="F46" s="3454">
        <v>179561.68</v>
      </c>
      <c r="G46" s="3454" t="s">
        <v>3553</v>
      </c>
      <c r="H46" s="3454" t="s">
        <v>3432</v>
      </c>
      <c r="I46" s="3454" t="s">
        <v>3430</v>
      </c>
      <c r="J46" s="3454" t="s">
        <v>3433</v>
      </c>
      <c r="K46" s="3452">
        <v>44546.000497685185</v>
      </c>
      <c r="L46" s="3452">
        <v>44546.000497685185</v>
      </c>
      <c r="M46" s="3454" t="s">
        <v>3434</v>
      </c>
      <c r="N46" s="3454" t="s">
        <v>3554</v>
      </c>
      <c r="O46" s="3454">
        <v>13242.28</v>
      </c>
      <c r="P46" s="3454">
        <v>13242.28</v>
      </c>
      <c r="Q46" s="3454" t="s">
        <v>3555</v>
      </c>
      <c r="R46" s="3454">
        <v>13242.28</v>
      </c>
      <c r="S46" s="3454">
        <v>164.7</v>
      </c>
      <c r="T46" s="3454">
        <v>737</v>
      </c>
      <c r="U46" s="3454">
        <v>0</v>
      </c>
      <c r="V46" s="3454" t="s">
        <v>3488</v>
      </c>
      <c r="W46" s="3454">
        <f t="shared" si="0"/>
        <v>894</v>
      </c>
    </row>
    <row r="47" spans="1:23">
      <c r="A47" s="3454" t="s">
        <v>3556</v>
      </c>
      <c r="B47" s="3454" t="s">
        <v>3428</v>
      </c>
      <c r="C47" s="3454" t="s">
        <v>3556</v>
      </c>
      <c r="D47" s="3454" t="s">
        <v>3430</v>
      </c>
      <c r="E47" s="3454">
        <v>16429.2</v>
      </c>
      <c r="F47" s="3454">
        <v>49287.6</v>
      </c>
      <c r="G47" s="3454" t="s">
        <v>3478</v>
      </c>
      <c r="H47" s="3454" t="s">
        <v>3432</v>
      </c>
      <c r="I47" s="3454" t="s">
        <v>3430</v>
      </c>
      <c r="J47" s="3454" t="s">
        <v>3433</v>
      </c>
      <c r="K47" s="3452">
        <v>44511.000497685185</v>
      </c>
      <c r="L47" s="3452">
        <v>44511.000497685185</v>
      </c>
      <c r="M47" s="3454" t="s">
        <v>3434</v>
      </c>
      <c r="N47" s="3454" t="s">
        <v>3557</v>
      </c>
      <c r="O47" s="3454">
        <v>2957.26</v>
      </c>
      <c r="P47" s="3454">
        <v>600</v>
      </c>
      <c r="Q47" s="3454" t="s">
        <v>3558</v>
      </c>
      <c r="R47" s="3454">
        <v>2957.26</v>
      </c>
      <c r="S47" s="3454">
        <v>120</v>
      </c>
      <c r="T47" s="3454">
        <v>600</v>
      </c>
      <c r="U47" s="3454">
        <v>0</v>
      </c>
      <c r="V47" s="3454" t="s">
        <v>3437</v>
      </c>
      <c r="W47" s="3454">
        <f t="shared" si="0"/>
        <v>728</v>
      </c>
    </row>
    <row r="48" spans="1:23">
      <c r="A48" s="3454" t="s">
        <v>3559</v>
      </c>
      <c r="B48" s="3454" t="s">
        <v>3428</v>
      </c>
      <c r="C48" s="3454" t="s">
        <v>3559</v>
      </c>
      <c r="D48" s="3454" t="s">
        <v>3430</v>
      </c>
      <c r="E48" s="3454">
        <v>10001</v>
      </c>
      <c r="F48" s="3454">
        <v>30003</v>
      </c>
      <c r="G48" s="3454" t="s">
        <v>3431</v>
      </c>
      <c r="H48" s="3454" t="s">
        <v>3432</v>
      </c>
      <c r="I48" s="3454" t="s">
        <v>3430</v>
      </c>
      <c r="J48" s="3454" t="s">
        <v>3433</v>
      </c>
      <c r="K48" s="3452">
        <v>44511.000497685185</v>
      </c>
      <c r="L48" s="3452">
        <v>44511.000497685185</v>
      </c>
      <c r="M48" s="3454" t="s">
        <v>3434</v>
      </c>
      <c r="N48" s="3454" t="s">
        <v>3560</v>
      </c>
      <c r="O48" s="3454">
        <v>360.04</v>
      </c>
      <c r="P48" s="3454">
        <v>80</v>
      </c>
      <c r="Q48" s="3454" t="s">
        <v>3558</v>
      </c>
      <c r="R48" s="3454">
        <v>360.04</v>
      </c>
      <c r="S48" s="3454">
        <v>24</v>
      </c>
      <c r="T48" s="3454">
        <v>120</v>
      </c>
      <c r="U48" s="3454">
        <v>0</v>
      </c>
      <c r="V48" s="3454" t="s">
        <v>3437</v>
      </c>
      <c r="W48" s="3454">
        <f t="shared" si="0"/>
        <v>146</v>
      </c>
    </row>
    <row r="49" spans="1:23">
      <c r="A49" s="3454" t="s">
        <v>3561</v>
      </c>
      <c r="B49" s="3454" t="s">
        <v>3428</v>
      </c>
      <c r="C49" s="3454" t="s">
        <v>3561</v>
      </c>
      <c r="D49" s="3454" t="s">
        <v>3430</v>
      </c>
      <c r="E49" s="3454">
        <v>101815.7</v>
      </c>
      <c r="F49" s="3454">
        <v>356354.95</v>
      </c>
      <c r="G49" s="3454" t="s">
        <v>3440</v>
      </c>
      <c r="H49" s="3454" t="s">
        <v>3432</v>
      </c>
      <c r="I49" s="3454" t="s">
        <v>3430</v>
      </c>
      <c r="J49" s="3454" t="s">
        <v>3433</v>
      </c>
      <c r="K49" s="3452">
        <v>44511.000497685185</v>
      </c>
      <c r="L49" s="3452">
        <v>44511.000497685185</v>
      </c>
      <c r="M49" s="3454" t="s">
        <v>3434</v>
      </c>
      <c r="N49" s="3454" t="s">
        <v>3463</v>
      </c>
      <c r="O49" s="3454">
        <v>2565.7600000000002</v>
      </c>
      <c r="P49" s="3454">
        <v>520</v>
      </c>
      <c r="Q49" s="3454" t="s">
        <v>3558</v>
      </c>
      <c r="R49" s="3454">
        <v>2565.7600000000002</v>
      </c>
      <c r="S49" s="3454">
        <v>16.8</v>
      </c>
      <c r="T49" s="3454">
        <v>72</v>
      </c>
      <c r="U49" s="3454">
        <v>0</v>
      </c>
      <c r="V49" s="3454" t="s">
        <v>3437</v>
      </c>
      <c r="W49" s="3454">
        <f t="shared" si="0"/>
        <v>87</v>
      </c>
    </row>
    <row r="50" spans="1:23">
      <c r="A50" s="3454" t="s">
        <v>3562</v>
      </c>
      <c r="B50" s="3454" t="s">
        <v>3428</v>
      </c>
      <c r="C50" s="3454" t="s">
        <v>3562</v>
      </c>
      <c r="D50" s="3454" t="s">
        <v>3430</v>
      </c>
      <c r="E50" s="3454">
        <v>22649.9</v>
      </c>
      <c r="F50" s="3454">
        <v>67949.7</v>
      </c>
      <c r="G50" s="3454" t="s">
        <v>3431</v>
      </c>
      <c r="H50" s="3454" t="s">
        <v>3432</v>
      </c>
      <c r="I50" s="3454" t="s">
        <v>3430</v>
      </c>
      <c r="J50" s="3454" t="s">
        <v>3433</v>
      </c>
      <c r="K50" s="3452">
        <v>44421.000497685185</v>
      </c>
      <c r="L50" s="3452">
        <v>44421.000497685185</v>
      </c>
      <c r="M50" s="3454" t="s">
        <v>3434</v>
      </c>
      <c r="N50" s="3454" t="s">
        <v>3563</v>
      </c>
      <c r="O50" s="3454">
        <v>3336.33</v>
      </c>
      <c r="P50" s="3454">
        <v>670</v>
      </c>
      <c r="Q50" s="3454" t="s">
        <v>3564</v>
      </c>
      <c r="R50" s="3454">
        <v>3336.33</v>
      </c>
      <c r="S50" s="3454">
        <v>98.2</v>
      </c>
      <c r="T50" s="3454">
        <v>491</v>
      </c>
      <c r="U50" s="3454">
        <v>0</v>
      </c>
      <c r="V50" s="3454" t="s">
        <v>3488</v>
      </c>
      <c r="W50" s="3454">
        <f t="shared" si="0"/>
        <v>596</v>
      </c>
    </row>
    <row r="51" spans="1:23">
      <c r="A51" s="3454" t="s">
        <v>3565</v>
      </c>
      <c r="B51" s="3454" t="s">
        <v>3428</v>
      </c>
      <c r="C51" s="3454" t="s">
        <v>3565</v>
      </c>
      <c r="D51" s="3454" t="s">
        <v>3430</v>
      </c>
      <c r="E51" s="3454">
        <v>100206.7</v>
      </c>
      <c r="F51" s="3454">
        <v>150310.04999999999</v>
      </c>
      <c r="G51" s="3454" t="s">
        <v>3566</v>
      </c>
      <c r="H51" s="3454" t="s">
        <v>3432</v>
      </c>
      <c r="I51" s="3454" t="s">
        <v>3430</v>
      </c>
      <c r="J51" s="3454" t="s">
        <v>3433</v>
      </c>
      <c r="K51" s="3452">
        <v>44421.000497685185</v>
      </c>
      <c r="L51" s="3452">
        <v>44421.000497685185</v>
      </c>
      <c r="M51" s="3454" t="s">
        <v>3434</v>
      </c>
      <c r="N51" s="3454" t="s">
        <v>3567</v>
      </c>
      <c r="O51" s="3454">
        <v>3607.44</v>
      </c>
      <c r="P51" s="3454">
        <v>730</v>
      </c>
      <c r="Q51" s="3454" t="s">
        <v>3564</v>
      </c>
      <c r="R51" s="3454">
        <v>3607.44</v>
      </c>
      <c r="S51" s="3454">
        <v>24</v>
      </c>
      <c r="T51" s="3454">
        <v>240</v>
      </c>
      <c r="U51" s="3454">
        <v>0</v>
      </c>
      <c r="V51" s="3454" t="s">
        <v>3437</v>
      </c>
      <c r="W51" s="3454">
        <f t="shared" si="0"/>
        <v>291</v>
      </c>
    </row>
    <row r="52" spans="1:23">
      <c r="A52" s="3454" t="s">
        <v>3568</v>
      </c>
      <c r="B52" s="3454" t="s">
        <v>3428</v>
      </c>
      <c r="C52" s="3454" t="s">
        <v>3568</v>
      </c>
      <c r="D52" s="3454" t="s">
        <v>3430</v>
      </c>
      <c r="E52" s="3454">
        <v>7461.9</v>
      </c>
      <c r="F52" s="3454">
        <v>14923.8</v>
      </c>
      <c r="G52" s="3454" t="s">
        <v>3524</v>
      </c>
      <c r="H52" s="3454" t="s">
        <v>3432</v>
      </c>
      <c r="I52" s="3454" t="s">
        <v>3430</v>
      </c>
      <c r="J52" s="3454" t="s">
        <v>3433</v>
      </c>
      <c r="K52" s="3452">
        <v>44377.000497685185</v>
      </c>
      <c r="L52" s="3452">
        <v>44377.000497685185</v>
      </c>
      <c r="M52" s="3454" t="s">
        <v>3434</v>
      </c>
      <c r="N52" s="3454" t="s">
        <v>3569</v>
      </c>
      <c r="O52" s="3454">
        <v>188.04</v>
      </c>
      <c r="P52" s="3454">
        <v>40</v>
      </c>
      <c r="Q52" s="3454" t="s">
        <v>3570</v>
      </c>
      <c r="R52" s="3454">
        <v>188.04</v>
      </c>
      <c r="S52" s="3454">
        <v>16.8</v>
      </c>
      <c r="T52" s="3454">
        <v>126</v>
      </c>
      <c r="U52" s="3454">
        <v>0</v>
      </c>
      <c r="V52" s="3454" t="s">
        <v>3437</v>
      </c>
      <c r="W52" s="3454">
        <f t="shared" si="0"/>
        <v>153</v>
      </c>
    </row>
    <row r="53" spans="1:23">
      <c r="A53" s="3454" t="s">
        <v>3571</v>
      </c>
      <c r="B53" s="3454" t="s">
        <v>3428</v>
      </c>
      <c r="C53" s="3454" t="s">
        <v>3571</v>
      </c>
      <c r="D53" s="3454" t="s">
        <v>3430</v>
      </c>
      <c r="E53" s="3454">
        <v>49648.5</v>
      </c>
      <c r="F53" s="3454">
        <v>99297</v>
      </c>
      <c r="G53" s="3454" t="s">
        <v>3524</v>
      </c>
      <c r="H53" s="3454" t="s">
        <v>3432</v>
      </c>
      <c r="I53" s="3454" t="s">
        <v>3430</v>
      </c>
      <c r="J53" s="3454" t="s">
        <v>3433</v>
      </c>
      <c r="K53" s="3452">
        <v>44377.000497685185</v>
      </c>
      <c r="L53" s="3452">
        <v>44377.000497685185</v>
      </c>
      <c r="M53" s="3454" t="s">
        <v>3434</v>
      </c>
      <c r="N53" s="3454" t="s">
        <v>3525</v>
      </c>
      <c r="O53" s="3454">
        <v>2383.13</v>
      </c>
      <c r="P53" s="3454">
        <v>480</v>
      </c>
      <c r="Q53" s="3454" t="s">
        <v>3570</v>
      </c>
      <c r="R53" s="3454">
        <v>2383.13</v>
      </c>
      <c r="S53" s="3454">
        <v>32</v>
      </c>
      <c r="T53" s="3454">
        <v>240</v>
      </c>
      <c r="U53" s="3454">
        <v>0</v>
      </c>
      <c r="V53" s="3454" t="s">
        <v>3488</v>
      </c>
      <c r="W53" s="3454">
        <f t="shared" si="0"/>
        <v>291</v>
      </c>
    </row>
    <row r="54" spans="1:23">
      <c r="A54" s="3454" t="s">
        <v>3572</v>
      </c>
      <c r="B54" s="3454" t="s">
        <v>3428</v>
      </c>
      <c r="C54" s="3454" t="s">
        <v>3572</v>
      </c>
      <c r="D54" s="3454" t="s">
        <v>3430</v>
      </c>
      <c r="E54" s="3454">
        <v>38361.9</v>
      </c>
      <c r="F54" s="3454">
        <v>76723.8</v>
      </c>
      <c r="G54" s="3454" t="s">
        <v>3524</v>
      </c>
      <c r="H54" s="3454" t="s">
        <v>3432</v>
      </c>
      <c r="I54" s="3454" t="s">
        <v>3430</v>
      </c>
      <c r="J54" s="3454" t="s">
        <v>3433</v>
      </c>
      <c r="K54" s="3452">
        <v>44377.000497685185</v>
      </c>
      <c r="L54" s="3452">
        <v>44377.000497685185</v>
      </c>
      <c r="M54" s="3454" t="s">
        <v>3434</v>
      </c>
      <c r="N54" s="3454" t="s">
        <v>3573</v>
      </c>
      <c r="O54" s="3454">
        <v>966.72</v>
      </c>
      <c r="P54" s="3454">
        <v>200</v>
      </c>
      <c r="Q54" s="3454" t="s">
        <v>3570</v>
      </c>
      <c r="R54" s="3454">
        <v>966.72</v>
      </c>
      <c r="S54" s="3454">
        <v>16.8</v>
      </c>
      <c r="T54" s="3454">
        <v>126</v>
      </c>
      <c r="U54" s="3454">
        <v>0</v>
      </c>
      <c r="V54" s="3454" t="s">
        <v>3437</v>
      </c>
      <c r="W54" s="3454">
        <f t="shared" si="0"/>
        <v>153</v>
      </c>
    </row>
    <row r="55" spans="1:23">
      <c r="A55" s="3454" t="s">
        <v>3574</v>
      </c>
      <c r="B55" s="3454" t="s">
        <v>3428</v>
      </c>
      <c r="C55" s="3454" t="s">
        <v>3574</v>
      </c>
      <c r="D55" s="3454" t="s">
        <v>3430</v>
      </c>
      <c r="E55" s="3454">
        <v>9997.7000000000007</v>
      </c>
      <c r="F55" s="3454">
        <v>14996.55</v>
      </c>
      <c r="G55" s="3454" t="s">
        <v>3566</v>
      </c>
      <c r="H55" s="3454" t="s">
        <v>3432</v>
      </c>
      <c r="I55" s="3454" t="s">
        <v>3430</v>
      </c>
      <c r="J55" s="3454" t="s">
        <v>3433</v>
      </c>
      <c r="K55" s="3452">
        <v>44265.000497685185</v>
      </c>
      <c r="L55" s="3452">
        <v>44265.000497685185</v>
      </c>
      <c r="M55" s="3454" t="s">
        <v>3434</v>
      </c>
      <c r="N55" s="3454" t="s">
        <v>3575</v>
      </c>
      <c r="O55" s="3454">
        <v>359.92</v>
      </c>
      <c r="P55" s="3454">
        <v>80</v>
      </c>
      <c r="Q55" s="3454" t="s">
        <v>3576</v>
      </c>
      <c r="R55" s="3454">
        <v>359.92</v>
      </c>
      <c r="S55" s="3454">
        <v>24</v>
      </c>
      <c r="T55" s="3454">
        <v>240</v>
      </c>
      <c r="U55" s="3454">
        <v>0</v>
      </c>
      <c r="V55" s="3454" t="s">
        <v>3437</v>
      </c>
      <c r="W55" s="3454">
        <f t="shared" si="0"/>
        <v>291</v>
      </c>
    </row>
    <row r="56" spans="1:23">
      <c r="A56" s="3454" t="s">
        <v>3577</v>
      </c>
      <c r="B56" s="3454" t="s">
        <v>3428</v>
      </c>
      <c r="C56" s="3454" t="s">
        <v>3577</v>
      </c>
      <c r="D56" s="3454" t="s">
        <v>3430</v>
      </c>
      <c r="E56" s="3454">
        <v>39879.9</v>
      </c>
      <c r="F56" s="3454">
        <v>79759.8</v>
      </c>
      <c r="G56" s="3454" t="s">
        <v>3524</v>
      </c>
      <c r="H56" s="3454" t="s">
        <v>3432</v>
      </c>
      <c r="I56" s="3454" t="s">
        <v>3430</v>
      </c>
      <c r="J56" s="3454" t="s">
        <v>3433</v>
      </c>
      <c r="K56" s="3452">
        <v>44265.000497685185</v>
      </c>
      <c r="L56" s="3452">
        <v>44265.000497685185</v>
      </c>
      <c r="M56" s="3454" t="s">
        <v>3434</v>
      </c>
      <c r="N56" s="3454" t="s">
        <v>3578</v>
      </c>
      <c r="O56" s="3454">
        <v>1339.96</v>
      </c>
      <c r="P56" s="3454">
        <v>270</v>
      </c>
      <c r="Q56" s="3454" t="s">
        <v>3576</v>
      </c>
      <c r="R56" s="3454">
        <v>1339.96</v>
      </c>
      <c r="S56" s="3454">
        <v>22.4</v>
      </c>
      <c r="T56" s="3454">
        <v>168</v>
      </c>
      <c r="U56" s="3454">
        <v>0</v>
      </c>
      <c r="V56" s="3454" t="s">
        <v>3488</v>
      </c>
      <c r="W56" s="3454">
        <f t="shared" si="0"/>
        <v>204</v>
      </c>
    </row>
    <row r="57" spans="1:23">
      <c r="A57" s="3454" t="s">
        <v>3579</v>
      </c>
      <c r="B57" s="3454" t="s">
        <v>3428</v>
      </c>
      <c r="C57" s="3454" t="s">
        <v>3580</v>
      </c>
      <c r="D57" s="3454" t="s">
        <v>3430</v>
      </c>
      <c r="E57" s="3454">
        <v>7792.5</v>
      </c>
      <c r="F57" s="3454">
        <v>19481.25</v>
      </c>
      <c r="G57" s="3454" t="s">
        <v>3581</v>
      </c>
      <c r="H57" s="3454" t="s">
        <v>3432</v>
      </c>
      <c r="I57" s="3454" t="s">
        <v>3582</v>
      </c>
      <c r="J57" s="3454" t="s">
        <v>3433</v>
      </c>
      <c r="K57" s="3452">
        <v>44249.000497685185</v>
      </c>
      <c r="L57" s="3452">
        <v>44249.000497685185</v>
      </c>
      <c r="M57" s="3454" t="s">
        <v>3434</v>
      </c>
      <c r="N57" s="3454" t="s">
        <v>3583</v>
      </c>
      <c r="O57" s="3454">
        <v>1051.99</v>
      </c>
      <c r="P57" s="3454">
        <v>220</v>
      </c>
      <c r="Q57" s="3454" t="s">
        <v>3584</v>
      </c>
      <c r="R57" s="3454">
        <v>1051.99</v>
      </c>
      <c r="S57" s="3454">
        <v>90</v>
      </c>
      <c r="T57" s="3454">
        <v>540</v>
      </c>
      <c r="U57" s="3454">
        <v>0</v>
      </c>
      <c r="V57" s="3454">
        <v>30</v>
      </c>
      <c r="W57" s="3454">
        <f t="shared" si="0"/>
        <v>655</v>
      </c>
    </row>
    <row r="58" spans="1:23">
      <c r="A58" s="3454" t="s">
        <v>3585</v>
      </c>
      <c r="B58" s="3454" t="s">
        <v>3428</v>
      </c>
      <c r="C58" s="3454" t="s">
        <v>3586</v>
      </c>
      <c r="D58" s="3454" t="s">
        <v>3430</v>
      </c>
      <c r="E58" s="3454">
        <v>20113.7</v>
      </c>
      <c r="F58" s="3454">
        <v>40227.4</v>
      </c>
      <c r="G58" s="3454" t="s">
        <v>3524</v>
      </c>
      <c r="H58" s="3454" t="s">
        <v>3432</v>
      </c>
      <c r="I58" s="3454" t="s">
        <v>3430</v>
      </c>
      <c r="J58" s="3454" t="s">
        <v>3433</v>
      </c>
      <c r="K58" s="3452">
        <v>44249.000497685185</v>
      </c>
      <c r="L58" s="3452">
        <v>44249.000497685185</v>
      </c>
      <c r="M58" s="3454" t="s">
        <v>3434</v>
      </c>
      <c r="N58" s="3454" t="s">
        <v>3587</v>
      </c>
      <c r="O58" s="3454">
        <v>506.87</v>
      </c>
      <c r="P58" s="3454">
        <v>110</v>
      </c>
      <c r="Q58" s="3454" t="s">
        <v>3584</v>
      </c>
      <c r="R58" s="3454">
        <v>506.87</v>
      </c>
      <c r="S58" s="3454">
        <v>16.8</v>
      </c>
      <c r="T58" s="3454">
        <v>126</v>
      </c>
      <c r="U58" s="3454">
        <v>0</v>
      </c>
      <c r="V58" s="3454">
        <v>30</v>
      </c>
      <c r="W58" s="3454">
        <f t="shared" si="0"/>
        <v>153</v>
      </c>
    </row>
    <row r="59" spans="1:23">
      <c r="A59" s="3454" t="s">
        <v>3588</v>
      </c>
      <c r="B59" s="3454" t="s">
        <v>3428</v>
      </c>
      <c r="C59" s="3454" t="s">
        <v>3589</v>
      </c>
      <c r="D59" s="3454" t="s">
        <v>3430</v>
      </c>
      <c r="E59" s="3454">
        <v>23860.2</v>
      </c>
      <c r="F59" s="3454">
        <v>47720.4</v>
      </c>
      <c r="G59" s="3454" t="s">
        <v>3524</v>
      </c>
      <c r="H59" s="3454" t="s">
        <v>3432</v>
      </c>
      <c r="I59" s="3454" t="s">
        <v>3430</v>
      </c>
      <c r="J59" s="3454" t="s">
        <v>3433</v>
      </c>
      <c r="K59" s="3452">
        <v>44231.000497685185</v>
      </c>
      <c r="L59" s="3452">
        <v>44231.000497685185</v>
      </c>
      <c r="M59" s="3454" t="s">
        <v>3434</v>
      </c>
      <c r="N59" s="3454" t="s">
        <v>3590</v>
      </c>
      <c r="O59" s="3454">
        <v>858.97</v>
      </c>
      <c r="P59" s="3454">
        <v>180</v>
      </c>
      <c r="Q59" s="3454" t="s">
        <v>3591</v>
      </c>
      <c r="R59" s="3454">
        <v>858.97</v>
      </c>
      <c r="S59" s="3454">
        <v>24</v>
      </c>
      <c r="T59" s="3454">
        <v>180</v>
      </c>
      <c r="U59" s="3454">
        <v>0</v>
      </c>
      <c r="V59" s="3454">
        <v>30</v>
      </c>
      <c r="W59" s="3454">
        <f t="shared" si="0"/>
        <v>218</v>
      </c>
    </row>
    <row r="60" spans="1:23">
      <c r="A60" s="3454" t="s">
        <v>3592</v>
      </c>
      <c r="B60" s="3454" t="s">
        <v>3428</v>
      </c>
      <c r="C60" s="3454" t="s">
        <v>3593</v>
      </c>
      <c r="D60" s="3454" t="s">
        <v>3430</v>
      </c>
      <c r="E60" s="3454">
        <v>23883</v>
      </c>
      <c r="F60" s="3454">
        <v>47766</v>
      </c>
      <c r="G60" s="3454" t="s">
        <v>3524</v>
      </c>
      <c r="H60" s="3454" t="s">
        <v>3432</v>
      </c>
      <c r="I60" s="3454" t="s">
        <v>3430</v>
      </c>
      <c r="J60" s="3454" t="s">
        <v>3433</v>
      </c>
      <c r="K60" s="3452">
        <v>44231.000497685185</v>
      </c>
      <c r="L60" s="3452">
        <v>44231.000497685185</v>
      </c>
      <c r="M60" s="3454" t="s">
        <v>3434</v>
      </c>
      <c r="N60" s="3454" t="s">
        <v>3594</v>
      </c>
      <c r="O60" s="3454">
        <v>601.85</v>
      </c>
      <c r="P60" s="3454">
        <v>130</v>
      </c>
      <c r="Q60" s="3454" t="s">
        <v>3591</v>
      </c>
      <c r="R60" s="3454">
        <v>601.85</v>
      </c>
      <c r="S60" s="3454">
        <v>16.8</v>
      </c>
      <c r="T60" s="3454">
        <v>126</v>
      </c>
      <c r="U60" s="3454">
        <v>0</v>
      </c>
      <c r="V60" s="3454">
        <v>30</v>
      </c>
      <c r="W60" s="3454">
        <f t="shared" si="0"/>
        <v>153</v>
      </c>
    </row>
    <row r="61" spans="1:23">
      <c r="A61" s="3454" t="s">
        <v>3595</v>
      </c>
      <c r="B61" s="3454" t="s">
        <v>3428</v>
      </c>
      <c r="C61" s="3454" t="s">
        <v>3596</v>
      </c>
      <c r="D61" s="3454" t="s">
        <v>3430</v>
      </c>
      <c r="E61" s="3454">
        <v>28124.1</v>
      </c>
      <c r="F61" s="3454">
        <v>84372.3</v>
      </c>
      <c r="G61" s="3454" t="s">
        <v>3431</v>
      </c>
      <c r="H61" s="3454" t="s">
        <v>3432</v>
      </c>
      <c r="I61" s="3454" t="s">
        <v>3430</v>
      </c>
      <c r="J61" s="3454" t="s">
        <v>3433</v>
      </c>
      <c r="K61" s="3452">
        <v>44231.000497685185</v>
      </c>
      <c r="L61" s="3452">
        <v>44231.000497685185</v>
      </c>
      <c r="M61" s="3454" t="s">
        <v>3434</v>
      </c>
      <c r="N61" s="3454" t="s">
        <v>3597</v>
      </c>
      <c r="O61" s="3454">
        <v>1012.47</v>
      </c>
      <c r="P61" s="3454">
        <v>210</v>
      </c>
      <c r="Q61" s="3454" t="s">
        <v>3591</v>
      </c>
      <c r="R61" s="3454">
        <v>1012.47</v>
      </c>
      <c r="S61" s="3454">
        <v>24</v>
      </c>
      <c r="T61" s="3454">
        <v>120</v>
      </c>
      <c r="U61" s="3454">
        <v>0</v>
      </c>
      <c r="V61" s="3454">
        <v>30</v>
      </c>
      <c r="W61" s="3454">
        <f t="shared" si="0"/>
        <v>146</v>
      </c>
    </row>
    <row r="62" spans="1:23">
      <c r="A62" s="3454" t="s">
        <v>3598</v>
      </c>
      <c r="B62" s="3454" t="s">
        <v>3428</v>
      </c>
      <c r="C62" s="3454" t="s">
        <v>3599</v>
      </c>
      <c r="D62" s="3454" t="s">
        <v>3430</v>
      </c>
      <c r="E62" s="3454">
        <v>13415.6</v>
      </c>
      <c r="F62" s="3454">
        <v>26831.200000000001</v>
      </c>
      <c r="G62" s="3454" t="s">
        <v>3524</v>
      </c>
      <c r="H62" s="3454" t="s">
        <v>3432</v>
      </c>
      <c r="I62" s="3454" t="s">
        <v>3430</v>
      </c>
      <c r="J62" s="3454" t="s">
        <v>3433</v>
      </c>
      <c r="K62" s="3452">
        <v>44179.000497685185</v>
      </c>
      <c r="L62" s="3452">
        <v>44179.000497685185</v>
      </c>
      <c r="M62" s="3454" t="s">
        <v>3434</v>
      </c>
      <c r="N62" s="3454" t="s">
        <v>3600</v>
      </c>
      <c r="O62" s="3454">
        <v>338.07</v>
      </c>
      <c r="P62" s="3454">
        <v>70</v>
      </c>
      <c r="Q62" s="3454" t="s">
        <v>3601</v>
      </c>
      <c r="R62" s="3454">
        <v>338.07</v>
      </c>
      <c r="S62" s="3454">
        <v>16.8</v>
      </c>
      <c r="T62" s="3454">
        <v>126</v>
      </c>
      <c r="U62" s="3454">
        <v>0</v>
      </c>
      <c r="V62" s="3454" t="s">
        <v>3437</v>
      </c>
      <c r="W62" s="3454">
        <f t="shared" si="0"/>
        <v>153</v>
      </c>
    </row>
    <row r="63" spans="1:23">
      <c r="A63" s="3454" t="s">
        <v>3602</v>
      </c>
      <c r="B63" s="3454" t="s">
        <v>3428</v>
      </c>
      <c r="C63" s="3454" t="s">
        <v>3603</v>
      </c>
      <c r="D63" s="3454" t="s">
        <v>3430</v>
      </c>
      <c r="E63" s="3454">
        <v>39699</v>
      </c>
      <c r="F63" s="3454">
        <v>59548.5</v>
      </c>
      <c r="G63" s="3454" t="s">
        <v>3566</v>
      </c>
      <c r="H63" s="3454" t="s">
        <v>3432</v>
      </c>
      <c r="I63" s="3454" t="s">
        <v>3430</v>
      </c>
      <c r="J63" s="3454" t="s">
        <v>3433</v>
      </c>
      <c r="K63" s="3452">
        <v>44179.000497685185</v>
      </c>
      <c r="L63" s="3452">
        <v>44179.000497685185</v>
      </c>
      <c r="M63" s="3454" t="s">
        <v>3434</v>
      </c>
      <c r="N63" s="3454" t="s">
        <v>3604</v>
      </c>
      <c r="O63" s="3454">
        <v>1905.55</v>
      </c>
      <c r="P63" s="3454">
        <v>390</v>
      </c>
      <c r="Q63" s="3454" t="s">
        <v>3601</v>
      </c>
      <c r="R63" s="3454">
        <v>1905.55</v>
      </c>
      <c r="S63" s="3454">
        <v>32</v>
      </c>
      <c r="T63" s="3454">
        <v>320</v>
      </c>
      <c r="U63" s="3454">
        <v>0</v>
      </c>
      <c r="V63" s="3454" t="s">
        <v>3488</v>
      </c>
      <c r="W63" s="3454">
        <f t="shared" si="0"/>
        <v>388</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2082</v>
      </c>
      <c r="C1" s="3743" t="s">
        <v>2083</v>
      </c>
      <c r="D1" s="3744"/>
      <c r="E1" s="3744"/>
      <c r="F1" s="3744"/>
      <c r="G1" s="3744"/>
      <c r="H1" s="3744"/>
      <c r="I1" s="3744"/>
      <c r="J1" s="3744"/>
      <c r="K1" s="3744"/>
      <c r="L1" s="3744"/>
      <c r="M1" s="3744"/>
      <c r="N1" s="3744"/>
      <c r="O1" s="3744"/>
      <c r="P1" s="3744"/>
      <c r="Q1" s="3744"/>
      <c r="R1" s="3744"/>
      <c r="S1" s="3745"/>
      <c r="T1" s="982" t="s">
        <v>2084</v>
      </c>
    </row>
    <row r="2" spans="1:45" s="655" customFormat="1">
      <c r="A2" s="983"/>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60" customFormat="1">
      <c r="A3" s="985"/>
      <c r="B3" s="656"/>
      <c r="C3" s="657"/>
      <c r="D3" s="658"/>
      <c r="E3" s="658"/>
      <c r="F3" s="1304"/>
      <c r="G3" s="1304"/>
      <c r="H3" s="1304"/>
      <c r="I3" s="1304"/>
      <c r="J3" s="1304"/>
      <c r="K3" s="1304"/>
      <c r="L3" s="1305"/>
      <c r="M3" s="1306"/>
      <c r="N3" s="1306"/>
      <c r="O3" s="1304"/>
      <c r="P3" s="1304"/>
      <c r="Q3" s="1304"/>
      <c r="R3" s="1304"/>
      <c r="S3" s="1307"/>
      <c r="T3" s="659"/>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60"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1"/>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1"/>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6" t="s">
        <v>2092</v>
      </c>
      <c r="B17" s="2147"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2094</v>
      </c>
      <c r="E19" s="1339"/>
      <c r="F19" s="1339"/>
      <c r="G19" s="1339"/>
      <c r="H19" s="1058"/>
      <c r="I19" s="159"/>
      <c r="J19" s="159"/>
      <c r="K19" s="159"/>
      <c r="L19" s="159"/>
      <c r="M19" s="159"/>
      <c r="N19" s="159"/>
      <c r="O19" s="159"/>
      <c r="P19" s="159"/>
      <c r="Q19" s="159"/>
      <c r="R19" s="717"/>
      <c r="S19" s="129"/>
    </row>
    <row r="20" spans="1:45" ht="16.5" thickBot="1">
      <c r="A20" s="662" t="s">
        <v>2095</v>
      </c>
      <c r="B20" s="294" t="e">
        <f ca="1">IF(D20="——",S22,S22-F20)</f>
        <v>#REF!</v>
      </c>
      <c r="C20" s="159"/>
      <c r="D20" s="2149"/>
      <c r="E20" s="1340"/>
      <c r="F20" s="982" t="e">
        <f ca="1">SUMIF(INDIRECT("'"&amp;H20&amp;"'"&amp;"!A:A"),"承租人权益价值",INDIRECT("'"&amp;H20&amp;"'"&amp;"!c:c"))</f>
        <v>#REF!</v>
      </c>
      <c r="G20" s="982" t="s">
        <v>2096</v>
      </c>
      <c r="H20" s="2150"/>
      <c r="I20" s="159"/>
      <c r="J20" s="159"/>
      <c r="K20" s="159"/>
      <c r="L20" s="159"/>
      <c r="M20" s="159"/>
      <c r="N20" s="159"/>
      <c r="O20" s="159"/>
      <c r="P20" s="159"/>
      <c r="Q20" s="159"/>
      <c r="R20" s="717"/>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5" t="s">
        <v>2080</v>
      </c>
      <c r="B1" s="2145"/>
      <c r="C1" s="2145"/>
      <c r="D1" s="2145"/>
      <c r="E1" s="2145"/>
      <c r="F1" s="2791"/>
      <c r="G1" s="2791"/>
      <c r="H1" s="2791"/>
      <c r="I1" s="2791"/>
      <c r="J1" s="2791"/>
      <c r="K1" s="2791"/>
      <c r="L1" s="2791"/>
      <c r="M1" s="2791"/>
      <c r="N1" s="2791"/>
      <c r="O1" s="2791"/>
      <c r="P1" s="2791"/>
    </row>
    <row r="2" spans="1:16" ht="15.75">
      <c r="A2" s="2143" t="s">
        <v>2072</v>
      </c>
      <c r="B2" s="2600" t="e">
        <f ca="1">SUMIF(B6:B13,"&lt;&gt;#ref!",B6:B13)</f>
        <v>#DIV/0!</v>
      </c>
      <c r="C2" s="2143" t="s">
        <v>2073</v>
      </c>
      <c r="D2" s="2143" t="s">
        <v>2074</v>
      </c>
      <c r="E2" s="2610">
        <f ca="1">SUMIF(E6:E13,"&lt;&gt;#ref!",E6:E13)</f>
        <v>0</v>
      </c>
      <c r="F2" s="2791"/>
      <c r="G2" s="2791"/>
      <c r="H2" s="2791"/>
      <c r="I2" s="2791"/>
      <c r="J2" s="2791"/>
      <c r="K2" s="2791"/>
      <c r="L2" s="2791"/>
      <c r="M2" s="2791"/>
      <c r="N2" s="2791"/>
      <c r="O2" s="2791"/>
      <c r="P2" s="2791"/>
    </row>
    <row r="3" spans="1:16" ht="15.75">
      <c r="A3" s="2143" t="s">
        <v>2075</v>
      </c>
      <c r="B3" s="2600" t="e">
        <f ca="1">ROUND(B2*10000/E2,0)</f>
        <v>#DIV/0!</v>
      </c>
      <c r="C3" s="2143"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2076</v>
      </c>
      <c r="B5" s="2608" t="s">
        <v>2077</v>
      </c>
      <c r="C5" s="2144"/>
      <c r="D5" s="2791"/>
      <c r="E5" s="2609" t="s">
        <v>2078</v>
      </c>
      <c r="F5" s="2791"/>
      <c r="G5" s="2791"/>
      <c r="H5" s="2791"/>
      <c r="I5" s="2791"/>
      <c r="J5" s="2791"/>
      <c r="K5" s="2791"/>
      <c r="L5" s="2791"/>
      <c r="M5" s="2791"/>
      <c r="N5" s="2791"/>
      <c r="O5" s="2791"/>
      <c r="P5" s="2791"/>
    </row>
    <row r="6" spans="1:16" ht="15.75">
      <c r="A6" s="2607" t="s">
        <v>2079</v>
      </c>
      <c r="B6" s="2600" t="e">
        <f ca="1">SUMIF(INDIRECT("'"&amp;A6&amp;"'"&amp;"!A:A"),"总价",INDIRECT("'"&amp;A6&amp;"'"&amp;"!B:B"))</f>
        <v>#DIV/0!</v>
      </c>
      <c r="C6" s="2143" t="s">
        <v>2073</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2073</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2073</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2073</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2073</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2073</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1925</v>
      </c>
      <c r="B1" s="197"/>
      <c r="C1" s="201" t="s">
        <v>1926</v>
      </c>
      <c r="D1" s="342">
        <f>SUM(D33:D34,D37:D42)</f>
        <v>0</v>
      </c>
      <c r="E1" s="1993"/>
      <c r="F1" s="1993"/>
      <c r="G1" s="1993"/>
      <c r="H1" s="1993"/>
      <c r="I1" s="1993"/>
      <c r="J1" s="1993"/>
      <c r="K1" s="1118"/>
      <c r="L1" s="1994" t="s">
        <v>1927</v>
      </c>
      <c r="M1" s="862">
        <f>SUMPRODUCT((区片价!B5:B9=I2)*(区片价!C3:G3=E2)*(区片价!C5:G9))</f>
        <v>0</v>
      </c>
      <c r="N1" s="865">
        <f>SUMPRODUCT((因素修正幅度!B5:B9=I2)*(因素修正幅度!C3:G3=E2)*(因素修正幅度!C5:G9))</f>
        <v>0</v>
      </c>
      <c r="O1" s="1995"/>
      <c r="P1" s="1995"/>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t="e">
        <f>C30</f>
        <v>#DIV/0!</v>
      </c>
      <c r="C2" s="1997" t="s">
        <v>1934</v>
      </c>
      <c r="D2" s="1998" t="s">
        <v>1935</v>
      </c>
      <c r="E2" s="3420"/>
      <c r="F2" s="1998" t="s">
        <v>1936</v>
      </c>
      <c r="G2" s="1999">
        <f>IF(E2="商业",项目基本情况!B37,IF(E2="办公",项目基本情况!C37,IF(E2="住宅",项目基本情况!D37,IF(E2="工业",项目基本情况!E37,项目基本情况!F37))))</f>
        <v>0</v>
      </c>
      <c r="H2" s="1998" t="s">
        <v>1937</v>
      </c>
      <c r="I2" s="1999">
        <f>IF(E2="商业",项目基本情况!B38,IF(E2="办公",项目基本情况!C38,IF(E2="住宅",项目基本情况!D38,IF(E2="工业",项目基本情况!E38,项目基本情况!F38))))</f>
        <v>0</v>
      </c>
      <c r="J2" s="2000"/>
      <c r="K2" s="1118"/>
      <c r="L2" s="2001" t="s">
        <v>1938</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75">
      <c r="A3" s="203" t="s">
        <v>1939</v>
      </c>
      <c r="B3" s="204" t="e">
        <f>ROUND(B2*10000/D1,0)</f>
        <v>#DIV/0!</v>
      </c>
      <c r="C3" s="1997" t="s">
        <v>1940</v>
      </c>
      <c r="D3" s="1998" t="s">
        <v>1941</v>
      </c>
      <c r="E3" s="3418"/>
      <c r="F3" s="2002"/>
      <c r="G3" s="751">
        <f>IF(F3="宗地容积率",'数据-汇总表'!I4,IF(F3="估价对象容积率",'数据-汇总表'!I6,'数据-汇总表'!I7))</f>
        <v>0</v>
      </c>
      <c r="H3" s="170" t="s">
        <v>1942</v>
      </c>
      <c r="I3" s="774"/>
      <c r="J3" s="2000" t="s">
        <v>1943</v>
      </c>
      <c r="K3" s="1118"/>
      <c r="L3" s="2001" t="s">
        <v>1944</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75">
      <c r="A4" s="3753"/>
      <c r="B4" s="3754"/>
      <c r="C4" s="3754"/>
      <c r="D4" s="3755"/>
      <c r="E4" s="3755"/>
      <c r="F4" s="3755"/>
      <c r="G4" s="3755"/>
      <c r="H4" s="3755"/>
      <c r="I4" s="3755"/>
      <c r="J4" s="3756"/>
      <c r="K4" s="1118"/>
      <c r="L4" s="2001" t="s">
        <v>1945</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1946</v>
      </c>
      <c r="C5" s="752" t="e">
        <f>ROUND(IF(E2="商业",C6*C7*C17+C20,(IF(E2="住宅",C6*C13*C17+C20,IF(E2="办公",C6*C12*C17+C20,C6+C20)))),0)</f>
        <v>#DIV/0!</v>
      </c>
      <c r="D5" s="1338" t="e">
        <f>ROUND(C6*C17+C20,0)</f>
        <v>#DIV/0!</v>
      </c>
      <c r="E5" s="1338"/>
      <c r="F5" s="2005"/>
      <c r="G5" s="2006"/>
      <c r="H5" s="2006"/>
      <c r="I5" s="2006"/>
      <c r="J5" s="2007"/>
      <c r="K5" s="2008"/>
      <c r="L5" s="2001" t="s">
        <v>1947</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09"/>
      <c r="AD5" s="2010"/>
      <c r="AE5" s="2010"/>
      <c r="AF5" s="2010"/>
      <c r="AG5" s="2010"/>
      <c r="AH5" s="2010"/>
      <c r="AI5" s="2010"/>
      <c r="AJ5" s="2011"/>
    </row>
    <row r="6" spans="1:36" ht="15.75" thickBot="1">
      <c r="A6" s="2013" t="s">
        <v>1948</v>
      </c>
      <c r="B6" s="2014" t="s">
        <v>1949</v>
      </c>
      <c r="C6" s="753">
        <f>SUMIF(L1:L12,G2,M1:M12)</f>
        <v>0</v>
      </c>
      <c r="D6" s="2015"/>
      <c r="E6" s="2016"/>
      <c r="F6" s="2016"/>
      <c r="G6" s="2017"/>
      <c r="H6" s="2017"/>
      <c r="I6" s="2017"/>
      <c r="J6" s="2018"/>
      <c r="K6" s="1383"/>
      <c r="L6" s="2001" t="s">
        <v>1950</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09"/>
      <c r="AD6" s="2010"/>
      <c r="AE6" s="2010"/>
      <c r="AF6" s="2010"/>
      <c r="AG6" s="2010"/>
      <c r="AH6" s="2010"/>
      <c r="AI6" s="2010"/>
      <c r="AJ6" s="2011"/>
    </row>
    <row r="7" spans="1:36" ht="24.75" thickBot="1">
      <c r="A7" s="3302" t="s">
        <v>3240</v>
      </c>
      <c r="B7" s="2019" t="s">
        <v>1951</v>
      </c>
      <c r="C7" s="754" t="e">
        <f>IF(C8="不临65条商业街",1,ROUND(1+(1.6*E8+1.2*E9+0.8*E10+0.4*E11)*C9,4))</f>
        <v>#DIV/0!</v>
      </c>
      <c r="D7" s="2020" t="s">
        <v>1952</v>
      </c>
      <c r="E7" s="775"/>
      <c r="F7" s="2021"/>
      <c r="G7" s="2022"/>
      <c r="H7" s="2022"/>
      <c r="I7" s="2022"/>
      <c r="J7" s="2023"/>
      <c r="K7" s="1383"/>
      <c r="L7" s="2001" t="s">
        <v>1953</v>
      </c>
      <c r="M7" s="863">
        <f>SUMPRODUCT((区片价!B190:B233=I2)*(区片价!C3:G3=E2)*(区片价!C190:G233))</f>
        <v>0</v>
      </c>
      <c r="N7" s="865">
        <f>SUMPRODUCT((因素修正幅度!B190:B233=I2)*(因素修正幅度!C3:G3=E2)*(因素修正幅度!C190:G233))</f>
        <v>0</v>
      </c>
      <c r="O7" s="1118"/>
      <c r="P7" s="1118"/>
      <c r="Q7" s="1118"/>
      <c r="R7" s="1211">
        <v>6</v>
      </c>
      <c r="S7" s="3417"/>
      <c r="T7" s="3359" t="e">
        <f t="shared" si="0"/>
        <v>#DIV/0!</v>
      </c>
      <c r="U7" s="1212"/>
      <c r="V7" s="3359" t="e">
        <f t="shared" si="1"/>
        <v>#DIV/0!</v>
      </c>
      <c r="W7" s="1357" t="s">
        <v>1954</v>
      </c>
      <c r="X7" s="1213">
        <f>G2</f>
        <v>0</v>
      </c>
      <c r="Y7" s="1213" t="s">
        <v>1955</v>
      </c>
      <c r="Z7" s="1214">
        <f>G3</f>
        <v>0</v>
      </c>
      <c r="AA7" s="1215"/>
      <c r="AB7" s="1215"/>
      <c r="AC7" s="1216"/>
      <c r="AD7" s="1217"/>
      <c r="AE7" s="1217"/>
      <c r="AF7" s="1217"/>
      <c r="AG7" s="1217"/>
      <c r="AH7" s="1217"/>
      <c r="AI7" s="1217"/>
      <c r="AJ7" s="1218"/>
    </row>
    <row r="8" spans="1:36" ht="15">
      <c r="A8" s="3297"/>
      <c r="B8" s="170" t="s">
        <v>1956</v>
      </c>
      <c r="C8" s="2024"/>
      <c r="D8" s="755" t="s">
        <v>112</v>
      </c>
      <c r="E8" s="756" t="e">
        <f>ROUND(C11/E7,4)</f>
        <v>#DIV/0!</v>
      </c>
      <c r="F8" s="2025" t="s">
        <v>1957</v>
      </c>
      <c r="G8" s="2026"/>
      <c r="H8" s="2026"/>
      <c r="I8" s="2026"/>
      <c r="J8" s="2027"/>
      <c r="K8" s="1118"/>
      <c r="L8" s="2001" t="s">
        <v>1958</v>
      </c>
      <c r="M8" s="863">
        <f>SUMPRODUCT((区片价!B234:B276=I2)*(区片价!C3:G3=E2)*(区片价!C234:G276))</f>
        <v>0</v>
      </c>
      <c r="N8" s="865">
        <f>SUMPRODUCT((因素修正幅度!B234:B276=I2)*(因素修正幅度!C3:G3=E2)*(因素修正幅度!C234:G276))</f>
        <v>0</v>
      </c>
      <c r="O8" s="1118"/>
      <c r="P8" s="1118"/>
      <c r="Q8" s="1118"/>
      <c r="R8" s="1211">
        <v>7</v>
      </c>
      <c r="S8" s="1212"/>
      <c r="T8" s="3359" t="e">
        <f t="shared" si="0"/>
        <v>#DIV/0!</v>
      </c>
      <c r="U8" s="1212"/>
      <c r="V8" s="3359" t="e">
        <f t="shared" si="1"/>
        <v>#DIV/0!</v>
      </c>
      <c r="W8" s="3750" t="s">
        <v>1959</v>
      </c>
      <c r="X8" s="3751"/>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7"/>
      <c r="B9" s="170" t="s">
        <v>1972</v>
      </c>
      <c r="C9" s="757">
        <f>SUMIF(修正!C71:C138,C8,修正!E71:E138)</f>
        <v>0</v>
      </c>
      <c r="D9" s="171" t="s">
        <v>113</v>
      </c>
      <c r="E9" s="171" t="e">
        <f>ROUND(C11/E7,4)</f>
        <v>#DIV/0!</v>
      </c>
      <c r="F9" s="2025" t="s">
        <v>1973</v>
      </c>
      <c r="G9" s="2026"/>
      <c r="H9" s="2026"/>
      <c r="I9" s="2026"/>
      <c r="J9" s="2027"/>
      <c r="K9" s="1118"/>
      <c r="L9" s="2001" t="s">
        <v>1974</v>
      </c>
      <c r="M9" s="863">
        <f>SUMPRODUCT((区片价!B277:B326=I2)*(区片价!C3:G3=E2)*(区片价!C277:G326))</f>
        <v>0</v>
      </c>
      <c r="N9" s="865">
        <f>SUMPRODUCT((因素修正幅度!B277:B326=I2)*(因素修正幅度!C3:G3=E2)*(因素修正幅度!C277:G326))</f>
        <v>0</v>
      </c>
      <c r="O9" s="1118"/>
      <c r="P9" s="1118"/>
      <c r="Q9" s="1118"/>
      <c r="R9" s="1211">
        <v>8</v>
      </c>
      <c r="S9" s="1212"/>
      <c r="T9" s="3359" t="e">
        <f t="shared" si="0"/>
        <v>#DIV/0!</v>
      </c>
      <c r="U9" s="1212"/>
      <c r="V9" s="3359" t="e">
        <f t="shared" si="1"/>
        <v>#DIV/0!</v>
      </c>
      <c r="W9" s="3752"/>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5" t="s">
        <v>1976</v>
      </c>
      <c r="G10" s="2026"/>
      <c r="H10" s="2026"/>
      <c r="I10" s="2026"/>
      <c r="J10" s="2027"/>
      <c r="K10" s="1118"/>
      <c r="L10" s="2001"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9" t="e">
        <f t="shared" si="0"/>
        <v>#DIV/0!</v>
      </c>
      <c r="U10" s="1212"/>
      <c r="V10" s="3359" t="e">
        <f t="shared" si="1"/>
        <v>#DIV/0!</v>
      </c>
      <c r="W10" s="375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1978</v>
      </c>
      <c r="C11" s="758">
        <f>C10/4</f>
        <v>0</v>
      </c>
      <c r="D11" s="758" t="s">
        <v>115</v>
      </c>
      <c r="E11" s="758" t="e">
        <f>ROUND(C11/E7,4)</f>
        <v>#DIV/0!</v>
      </c>
      <c r="F11" s="2029" t="s">
        <v>1979</v>
      </c>
      <c r="G11" s="2030"/>
      <c r="H11" s="2030"/>
      <c r="I11" s="2030"/>
      <c r="J11" s="2031"/>
      <c r="K11" s="1118"/>
      <c r="L11" s="2001"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8"/>
      <c r="L12" s="2037"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15.75" thickBot="1">
      <c r="A13" s="3302" t="s">
        <v>3245</v>
      </c>
      <c r="B13" s="2032" t="s">
        <v>1981</v>
      </c>
      <c r="C13" s="754">
        <f>ROUND(C16*D16*E16*F16*G16*H16*I16*J16,4)</f>
        <v>0</v>
      </c>
      <c r="D13" s="2033" t="s">
        <v>1982</v>
      </c>
      <c r="E13" s="2034"/>
      <c r="F13" s="2034"/>
      <c r="G13" s="2035"/>
      <c r="H13" s="2035"/>
      <c r="I13" s="2035"/>
      <c r="J13" s="2036"/>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15">
      <c r="A14" s="3296"/>
      <c r="B14" s="2038" t="s">
        <v>1984</v>
      </c>
      <c r="C14" s="2039" t="s">
        <v>1985</v>
      </c>
      <c r="D14" s="1349" t="s">
        <v>1986</v>
      </c>
      <c r="E14" s="27" t="s">
        <v>1987</v>
      </c>
      <c r="F14" s="3310" t="s">
        <v>3246</v>
      </c>
      <c r="G14" s="3310" t="s">
        <v>3246</v>
      </c>
      <c r="H14" s="3310" t="s">
        <v>3246</v>
      </c>
      <c r="I14" s="3310" t="s">
        <v>3246</v>
      </c>
      <c r="J14" s="3310" t="s">
        <v>3246</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0"/>
      <c r="C15" s="2041"/>
      <c r="D15" s="2042"/>
      <c r="E15" s="2043"/>
      <c r="F15" s="3311" t="s">
        <v>3247</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8"/>
      <c r="L16" s="1995"/>
      <c r="M16" s="1995"/>
      <c r="N16" s="1995"/>
      <c r="O16" s="1995"/>
      <c r="P16" s="1995"/>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3252</v>
      </c>
      <c r="E19" s="3336"/>
      <c r="F19" s="3337" t="s">
        <v>3255</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57" t="s">
        <v>3257</v>
      </c>
      <c r="B20" s="167" t="s">
        <v>1993</v>
      </c>
      <c r="C20" s="3323" t="e">
        <f>ROUND(IF(F21="与级别开发程度一致",0,(G21-E21)/C21),0)</f>
        <v>#DIV/0!</v>
      </c>
      <c r="D20" s="3339" t="s">
        <v>1997</v>
      </c>
      <c r="E20" s="3340"/>
      <c r="F20" s="3763" t="s">
        <v>1994</v>
      </c>
      <c r="G20" s="3764"/>
      <c r="H20" s="3324"/>
      <c r="I20" s="3324"/>
      <c r="J20" s="3325"/>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5" thickBot="1">
      <c r="A21" s="3758"/>
      <c r="B21" s="2162" t="s">
        <v>1996</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1999</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2001</v>
      </c>
      <c r="E23" s="760">
        <v>44197</v>
      </c>
      <c r="F23" s="2052" t="s">
        <v>2002</v>
      </c>
      <c r="G23" s="761">
        <f>'数据-取费表'!B2</f>
        <v>45240</v>
      </c>
      <c r="H23" s="3341" t="s">
        <v>3259</v>
      </c>
      <c r="I23" s="3342" t="str">
        <f>IF(H23="季度增幅（自定义）",SUMIF(N25:N28,E2,O25:O28),"")</f>
        <v/>
      </c>
      <c r="J23" s="3444" t="s">
        <v>3258</v>
      </c>
      <c r="K23" s="1124"/>
      <c r="L23" s="2053" t="s">
        <v>2003</v>
      </c>
      <c r="M23" s="1327">
        <f>ROUND(SUMIF(地价!B2:G2,E2,地价!B16:G16),0)</f>
        <v>0</v>
      </c>
      <c r="N23" s="2054" t="s">
        <v>2004</v>
      </c>
      <c r="O23" s="762">
        <f>ROUNDDOWN(DATEDIF(E23,G23,"M")/3,0)</f>
        <v>11</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2005</v>
      </c>
      <c r="C24" s="763" t="e">
        <f>ROUND(POWER(1+G24,J24-I24)*(POWER(1+G24,I24)-1)/(POWER(1+G24,J24)-1),4)</f>
        <v>#DIV/0!</v>
      </c>
      <c r="D24" s="2058" t="s">
        <v>2006</v>
      </c>
      <c r="E24" s="1334">
        <f>存贷款利率!E24/100</f>
        <v>4.3499999999999997E-2</v>
      </c>
      <c r="F24" s="2058" t="s">
        <v>1998</v>
      </c>
      <c r="G24" s="767">
        <f>SUMIF(M30:Q30,E2,M33:Q33)</f>
        <v>0</v>
      </c>
      <c r="H24" s="2058" t="s">
        <v>2007</v>
      </c>
      <c r="I24" s="768" t="e">
        <f>SUMIF('数据-取费表'!C6:C15,E2,'数据-取费表'!F6:F15)/COUNTIF('数据-取费表'!C6:C15,E2)</f>
        <v>#DIV/0!</v>
      </c>
      <c r="J24" s="769">
        <f>IF(E2="住宅",70,IF(E2="商业",40,50))</f>
        <v>50</v>
      </c>
      <c r="K24" s="1124"/>
      <c r="L24" s="2059" t="s">
        <v>2008</v>
      </c>
      <c r="M24" s="1328">
        <f>ROUND(SUMPRODUCT((地价!A4:A16=YEAR(G23)&amp;"-"&amp;ROUNDUP(MONTH(G23)/3,0))*(地价!B2:G2=E2)*(地价!B4:G16)),0)</f>
        <v>0</v>
      </c>
      <c r="N24" s="2060" t="s">
        <v>2009</v>
      </c>
      <c r="O24" s="2061" t="s">
        <v>2010</v>
      </c>
      <c r="P24" s="2062" t="s">
        <v>2011</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3338</v>
      </c>
      <c r="C25" s="770">
        <f>IF(B25="容积率修正",IF(G3&lt;10,D26,J26),C27)</f>
        <v>0</v>
      </c>
      <c r="D25" s="2065"/>
      <c r="E25" s="2065"/>
      <c r="F25" s="2065"/>
      <c r="G25" s="2065"/>
      <c r="H25" s="2065"/>
      <c r="I25" s="2065"/>
      <c r="J25" s="2066"/>
      <c r="K25" s="1124"/>
      <c r="L25" s="2786"/>
      <c r="M25" s="2786"/>
      <c r="N25" s="2067" t="s">
        <v>2012</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2013</v>
      </c>
      <c r="B26" s="2068" t="s">
        <v>2014</v>
      </c>
      <c r="C26" s="3343" t="s">
        <v>3260</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1" t="str">
        <f>IF(G3&gt;=10,D115,"——")</f>
        <v>——</v>
      </c>
      <c r="K26" s="1124"/>
      <c r="L26" s="2786"/>
      <c r="M26" s="2786"/>
      <c r="N26" s="2067" t="s">
        <v>2015</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2016</v>
      </c>
      <c r="B27" s="2069" t="s">
        <v>2017</v>
      </c>
      <c r="C27" s="840">
        <f>ROUND(IF(I3&lt;6,SUMPRODUCT((B106:B110=I3)*(C105:N105=G2)*(C106:N110)),SUMIF(C105:N105,G2,C112:N112)),4)</f>
        <v>0</v>
      </c>
      <c r="D27" s="2044"/>
      <c r="E27" s="2044"/>
      <c r="F27" s="2070"/>
      <c r="G27" s="2071"/>
      <c r="H27" s="2072"/>
      <c r="I27" s="2073"/>
      <c r="J27" s="2074"/>
      <c r="K27" s="1118"/>
      <c r="L27" s="1995"/>
      <c r="M27" s="1995"/>
      <c r="N27" s="2067" t="s">
        <v>2018</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2019</v>
      </c>
      <c r="C28" s="759">
        <f>SUMIF(A47:A101,E2,B47:B101)</f>
        <v>0</v>
      </c>
      <c r="D28" s="2050"/>
      <c r="E28" s="2075"/>
      <c r="F28" s="2075"/>
      <c r="G28" s="2075"/>
      <c r="H28" s="2075"/>
      <c r="I28" s="2075"/>
      <c r="J28" s="2076"/>
      <c r="K28" s="1124"/>
      <c r="L28" s="2786"/>
      <c r="M28" s="2786"/>
      <c r="N28" s="2077"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2021</v>
      </c>
      <c r="C29" s="764"/>
      <c r="D29" s="2022"/>
      <c r="E29" s="2022"/>
      <c r="F29" s="2079"/>
      <c r="G29" s="2022"/>
      <c r="H29" s="2022"/>
      <c r="I29" s="2022"/>
      <c r="J29" s="2023"/>
      <c r="K29" s="1118"/>
      <c r="L29" s="1995"/>
      <c r="M29" s="1995"/>
      <c r="N29" s="2783" t="s">
        <v>2022</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2023</v>
      </c>
      <c r="C30" s="2319" t="e">
        <f>IF(B25="容积率修正",E33+SUM(E37:E42),SUM(V2:V16)+SUM(E37:E42))</f>
        <v>#DIV/0!</v>
      </c>
      <c r="D30" s="2081"/>
      <c r="E30" s="2044"/>
      <c r="F30" s="2082"/>
      <c r="G30" s="2044"/>
      <c r="H30" s="2044"/>
      <c r="I30" s="2044"/>
      <c r="J30" s="2083"/>
      <c r="K30" s="1118"/>
      <c r="L30" s="3349" t="s">
        <v>1935</v>
      </c>
      <c r="M30" s="3350" t="s">
        <v>1989</v>
      </c>
      <c r="N30" s="3350" t="s">
        <v>1990</v>
      </c>
      <c r="O30" s="3350" t="s">
        <v>1991</v>
      </c>
      <c r="P30" s="3350" t="s">
        <v>1992</v>
      </c>
      <c r="Q30" s="3353" t="s">
        <v>3265</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2024</v>
      </c>
      <c r="C31" s="765" t="e">
        <f>E34+SUM(I37:I42)</f>
        <v>#DIV/0!</v>
      </c>
      <c r="D31" s="2085"/>
      <c r="E31" s="2086"/>
      <c r="F31" s="2087"/>
      <c r="G31" s="2086"/>
      <c r="H31" s="2086"/>
      <c r="I31" s="2086"/>
      <c r="J31" s="2088"/>
      <c r="K31" s="1118"/>
      <c r="L31" s="3351" t="s">
        <v>1995</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8"/>
      <c r="L32" s="3352" t="s">
        <v>1998</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2029</v>
      </c>
      <c r="C33" s="175" t="e">
        <f>ROUND(C5*C22*C23*C24*C25*C28,0)</f>
        <v>#DIV/0!</v>
      </c>
      <c r="D33" s="2096"/>
      <c r="E33" s="772" t="e">
        <f>ROUND(C33*D33/10000,0)</f>
        <v>#DIV/0!</v>
      </c>
      <c r="F33" s="3344" t="s">
        <v>3263</v>
      </c>
      <c r="G33" s="2097"/>
      <c r="H33" s="2097"/>
      <c r="I33" s="2097"/>
      <c r="J33" s="2098"/>
      <c r="K33" s="1118"/>
      <c r="L33" s="3347" t="s">
        <v>3266</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2030</v>
      </c>
      <c r="C34" s="187" t="e">
        <f>ROUND(IF(E2="工业",C33*M42,IF(B25="楼层修正",SUM(V2:V16)*M41*10000/D34,C33*M41)),0)</f>
        <v>#DIV/0!</v>
      </c>
      <c r="D34" s="2101"/>
      <c r="E34" s="772" t="e">
        <f>ROUND(IF(B25="楼层修正",SUM(V2:V16)*M40,C34*D34/10000),0)</f>
        <v>#DIV/0!</v>
      </c>
      <c r="F34" s="2102" t="s">
        <v>2031</v>
      </c>
      <c r="G34" s="2103"/>
      <c r="H34" s="2103"/>
      <c r="I34" s="2103"/>
      <c r="J34" s="2104"/>
      <c r="K34" s="1118"/>
      <c r="L34" s="3347" t="s">
        <v>3267</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2032</v>
      </c>
      <c r="C35" s="3345" t="s">
        <v>3264</v>
      </c>
      <c r="D35" s="2035"/>
      <c r="E35" s="2107"/>
      <c r="F35" s="2107"/>
      <c r="G35" s="2033" t="s">
        <v>2033</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61"/>
      <c r="B37" s="2111" t="s">
        <v>2035</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62"/>
      <c r="B38" s="2039" t="s">
        <v>2036</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62"/>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2037</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2038</v>
      </c>
      <c r="M40" s="2115"/>
      <c r="Z40" s="1119"/>
      <c r="AA40" s="1119"/>
      <c r="AB40" s="1119"/>
      <c r="AC40" s="1119"/>
      <c r="AD40" s="1119"/>
      <c r="AE40" s="1119"/>
      <c r="AF40" s="1119"/>
      <c r="AG40" s="1119"/>
      <c r="AH40" s="1119"/>
      <c r="AI40" s="1119"/>
      <c r="AJ40" s="1119"/>
    </row>
    <row r="41" spans="1:37" s="1118" customFormat="1">
      <c r="A41" s="2113"/>
      <c r="B41" s="2039" t="s">
        <v>2039</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9"/>
      <c r="AA41" s="1119"/>
      <c r="AB41" s="1119"/>
      <c r="AC41" s="1119"/>
      <c r="AD41" s="1119"/>
      <c r="AE41" s="1119"/>
      <c r="AF41" s="1119"/>
      <c r="AG41" s="1119"/>
      <c r="AH41" s="1119"/>
      <c r="AI41" s="1119"/>
      <c r="AJ41" s="1119"/>
    </row>
    <row r="42" spans="1:37" s="1118" customFormat="1" ht="13.5" thickBot="1">
      <c r="A42" s="2099"/>
      <c r="B42" s="2117" t="s">
        <v>2040</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1992</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2121</v>
      </c>
      <c r="C44" s="342" t="e">
        <f>ROUND(POWER(1+E44,H44-G44)*(POWER(1+E44,G44)-1)/(POWER(1+E44,H44)-1),4)</f>
        <v>#DIV/0!</v>
      </c>
      <c r="D44" s="171" t="s">
        <v>1998</v>
      </c>
      <c r="E44" s="2151">
        <f>G24</f>
        <v>0</v>
      </c>
      <c r="F44" s="171" t="s">
        <v>2007</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2041</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2042</v>
      </c>
      <c r="B48" s="2125">
        <f>1+E50</f>
        <v>1</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2043</v>
      </c>
      <c r="B49" s="1350" t="s">
        <v>2044</v>
      </c>
      <c r="C49" s="1350" t="s">
        <v>2045</v>
      </c>
      <c r="D49" s="1350" t="s">
        <v>2046</v>
      </c>
      <c r="E49" s="742" t="s">
        <v>2047</v>
      </c>
      <c r="F49" s="2129" t="s">
        <v>2048</v>
      </c>
      <c r="G49" s="1350" t="s">
        <v>310</v>
      </c>
      <c r="H49" s="2130" t="s">
        <v>2049</v>
      </c>
      <c r="I49" s="1350"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2051</v>
      </c>
      <c r="B50" s="2131" t="str">
        <f>估价对象房地状况!C4</f>
        <v>估价对象位于XX商圈，周边商业氛围成熟，人流量大，商业繁华度好</v>
      </c>
      <c r="C50" s="2042"/>
      <c r="D50" s="1064">
        <f t="shared" ref="D50:D58" si="7">SUMIF($J$49:$N$49,C50,J50:N50)</f>
        <v>0</v>
      </c>
      <c r="E50" s="743">
        <f>ROUND(SUM(D50:D58),4)</f>
        <v>0</v>
      </c>
      <c r="F50" s="1812"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2052</v>
      </c>
      <c r="B51" s="2132" t="str">
        <f>估价对象房地状况!C18</f>
        <v>估价对象周边道路状况、公共交通通达情况、停车便捷程度，综合评价交通便捷度较好</v>
      </c>
      <c r="C51" s="2042"/>
      <c r="D51" s="1064">
        <f t="shared" si="7"/>
        <v>0</v>
      </c>
      <c r="E51" s="744"/>
      <c r="F51" s="1812"/>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3272</v>
      </c>
      <c r="B52" s="2132">
        <f>估价对象房地状况!C19</f>
        <v>0</v>
      </c>
      <c r="C52" s="2042"/>
      <c r="D52" s="1064">
        <f t="shared" si="7"/>
        <v>0</v>
      </c>
      <c r="E52" s="744"/>
      <c r="F52" s="1812"/>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2053</v>
      </c>
      <c r="B53" s="2133" t="s">
        <v>2054</v>
      </c>
      <c r="C53" s="2042"/>
      <c r="D53" s="1064">
        <f t="shared" si="7"/>
        <v>0</v>
      </c>
      <c r="E53" s="744"/>
      <c r="F53" s="1812"/>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2055</v>
      </c>
      <c r="B54" s="2132">
        <f>估价对象房地状况!C24</f>
        <v>0</v>
      </c>
      <c r="C54" s="2042"/>
      <c r="D54" s="1064">
        <f t="shared" si="7"/>
        <v>0</v>
      </c>
      <c r="E54" s="744"/>
      <c r="F54" s="1812"/>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2056</v>
      </c>
      <c r="B55" s="2134" t="s">
        <v>2057</v>
      </c>
      <c r="C55" s="2042"/>
      <c r="D55" s="1064">
        <f t="shared" si="7"/>
        <v>0</v>
      </c>
      <c r="E55" s="744"/>
      <c r="F55" s="1812"/>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2058</v>
      </c>
      <c r="B56" s="1325" t="str">
        <f>估价对象房地状况!C21</f>
        <v>估价对象所在区域公共配套设施齐备情况</v>
      </c>
      <c r="C56" s="2042"/>
      <c r="D56" s="1064">
        <f t="shared" si="7"/>
        <v>0</v>
      </c>
      <c r="E56" s="744"/>
      <c r="F56" s="1812"/>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2059</v>
      </c>
      <c r="B57" s="2132" t="str">
        <f>估价对象房地状况!C22</f>
        <v>估价对象所在区域基础设施水平</v>
      </c>
      <c r="C57" s="2042"/>
      <c r="D57" s="1064">
        <f t="shared" si="7"/>
        <v>0</v>
      </c>
      <c r="E57" s="744"/>
      <c r="F57" s="1812"/>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2060</v>
      </c>
      <c r="B58" s="2137" t="str">
        <f>估价对象房地状况!C20</f>
        <v>区域自然环境：；人文环境；综合评价环境状况一般</v>
      </c>
      <c r="C58" s="2042"/>
      <c r="D58" s="1064">
        <f t="shared" si="7"/>
        <v>0</v>
      </c>
      <c r="E58" s="745"/>
      <c r="F58" s="1812"/>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2061</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2043</v>
      </c>
      <c r="B60" s="1350"/>
      <c r="C60" s="1350" t="s">
        <v>2045</v>
      </c>
      <c r="D60" s="1350" t="s">
        <v>2046</v>
      </c>
      <c r="E60" s="742" t="s">
        <v>2047</v>
      </c>
      <c r="F60" s="2129" t="s">
        <v>2062</v>
      </c>
      <c r="G60" s="1350" t="s">
        <v>310</v>
      </c>
      <c r="H60" s="2130" t="s">
        <v>2049</v>
      </c>
      <c r="I60" s="1350"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2063</v>
      </c>
      <c r="B61" s="2131" t="str">
        <f>估价对象房地状况!C17</f>
        <v>估价对象位于XX商圈，周边办公楼项目较多，入驻率高，办公集聚程度较好</v>
      </c>
      <c r="C61" s="2042"/>
      <c r="D61" s="1064">
        <f t="shared" ref="D61:D69" si="12">SUMIF($J$60:$N$60,C61,J61:N61)</f>
        <v>0</v>
      </c>
      <c r="E61" s="743">
        <f>ROUND(SUM(D61:D69),4)</f>
        <v>0</v>
      </c>
      <c r="F61" s="1812"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2052</v>
      </c>
      <c r="B62" s="2132" t="str">
        <f>估价对象房地状况!C18</f>
        <v>估价对象周边道路状况、公共交通通达情况、停车便捷程度，综合评价交通便捷度较好</v>
      </c>
      <c r="C62" s="2042"/>
      <c r="D62" s="1064">
        <f t="shared" si="12"/>
        <v>0</v>
      </c>
      <c r="E62" s="744"/>
      <c r="F62" s="1812"/>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3272</v>
      </c>
      <c r="B63" s="2132">
        <f>估价对象房地状况!C19</f>
        <v>0</v>
      </c>
      <c r="C63" s="2042"/>
      <c r="D63" s="1064">
        <f t="shared" si="12"/>
        <v>0</v>
      </c>
      <c r="E63" s="744"/>
      <c r="F63" s="1812"/>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2053</v>
      </c>
      <c r="B64" s="2133" t="s">
        <v>2054</v>
      </c>
      <c r="C64" s="2042"/>
      <c r="D64" s="1064">
        <f t="shared" si="12"/>
        <v>0</v>
      </c>
      <c r="E64" s="744"/>
      <c r="F64" s="1812"/>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2055</v>
      </c>
      <c r="B65" s="2132">
        <f>估价对象房地状况!C24</f>
        <v>0</v>
      </c>
      <c r="C65" s="2042"/>
      <c r="D65" s="1064">
        <f t="shared" si="12"/>
        <v>0</v>
      </c>
      <c r="E65" s="744"/>
      <c r="F65" s="1812"/>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2056</v>
      </c>
      <c r="B66" s="2134" t="s">
        <v>2057</v>
      </c>
      <c r="C66" s="2042"/>
      <c r="D66" s="1064">
        <f t="shared" si="12"/>
        <v>0</v>
      </c>
      <c r="E66" s="744"/>
      <c r="F66" s="1812"/>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2058</v>
      </c>
      <c r="B67" s="1325" t="str">
        <f>估价对象房地状况!C21</f>
        <v>估价对象所在区域公共配套设施齐备情况</v>
      </c>
      <c r="C67" s="2042"/>
      <c r="D67" s="1064">
        <f t="shared" si="12"/>
        <v>0</v>
      </c>
      <c r="E67" s="744"/>
      <c r="F67" s="1812"/>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2059</v>
      </c>
      <c r="B68" s="1325" t="str">
        <f>估价对象房地状况!C22</f>
        <v>估价对象所在区域基础设施水平</v>
      </c>
      <c r="C68" s="2042"/>
      <c r="D68" s="1064">
        <f t="shared" si="12"/>
        <v>0</v>
      </c>
      <c r="E68" s="744"/>
      <c r="F68" s="1812"/>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2060</v>
      </c>
      <c r="B69" s="2138" t="str">
        <f>估价对象房地状况!C20</f>
        <v>区域自然环境：；人文环境；综合评价环境状况一般</v>
      </c>
      <c r="C69" s="2042"/>
      <c r="D69" s="1064">
        <f t="shared" si="12"/>
        <v>0</v>
      </c>
      <c r="E69" s="745"/>
      <c r="F69" s="1812"/>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2064</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2043</v>
      </c>
      <c r="B71" s="1350"/>
      <c r="C71" s="1350" t="s">
        <v>2045</v>
      </c>
      <c r="D71" s="1350" t="s">
        <v>2046</v>
      </c>
      <c r="E71" s="742" t="s">
        <v>2047</v>
      </c>
      <c r="F71" s="2129" t="s">
        <v>2062</v>
      </c>
      <c r="G71" s="1350" t="s">
        <v>310</v>
      </c>
      <c r="H71" s="2130" t="s">
        <v>2049</v>
      </c>
      <c r="I71" s="1350"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2065</v>
      </c>
      <c r="B72" s="2131" t="str">
        <f>估价对象房地状况!C15</f>
        <v>估价对象周边居住用地比例、居住小区规模和社区发展完善程度，综合评价居住社区成熟度一般</v>
      </c>
      <c r="C72" s="2042"/>
      <c r="D72" s="1064">
        <f t="shared" ref="D72:D80" si="17">SUMIF($J$71:$N$71,C72,J72:N72)</f>
        <v>0</v>
      </c>
      <c r="E72" s="743">
        <f>ROUND(SUM(D72:D80),4)</f>
        <v>0</v>
      </c>
      <c r="F72" s="1812"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2052</v>
      </c>
      <c r="B73" s="2132" t="str">
        <f>估价对象房地状况!C18</f>
        <v>估价对象周边道路状况、公共交通通达情况、停车便捷程度，综合评价交通便捷度较好</v>
      </c>
      <c r="C73" s="2042"/>
      <c r="D73" s="1064">
        <f t="shared" si="17"/>
        <v>0</v>
      </c>
      <c r="E73" s="746"/>
      <c r="F73" s="1812"/>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7" t="s">
        <v>3272</v>
      </c>
      <c r="B74" s="2132">
        <f>估价对象房地状况!C19</f>
        <v>0</v>
      </c>
      <c r="C74" s="2042"/>
      <c r="D74" s="1064">
        <f t="shared" si="17"/>
        <v>0</v>
      </c>
      <c r="E74" s="746"/>
      <c r="F74" s="1812"/>
      <c r="G74" s="1062"/>
      <c r="H74" s="1065" t="str">
        <f t="shared" si="18"/>
        <v>——</v>
      </c>
      <c r="I74" s="3365">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2066</v>
      </c>
      <c r="B75" s="2132">
        <f>估价对象房地状况!C24</f>
        <v>0</v>
      </c>
      <c r="C75" s="2042"/>
      <c r="D75" s="1064">
        <f t="shared" si="17"/>
        <v>0</v>
      </c>
      <c r="E75" s="746"/>
      <c r="F75" s="1812"/>
      <c r="G75" s="1062"/>
      <c r="H75" s="1065" t="str">
        <f t="shared" si="18"/>
        <v>——</v>
      </c>
      <c r="I75" s="3365">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2058</v>
      </c>
      <c r="B76" s="1325" t="str">
        <f>估价对象房地状况!C21</f>
        <v>估价对象所在区域公共配套设施齐备情况</v>
      </c>
      <c r="C76" s="2042"/>
      <c r="D76" s="1064">
        <f t="shared" si="17"/>
        <v>0</v>
      </c>
      <c r="E76" s="746"/>
      <c r="F76" s="1812"/>
      <c r="G76" s="1062"/>
      <c r="H76" s="1065" t="str">
        <f t="shared" si="18"/>
        <v>——</v>
      </c>
      <c r="I76" s="3365">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2059</v>
      </c>
      <c r="B77" s="1325" t="str">
        <f>估价对象房地状况!C22</f>
        <v>估价对象所在区域基础设施水平</v>
      </c>
      <c r="C77" s="2042"/>
      <c r="D77" s="1064">
        <f t="shared" si="17"/>
        <v>0</v>
      </c>
      <c r="E77" s="746"/>
      <c r="F77" s="1812"/>
      <c r="G77" s="1062"/>
      <c r="H77" s="1065" t="str">
        <f t="shared" si="18"/>
        <v>——</v>
      </c>
      <c r="I77" s="3365">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2056</v>
      </c>
      <c r="B78" s="2134" t="s">
        <v>2057</v>
      </c>
      <c r="C78" s="2042"/>
      <c r="D78" s="1064">
        <f t="shared" si="17"/>
        <v>0</v>
      </c>
      <c r="E78" s="746"/>
      <c r="F78" s="1812"/>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2060</v>
      </c>
      <c r="B79" s="2131" t="str">
        <f>估价对象房地状况!C20</f>
        <v>区域自然环境：；人文环境；综合评价环境状况一般</v>
      </c>
      <c r="C79" s="2042"/>
      <c r="D79" s="1064">
        <f t="shared" si="17"/>
        <v>0</v>
      </c>
      <c r="E79" s="746"/>
      <c r="F79" s="1812"/>
      <c r="G79" s="1062"/>
      <c r="H79" s="1065" t="str">
        <f t="shared" si="18"/>
        <v>——</v>
      </c>
      <c r="I79" s="3365">
        <v>0.12</v>
      </c>
      <c r="J79" s="1063">
        <f t="shared" si="19"/>
        <v>0</v>
      </c>
      <c r="K79" s="1063">
        <f t="shared" si="20"/>
        <v>0</v>
      </c>
      <c r="L79" s="1063">
        <v>0</v>
      </c>
      <c r="M79" s="1063">
        <f t="shared" si="21"/>
        <v>0</v>
      </c>
      <c r="N79" s="1063">
        <f t="shared" si="21"/>
        <v>0</v>
      </c>
      <c r="Z79" s="1996"/>
      <c r="AA79" s="2051"/>
      <c r="AG79" s="1120"/>
      <c r="AK79" s="2051"/>
    </row>
    <row r="80" spans="1:37" ht="24.75" thickBot="1">
      <c r="A80" s="2136" t="s">
        <v>2067</v>
      </c>
      <c r="B80" s="2140"/>
      <c r="C80" s="2042"/>
      <c r="D80" s="1064">
        <f t="shared" si="17"/>
        <v>0</v>
      </c>
      <c r="E80" s="747"/>
      <c r="F80" s="1812"/>
      <c r="G80" s="1062"/>
      <c r="H80" s="1065" t="str">
        <f t="shared" si="18"/>
        <v>——</v>
      </c>
      <c r="I80" s="3366">
        <v>0.05</v>
      </c>
      <c r="J80" s="1063">
        <f t="shared" si="19"/>
        <v>0</v>
      </c>
      <c r="K80" s="1063">
        <f t="shared" si="20"/>
        <v>0</v>
      </c>
      <c r="L80" s="1063">
        <v>0</v>
      </c>
      <c r="M80" s="1063">
        <f t="shared" si="21"/>
        <v>0</v>
      </c>
      <c r="N80" s="1063">
        <f t="shared" si="21"/>
        <v>0</v>
      </c>
      <c r="Z80" s="1996"/>
      <c r="AA80" s="2051"/>
      <c r="AG80" s="1120"/>
      <c r="AK80" s="2051"/>
    </row>
    <row r="81" spans="1:37" ht="15">
      <c r="A81" s="2124" t="s">
        <v>2068</v>
      </c>
      <c r="B81" s="2125">
        <f>1+E83</f>
        <v>1</v>
      </c>
      <c r="C81" s="740"/>
      <c r="D81" s="740"/>
      <c r="E81" s="741"/>
      <c r="F81" s="2127"/>
      <c r="G81" s="3"/>
      <c r="H81" s="3"/>
      <c r="I81" s="3"/>
      <c r="J81" s="4"/>
      <c r="K81" s="4"/>
      <c r="L81" s="4"/>
      <c r="M81" s="4"/>
      <c r="N81" s="4"/>
      <c r="Z81" s="1996"/>
      <c r="AA81" s="2051"/>
      <c r="AG81" s="1120"/>
      <c r="AK81" s="2051"/>
    </row>
    <row r="82" spans="1:37" ht="24.75">
      <c r="A82" s="2128" t="s">
        <v>2043</v>
      </c>
      <c r="B82" s="1350"/>
      <c r="C82" s="1350" t="s">
        <v>2045</v>
      </c>
      <c r="D82" s="1350" t="s">
        <v>2046</v>
      </c>
      <c r="E82" s="742" t="s">
        <v>2047</v>
      </c>
      <c r="F82" s="2129" t="s">
        <v>2062</v>
      </c>
      <c r="G82" s="1350" t="s">
        <v>310</v>
      </c>
      <c r="H82" s="2130" t="s">
        <v>2049</v>
      </c>
      <c r="I82" s="1350" t="s">
        <v>2050</v>
      </c>
      <c r="J82" s="552" t="s">
        <v>1721</v>
      </c>
      <c r="K82" s="552" t="s">
        <v>1722</v>
      </c>
      <c r="L82" s="552" t="s">
        <v>1723</v>
      </c>
      <c r="M82" s="552" t="s">
        <v>1724</v>
      </c>
      <c r="N82" s="552" t="s">
        <v>1725</v>
      </c>
      <c r="Z82" s="1996"/>
      <c r="AA82" s="2051"/>
      <c r="AG82" s="1120"/>
      <c r="AK82" s="2051"/>
    </row>
    <row r="83" spans="1:37" ht="38.25">
      <c r="A83" s="2128" t="s">
        <v>2069</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2052</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5">
        <v>0.3</v>
      </c>
      <c r="J84" s="1063">
        <f t="shared" si="24"/>
        <v>0</v>
      </c>
      <c r="K84" s="1063">
        <f t="shared" si="25"/>
        <v>0</v>
      </c>
      <c r="L84" s="1063">
        <v>0</v>
      </c>
      <c r="M84" s="1063">
        <f t="shared" si="26"/>
        <v>0</v>
      </c>
      <c r="N84" s="1063">
        <f t="shared" si="26"/>
        <v>0</v>
      </c>
      <c r="Z84" s="1996"/>
      <c r="AA84" s="2051"/>
      <c r="AG84" s="1120"/>
      <c r="AK84" s="2051"/>
    </row>
    <row r="85" spans="1:37" ht="36">
      <c r="A85" s="3367" t="s">
        <v>3273</v>
      </c>
      <c r="B85" s="2132">
        <f>估价对象房地状况!G17</f>
        <v>0</v>
      </c>
      <c r="C85" s="2042"/>
      <c r="D85" s="1064">
        <f t="shared" si="22"/>
        <v>0</v>
      </c>
      <c r="E85" s="746"/>
      <c r="F85" s="1812"/>
      <c r="G85" s="1062"/>
      <c r="H85" s="1065" t="str">
        <f t="shared" si="23"/>
        <v>——</v>
      </c>
      <c r="I85" s="3365">
        <v>0.1</v>
      </c>
      <c r="J85" s="1063">
        <f t="shared" si="24"/>
        <v>0</v>
      </c>
      <c r="K85" s="1063">
        <f t="shared" si="25"/>
        <v>0</v>
      </c>
      <c r="L85" s="1063">
        <v>0</v>
      </c>
      <c r="M85" s="1063">
        <f t="shared" si="26"/>
        <v>0</v>
      </c>
      <c r="N85" s="1063">
        <f t="shared" si="26"/>
        <v>0</v>
      </c>
      <c r="Z85" s="1996"/>
      <c r="AA85" s="2051"/>
      <c r="AG85" s="1120"/>
      <c r="AK85" s="2051"/>
    </row>
    <row r="86" spans="1:37" ht="14.25">
      <c r="A86" s="2128" t="s">
        <v>2066</v>
      </c>
      <c r="B86" s="2132">
        <f>估价对象房地状况!G22</f>
        <v>0</v>
      </c>
      <c r="C86" s="2042"/>
      <c r="D86" s="1064">
        <f t="shared" si="22"/>
        <v>0</v>
      </c>
      <c r="E86" s="746"/>
      <c r="F86" s="1812"/>
      <c r="G86" s="1062"/>
      <c r="H86" s="1065" t="str">
        <f t="shared" si="23"/>
        <v>——</v>
      </c>
      <c r="I86" s="3365">
        <v>0.05</v>
      </c>
      <c r="J86" s="1063">
        <f t="shared" si="24"/>
        <v>0</v>
      </c>
      <c r="K86" s="1063">
        <f t="shared" si="25"/>
        <v>0</v>
      </c>
      <c r="L86" s="1063">
        <v>0</v>
      </c>
      <c r="M86" s="1063">
        <f t="shared" si="26"/>
        <v>0</v>
      </c>
      <c r="N86" s="1063">
        <f t="shared" si="26"/>
        <v>0</v>
      </c>
      <c r="Z86" s="1996"/>
      <c r="AA86" s="2051"/>
      <c r="AG86" s="1120"/>
      <c r="AK86" s="2051"/>
    </row>
    <row r="87" spans="1:37" ht="25.5">
      <c r="A87" s="2128" t="s">
        <v>2058</v>
      </c>
      <c r="B87" s="1325" t="str">
        <f>估价对象房地状况!G19</f>
        <v>估价对象所在区域公共配套设施齐备情况</v>
      </c>
      <c r="C87" s="2042"/>
      <c r="D87" s="1064">
        <f t="shared" si="22"/>
        <v>0</v>
      </c>
      <c r="E87" s="746"/>
      <c r="F87" s="1812"/>
      <c r="G87" s="1062"/>
      <c r="H87" s="1065" t="str">
        <f t="shared" si="23"/>
        <v>——</v>
      </c>
      <c r="I87" s="3365">
        <v>0.06</v>
      </c>
      <c r="J87" s="1063">
        <f t="shared" si="24"/>
        <v>0</v>
      </c>
      <c r="K87" s="1063">
        <f t="shared" si="25"/>
        <v>0</v>
      </c>
      <c r="L87" s="1063">
        <v>0</v>
      </c>
      <c r="M87" s="1063">
        <f t="shared" si="26"/>
        <v>0</v>
      </c>
      <c r="N87" s="1063">
        <f t="shared" si="26"/>
        <v>0</v>
      </c>
    </row>
    <row r="88" spans="1:37" ht="25.5">
      <c r="A88" s="2128" t="s">
        <v>2059</v>
      </c>
      <c r="B88" s="1325" t="str">
        <f>估价对象房地状况!G20</f>
        <v>估价对象所在区域基础设施水平</v>
      </c>
      <c r="C88" s="2042"/>
      <c r="D88" s="1064">
        <f t="shared" si="22"/>
        <v>0</v>
      </c>
      <c r="E88" s="746"/>
      <c r="F88" s="1812"/>
      <c r="G88" s="1062"/>
      <c r="H88" s="1065" t="str">
        <f t="shared" si="23"/>
        <v>——</v>
      </c>
      <c r="I88" s="3365">
        <v>0.12</v>
      </c>
      <c r="J88" s="1063">
        <f t="shared" si="24"/>
        <v>0</v>
      </c>
      <c r="K88" s="1063">
        <f t="shared" si="25"/>
        <v>0</v>
      </c>
      <c r="L88" s="1063">
        <v>0</v>
      </c>
      <c r="M88" s="1063">
        <f t="shared" si="26"/>
        <v>0</v>
      </c>
      <c r="N88" s="1063">
        <f t="shared" si="26"/>
        <v>0</v>
      </c>
    </row>
    <row r="89" spans="1:37" ht="24">
      <c r="A89" s="2128" t="s">
        <v>2056</v>
      </c>
      <c r="B89" s="2134" t="s">
        <v>2070</v>
      </c>
      <c r="C89" s="2042"/>
      <c r="D89" s="1064">
        <f t="shared" si="22"/>
        <v>0</v>
      </c>
      <c r="E89" s="746"/>
      <c r="F89" s="1812"/>
      <c r="G89" s="1062"/>
      <c r="H89" s="1065" t="str">
        <f t="shared" si="23"/>
        <v>——</v>
      </c>
      <c r="I89" s="3365">
        <v>0.06</v>
      </c>
      <c r="J89" s="1063">
        <f t="shared" si="24"/>
        <v>0</v>
      </c>
      <c r="K89" s="1063">
        <f t="shared" si="25"/>
        <v>0</v>
      </c>
      <c r="L89" s="1063">
        <v>0</v>
      </c>
      <c r="M89" s="1063">
        <f t="shared" si="26"/>
        <v>0</v>
      </c>
      <c r="N89" s="1063">
        <f t="shared" si="26"/>
        <v>0</v>
      </c>
    </row>
    <row r="90" spans="1:37" ht="39" thickBot="1">
      <c r="A90" s="2136" t="s">
        <v>2071</v>
      </c>
      <c r="B90" s="2141" t="str">
        <f>估价对象房地状况!G18</f>
        <v>该园区内是否有污染型企业，绿化情况，卫生条件，整体环境状况判断</v>
      </c>
      <c r="C90" s="2042"/>
      <c r="D90" s="1064">
        <f t="shared" si="22"/>
        <v>0</v>
      </c>
      <c r="E90" s="747"/>
      <c r="F90" s="1812"/>
      <c r="G90" s="1062"/>
      <c r="H90" s="1065" t="str">
        <f t="shared" si="23"/>
        <v>——</v>
      </c>
      <c r="I90" s="3366">
        <v>0.05</v>
      </c>
      <c r="J90" s="1063">
        <f t="shared" si="24"/>
        <v>0</v>
      </c>
      <c r="K90" s="1063">
        <f t="shared" si="25"/>
        <v>0</v>
      </c>
      <c r="L90" s="1063">
        <v>0</v>
      </c>
      <c r="M90" s="1063">
        <f t="shared" si="26"/>
        <v>0</v>
      </c>
      <c r="N90" s="1063">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5"/>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9" t="s">
        <v>3297</v>
      </c>
      <c r="B103" s="3759"/>
      <c r="C103" s="3759"/>
      <c r="D103" s="3759"/>
      <c r="E103" s="3759"/>
      <c r="F103" s="3759"/>
      <c r="G103" s="3759"/>
      <c r="H103" s="3759"/>
      <c r="I103" s="3759"/>
      <c r="J103" s="3759"/>
      <c r="K103" s="3388"/>
      <c r="L103" s="3388"/>
      <c r="M103" s="3388"/>
      <c r="N103" s="3388"/>
    </row>
    <row r="104" spans="1:14">
      <c r="A104" s="3760" t="s">
        <v>3298</v>
      </c>
      <c r="B104" s="3760" t="s">
        <v>3299</v>
      </c>
      <c r="C104" s="3389" t="s">
        <v>3300</v>
      </c>
      <c r="D104" s="3390"/>
      <c r="E104" s="3390"/>
      <c r="F104" s="3390"/>
      <c r="G104" s="3390"/>
      <c r="H104" s="3390"/>
      <c r="I104" s="3390"/>
      <c r="J104" s="3391"/>
      <c r="K104" s="3392"/>
      <c r="L104" s="3392"/>
      <c r="M104" s="3392"/>
      <c r="N104" s="3392"/>
    </row>
    <row r="105" spans="1:14">
      <c r="A105" s="3760"/>
      <c r="B105" s="3760"/>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6"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7"/>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9" t="s">
        <v>3314</v>
      </c>
      <c r="B113" s="3749"/>
      <c r="C113" s="3749"/>
      <c r="D113" s="3749"/>
      <c r="E113" s="3749"/>
      <c r="F113" s="3749"/>
      <c r="G113" s="3749"/>
      <c r="H113" s="3749"/>
      <c r="I113" s="3749"/>
      <c r="J113" s="374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2" t="s">
        <v>2610</v>
      </c>
      <c r="B20" s="3765" t="s">
        <v>2631</v>
      </c>
      <c r="C20" s="3101" t="s">
        <v>2442</v>
      </c>
      <c r="D20" s="3102"/>
      <c r="E20" s="3103">
        <v>1</v>
      </c>
      <c r="F20" s="3104" t="s">
        <v>2443</v>
      </c>
      <c r="G20" s="3104"/>
    </row>
    <row r="21" spans="1:13" ht="19.5" customHeight="1">
      <c r="A21" s="3773"/>
      <c r="B21" s="3766"/>
      <c r="C21" s="3105" t="s">
        <v>2444</v>
      </c>
      <c r="D21" s="3106"/>
      <c r="E21" s="3107">
        <v>1</v>
      </c>
      <c r="F21" s="3104" t="s">
        <v>2445</v>
      </c>
      <c r="G21" s="3104"/>
    </row>
    <row r="22" spans="1:13" ht="19.5" customHeight="1">
      <c r="A22" s="3773"/>
      <c r="B22" s="3766"/>
      <c r="C22" s="3105" t="s">
        <v>2446</v>
      </c>
      <c r="D22" s="3106"/>
      <c r="E22" s="3107">
        <v>0.9</v>
      </c>
      <c r="F22" s="3104" t="s">
        <v>2447</v>
      </c>
      <c r="G22" s="3104"/>
    </row>
    <row r="23" spans="1:13" ht="19.5" customHeight="1">
      <c r="A23" s="3773"/>
      <c r="B23" s="3766"/>
      <c r="C23" s="3105" t="s">
        <v>2448</v>
      </c>
      <c r="D23" s="3106"/>
      <c r="E23" s="3107">
        <v>0.9</v>
      </c>
      <c r="F23" s="3104" t="s">
        <v>2449</v>
      </c>
      <c r="G23" s="3104"/>
    </row>
    <row r="24" spans="1:13" ht="19.5" customHeight="1">
      <c r="A24" s="3773"/>
      <c r="B24" s="3766"/>
      <c r="C24" s="3105" t="s">
        <v>2450</v>
      </c>
      <c r="D24" s="3106"/>
      <c r="E24" s="3107">
        <v>0.8</v>
      </c>
      <c r="F24" s="3104" t="s">
        <v>2451</v>
      </c>
      <c r="G24" s="3104"/>
    </row>
    <row r="25" spans="1:13" ht="19.5" customHeight="1" thickBot="1">
      <c r="A25" s="3774"/>
      <c r="B25" s="3767"/>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8" t="s">
        <v>2634</v>
      </c>
      <c r="B27" s="3765" t="s">
        <v>2615</v>
      </c>
      <c r="C27" s="3101" t="s">
        <v>2455</v>
      </c>
      <c r="D27" s="3102"/>
      <c r="E27" s="3103">
        <v>1</v>
      </c>
      <c r="F27" s="3104" t="s">
        <v>2456</v>
      </c>
      <c r="G27" s="3104"/>
    </row>
    <row r="28" spans="1:13" ht="19.5" customHeight="1">
      <c r="A28" s="3769"/>
      <c r="B28" s="3766"/>
      <c r="C28" s="3105" t="s">
        <v>2457</v>
      </c>
      <c r="D28" s="3106"/>
      <c r="E28" s="3107">
        <v>1</v>
      </c>
      <c r="F28" s="3104" t="s">
        <v>2458</v>
      </c>
      <c r="G28" s="3104"/>
    </row>
    <row r="29" spans="1:13" ht="19.5" customHeight="1">
      <c r="A29" s="3769"/>
      <c r="B29" s="3766"/>
      <c r="C29" s="3105" t="s">
        <v>2459</v>
      </c>
      <c r="D29" s="3106"/>
      <c r="E29" s="3107">
        <v>0.8</v>
      </c>
      <c r="F29" s="3104" t="s">
        <v>2460</v>
      </c>
      <c r="G29" s="3104"/>
    </row>
    <row r="30" spans="1:13" ht="19.5" customHeight="1">
      <c r="A30" s="3769"/>
      <c r="B30" s="3766"/>
      <c r="C30" s="3105" t="s">
        <v>2461</v>
      </c>
      <c r="D30" s="3106"/>
      <c r="E30" s="3107">
        <v>0.8</v>
      </c>
      <c r="F30" s="3104" t="s">
        <v>2462</v>
      </c>
      <c r="G30" s="3104"/>
    </row>
    <row r="31" spans="1:13" ht="19.5" customHeight="1">
      <c r="A31" s="3769"/>
      <c r="B31" s="3766"/>
      <c r="C31" s="3105" t="s">
        <v>2463</v>
      </c>
      <c r="D31" s="3106"/>
      <c r="E31" s="3107">
        <v>0.8</v>
      </c>
      <c r="F31" s="3104" t="s">
        <v>2464</v>
      </c>
      <c r="G31" s="3104"/>
    </row>
    <row r="32" spans="1:13" ht="19.5" customHeight="1">
      <c r="A32" s="3769"/>
      <c r="B32" s="3766"/>
      <c r="C32" s="3105" t="s">
        <v>2465</v>
      </c>
      <c r="D32" s="3106"/>
      <c r="E32" s="3107">
        <v>0.7</v>
      </c>
      <c r="F32" s="3104" t="s">
        <v>2466</v>
      </c>
      <c r="G32" s="3104"/>
    </row>
    <row r="33" spans="1:7" ht="19.5" customHeight="1">
      <c r="A33" s="3769"/>
      <c r="B33" s="3766"/>
      <c r="C33" s="3105" t="s">
        <v>2467</v>
      </c>
      <c r="D33" s="3106"/>
      <c r="E33" s="3107">
        <v>0.8</v>
      </c>
      <c r="F33" s="3104" t="s">
        <v>2468</v>
      </c>
      <c r="G33" s="3104"/>
    </row>
    <row r="34" spans="1:7" ht="19.5" customHeight="1">
      <c r="A34" s="3769"/>
      <c r="B34" s="3766"/>
      <c r="C34" s="3105" t="s">
        <v>2469</v>
      </c>
      <c r="D34" s="3106"/>
      <c r="E34" s="3107">
        <v>0.6</v>
      </c>
      <c r="F34" s="3104" t="s">
        <v>2470</v>
      </c>
      <c r="G34" s="3104"/>
    </row>
    <row r="35" spans="1:7" ht="19.5" customHeight="1">
      <c r="A35" s="3769"/>
      <c r="B35" s="3766"/>
      <c r="C35" s="3105" t="s">
        <v>2471</v>
      </c>
      <c r="D35" s="3106"/>
      <c r="E35" s="3107">
        <v>0.2</v>
      </c>
      <c r="F35" s="3104" t="s">
        <v>2472</v>
      </c>
      <c r="G35" s="3104"/>
    </row>
    <row r="36" spans="1:7" ht="19.5" customHeight="1">
      <c r="A36" s="3769"/>
      <c r="B36" s="3766"/>
      <c r="C36" s="3105" t="s">
        <v>2473</v>
      </c>
      <c r="D36" s="3106"/>
      <c r="E36" s="3107">
        <v>0.2</v>
      </c>
      <c r="F36" s="3104" t="s">
        <v>2474</v>
      </c>
      <c r="G36" s="3104"/>
    </row>
    <row r="37" spans="1:7" ht="19.5" customHeight="1">
      <c r="A37" s="3769"/>
      <c r="B37" s="3771" t="s">
        <v>2635</v>
      </c>
      <c r="C37" s="3105" t="s">
        <v>2475</v>
      </c>
      <c r="D37" s="3106"/>
      <c r="E37" s="3107">
        <v>0.6</v>
      </c>
      <c r="F37" s="3104" t="s">
        <v>2476</v>
      </c>
      <c r="G37" s="3104"/>
    </row>
    <row r="38" spans="1:7" ht="19.5" customHeight="1">
      <c r="A38" s="3769"/>
      <c r="B38" s="3766"/>
      <c r="C38" s="3105" t="s">
        <v>2477</v>
      </c>
      <c r="D38" s="3106"/>
      <c r="E38" s="3107">
        <v>0.6</v>
      </c>
      <c r="F38" s="3104" t="s">
        <v>2478</v>
      </c>
      <c r="G38" s="3104"/>
    </row>
    <row r="39" spans="1:7" ht="19.5" customHeight="1" thickBot="1">
      <c r="A39" s="3770"/>
      <c r="B39" s="3767"/>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2" t="s">
        <v>2613</v>
      </c>
      <c r="B41" s="3765" t="s">
        <v>2637</v>
      </c>
      <c r="C41" s="3101" t="s">
        <v>2482</v>
      </c>
      <c r="D41" s="3102"/>
      <c r="E41" s="3103">
        <v>1</v>
      </c>
      <c r="F41" s="3104" t="s">
        <v>2483</v>
      </c>
      <c r="G41" s="3104"/>
    </row>
    <row r="42" spans="1:7" ht="19.5" customHeight="1">
      <c r="A42" s="3773"/>
      <c r="B42" s="3766"/>
      <c r="C42" s="3105" t="s">
        <v>2484</v>
      </c>
      <c r="D42" s="3106"/>
      <c r="E42" s="3107">
        <v>1</v>
      </c>
      <c r="F42" s="3104" t="s">
        <v>2485</v>
      </c>
      <c r="G42" s="3104"/>
    </row>
    <row r="43" spans="1:7" ht="19.5" customHeight="1">
      <c r="A43" s="3773"/>
      <c r="B43" s="3775"/>
      <c r="C43" s="3105" t="s">
        <v>2486</v>
      </c>
      <c r="D43" s="3106"/>
      <c r="E43" s="3107">
        <v>1.5</v>
      </c>
      <c r="F43" s="3104" t="s">
        <v>2487</v>
      </c>
      <c r="G43" s="3104"/>
    </row>
    <row r="44" spans="1:7" ht="19.5" customHeight="1">
      <c r="A44" s="3773"/>
      <c r="B44" s="3116" t="s">
        <v>2638</v>
      </c>
      <c r="C44" s="3105" t="s">
        <v>2639</v>
      </c>
      <c r="D44" s="3106"/>
      <c r="E44" s="3107">
        <v>2</v>
      </c>
      <c r="F44" s="3104" t="s">
        <v>2488</v>
      </c>
      <c r="G44" s="3104"/>
    </row>
    <row r="45" spans="1:7" ht="19.5" customHeight="1">
      <c r="A45" s="3773"/>
      <c r="B45" s="3771" t="s">
        <v>2640</v>
      </c>
      <c r="C45" s="3105" t="s">
        <v>2489</v>
      </c>
      <c r="D45" s="3106"/>
      <c r="E45" s="3107">
        <v>1</v>
      </c>
      <c r="F45" s="3104" t="s">
        <v>2490</v>
      </c>
      <c r="G45" s="3104"/>
    </row>
    <row r="46" spans="1:7" ht="19.5" customHeight="1">
      <c r="A46" s="3773"/>
      <c r="B46" s="3766"/>
      <c r="C46" s="3105" t="s">
        <v>2491</v>
      </c>
      <c r="D46" s="3106"/>
      <c r="E46" s="3107">
        <v>1</v>
      </c>
      <c r="F46" s="3104" t="s">
        <v>2492</v>
      </c>
      <c r="G46" s="3104"/>
    </row>
    <row r="47" spans="1:7" ht="19.5" customHeight="1">
      <c r="A47" s="3773"/>
      <c r="B47" s="3766"/>
      <c r="C47" s="3105" t="s">
        <v>2493</v>
      </c>
      <c r="D47" s="3106"/>
      <c r="E47" s="3107">
        <v>1</v>
      </c>
      <c r="F47" s="3104" t="s">
        <v>2494</v>
      </c>
      <c r="G47" s="3104"/>
    </row>
    <row r="48" spans="1:7" ht="19.5" customHeight="1">
      <c r="A48" s="3773"/>
      <c r="B48" s="3766"/>
      <c r="C48" s="3105" t="s">
        <v>2495</v>
      </c>
      <c r="D48" s="3106"/>
      <c r="E48" s="3107">
        <v>1</v>
      </c>
      <c r="F48" s="3104" t="s">
        <v>2496</v>
      </c>
      <c r="G48" s="3104"/>
    </row>
    <row r="49" spans="1:7" ht="19.5" customHeight="1">
      <c r="A49" s="3773"/>
      <c r="B49" s="3766"/>
      <c r="C49" s="3105" t="s">
        <v>2497</v>
      </c>
      <c r="D49" s="3106"/>
      <c r="E49" s="3107">
        <v>1</v>
      </c>
      <c r="F49" s="3104" t="s">
        <v>2498</v>
      </c>
      <c r="G49" s="3104"/>
    </row>
    <row r="50" spans="1:7" ht="19.5" customHeight="1">
      <c r="A50" s="3773"/>
      <c r="B50" s="3766"/>
      <c r="C50" s="3105" t="s">
        <v>2499</v>
      </c>
      <c r="D50" s="3106"/>
      <c r="E50" s="3107">
        <v>1</v>
      </c>
      <c r="F50" s="3104" t="s">
        <v>2500</v>
      </c>
      <c r="G50" s="3104"/>
    </row>
    <row r="51" spans="1:7" ht="19.5" customHeight="1" thickBot="1">
      <c r="A51" s="3774"/>
      <c r="B51" s="3767"/>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71" t="s">
        <v>2654</v>
      </c>
      <c r="C73" s="3090" t="s">
        <v>2655</v>
      </c>
      <c r="D73" s="3090" t="s">
        <v>2656</v>
      </c>
      <c r="E73" s="3116">
        <v>0.2</v>
      </c>
      <c r="F73" s="3116">
        <v>25</v>
      </c>
    </row>
    <row r="74" spans="1:7" ht="24">
      <c r="A74" s="3116">
        <v>2</v>
      </c>
      <c r="B74" s="3766"/>
      <c r="C74" s="3090" t="s">
        <v>2657</v>
      </c>
      <c r="D74" s="3090" t="s">
        <v>2658</v>
      </c>
      <c r="E74" s="3116">
        <v>0.2</v>
      </c>
      <c r="F74" s="3116">
        <v>25</v>
      </c>
    </row>
    <row r="75" spans="1:7" ht="24">
      <c r="A75" s="3116">
        <v>3</v>
      </c>
      <c r="B75" s="3766"/>
      <c r="C75" s="3090" t="s">
        <v>2659</v>
      </c>
      <c r="D75" s="3090" t="s">
        <v>2660</v>
      </c>
      <c r="E75" s="3116">
        <v>0.2</v>
      </c>
      <c r="F75" s="3116">
        <v>25</v>
      </c>
    </row>
    <row r="76" spans="1:7" ht="13.5">
      <c r="A76" s="3116">
        <v>4</v>
      </c>
      <c r="B76" s="3766"/>
      <c r="C76" s="3090" t="s">
        <v>2661</v>
      </c>
      <c r="D76" s="3090" t="s">
        <v>2662</v>
      </c>
      <c r="E76" s="3116">
        <v>0.15</v>
      </c>
      <c r="F76" s="3116">
        <v>20</v>
      </c>
    </row>
    <row r="77" spans="1:7" ht="24">
      <c r="A77" s="3116">
        <v>5</v>
      </c>
      <c r="B77" s="3766"/>
      <c r="C77" s="3090" t="s">
        <v>2663</v>
      </c>
      <c r="D77" s="3090" t="s">
        <v>2664</v>
      </c>
      <c r="E77" s="3116">
        <v>0.15</v>
      </c>
      <c r="F77" s="3116">
        <v>20</v>
      </c>
    </row>
    <row r="78" spans="1:7" ht="24">
      <c r="A78" s="3116">
        <v>6</v>
      </c>
      <c r="B78" s="3766"/>
      <c r="C78" s="3090" t="s">
        <v>2665</v>
      </c>
      <c r="D78" s="3090" t="s">
        <v>2666</v>
      </c>
      <c r="E78" s="3116">
        <v>0.15</v>
      </c>
      <c r="F78" s="3116">
        <v>20</v>
      </c>
    </row>
    <row r="79" spans="1:7" ht="24">
      <c r="A79" s="3116">
        <v>7</v>
      </c>
      <c r="B79" s="3766"/>
      <c r="C79" s="3090" t="s">
        <v>2667</v>
      </c>
      <c r="D79" s="3090" t="s">
        <v>2668</v>
      </c>
      <c r="E79" s="3116">
        <v>0.15</v>
      </c>
      <c r="F79" s="3116">
        <v>20</v>
      </c>
    </row>
    <row r="80" spans="1:7" ht="24">
      <c r="A80" s="3116">
        <v>8</v>
      </c>
      <c r="B80" s="3766"/>
      <c r="C80" s="3090" t="s">
        <v>2669</v>
      </c>
      <c r="D80" s="3090" t="s">
        <v>2670</v>
      </c>
      <c r="E80" s="3116">
        <v>0.1</v>
      </c>
      <c r="F80" s="3116">
        <v>15</v>
      </c>
    </row>
    <row r="81" spans="1:6" ht="24">
      <c r="A81" s="3116">
        <v>9</v>
      </c>
      <c r="B81" s="3766"/>
      <c r="C81" s="3090" t="s">
        <v>2671</v>
      </c>
      <c r="D81" s="3090" t="s">
        <v>2672</v>
      </c>
      <c r="E81" s="3116">
        <v>0.1</v>
      </c>
      <c r="F81" s="3116">
        <v>15</v>
      </c>
    </row>
    <row r="82" spans="1:6" ht="24">
      <c r="A82" s="3116">
        <v>10</v>
      </c>
      <c r="B82" s="3766"/>
      <c r="C82" s="3090" t="s">
        <v>2673</v>
      </c>
      <c r="D82" s="3090" t="s">
        <v>2674</v>
      </c>
      <c r="E82" s="3116">
        <v>0.1</v>
      </c>
      <c r="F82" s="3116">
        <v>15</v>
      </c>
    </row>
    <row r="83" spans="1:6" ht="24">
      <c r="A83" s="3116">
        <v>11</v>
      </c>
      <c r="B83" s="3766"/>
      <c r="C83" s="3090" t="s">
        <v>2675</v>
      </c>
      <c r="D83" s="3090" t="s">
        <v>2676</v>
      </c>
      <c r="E83" s="3116">
        <v>0.1</v>
      </c>
      <c r="F83" s="3116">
        <v>15</v>
      </c>
    </row>
    <row r="84" spans="1:6" ht="24">
      <c r="A84" s="3116">
        <v>12</v>
      </c>
      <c r="B84" s="3766"/>
      <c r="C84" s="3090" t="s">
        <v>2677</v>
      </c>
      <c r="D84" s="3090" t="s">
        <v>2678</v>
      </c>
      <c r="E84" s="3116">
        <v>0.1</v>
      </c>
      <c r="F84" s="3116">
        <v>15</v>
      </c>
    </row>
    <row r="85" spans="1:6" ht="13.5">
      <c r="A85" s="3116">
        <v>13</v>
      </c>
      <c r="B85" s="3766"/>
      <c r="C85" s="3090" t="s">
        <v>2679</v>
      </c>
      <c r="D85" s="3090" t="s">
        <v>2680</v>
      </c>
      <c r="E85" s="3116">
        <v>0.1</v>
      </c>
      <c r="F85" s="3116">
        <v>15</v>
      </c>
    </row>
    <row r="86" spans="1:6" ht="13.5">
      <c r="A86" s="3116">
        <v>14</v>
      </c>
      <c r="B86" s="3766"/>
      <c r="C86" s="3090" t="s">
        <v>2681</v>
      </c>
      <c r="D86" s="3090" t="s">
        <v>2682</v>
      </c>
      <c r="E86" s="3116">
        <v>0.1</v>
      </c>
      <c r="F86" s="3116">
        <v>15</v>
      </c>
    </row>
    <row r="87" spans="1:6" ht="13.5">
      <c r="A87" s="3116">
        <v>15</v>
      </c>
      <c r="B87" s="3766"/>
      <c r="C87" s="3090" t="s">
        <v>2683</v>
      </c>
      <c r="D87" s="3090" t="s">
        <v>2684</v>
      </c>
      <c r="E87" s="3116">
        <v>0.1</v>
      </c>
      <c r="F87" s="3116">
        <v>15</v>
      </c>
    </row>
    <row r="88" spans="1:6" ht="24">
      <c r="A88" s="3116">
        <v>16</v>
      </c>
      <c r="B88" s="3766"/>
      <c r="C88" s="3090" t="s">
        <v>2685</v>
      </c>
      <c r="D88" s="3090" t="s">
        <v>2686</v>
      </c>
      <c r="E88" s="3116">
        <v>0.1</v>
      </c>
      <c r="F88" s="3116">
        <v>15</v>
      </c>
    </row>
    <row r="89" spans="1:6" ht="24">
      <c r="A89" s="3116">
        <v>17</v>
      </c>
      <c r="B89" s="3775"/>
      <c r="C89" s="3090" t="s">
        <v>2687</v>
      </c>
      <c r="D89" s="3090" t="s">
        <v>2688</v>
      </c>
      <c r="E89" s="3116">
        <v>0.1</v>
      </c>
      <c r="F89" s="3116">
        <v>15</v>
      </c>
    </row>
    <row r="90" spans="1:6" ht="13.5">
      <c r="A90" s="3116">
        <v>18</v>
      </c>
      <c r="B90" s="3771" t="s">
        <v>2689</v>
      </c>
      <c r="C90" s="3090" t="s">
        <v>2690</v>
      </c>
      <c r="D90" s="3090" t="s">
        <v>2691</v>
      </c>
      <c r="E90" s="3116">
        <v>0.2</v>
      </c>
      <c r="F90" s="3116">
        <v>25</v>
      </c>
    </row>
    <row r="91" spans="1:6" ht="24">
      <c r="A91" s="3116">
        <v>19</v>
      </c>
      <c r="B91" s="3766"/>
      <c r="C91" s="3090" t="s">
        <v>2692</v>
      </c>
      <c r="D91" s="3090" t="s">
        <v>2693</v>
      </c>
      <c r="E91" s="3116">
        <v>0.2</v>
      </c>
      <c r="F91" s="3116">
        <v>25</v>
      </c>
    </row>
    <row r="92" spans="1:6" ht="13.5">
      <c r="A92" s="3116">
        <v>20</v>
      </c>
      <c r="B92" s="3766"/>
      <c r="C92" s="3090" t="s">
        <v>2694</v>
      </c>
      <c r="D92" s="3090" t="s">
        <v>2695</v>
      </c>
      <c r="E92" s="3116">
        <v>0.15</v>
      </c>
      <c r="F92" s="3116">
        <v>20</v>
      </c>
    </row>
    <row r="93" spans="1:6" ht="13.5">
      <c r="A93" s="3116">
        <v>21</v>
      </c>
      <c r="B93" s="3766"/>
      <c r="C93" s="3090" t="s">
        <v>2696</v>
      </c>
      <c r="D93" s="3090" t="s">
        <v>2697</v>
      </c>
      <c r="E93" s="3116">
        <v>0.15</v>
      </c>
      <c r="F93" s="3116">
        <v>20</v>
      </c>
    </row>
    <row r="94" spans="1:6" ht="13.5">
      <c r="A94" s="3116">
        <v>22</v>
      </c>
      <c r="B94" s="3766"/>
      <c r="C94" s="3090" t="s">
        <v>2698</v>
      </c>
      <c r="D94" s="3090" t="s">
        <v>2699</v>
      </c>
      <c r="E94" s="3116">
        <v>0.15</v>
      </c>
      <c r="F94" s="3116">
        <v>20</v>
      </c>
    </row>
    <row r="95" spans="1:6" ht="36">
      <c r="A95" s="3116">
        <v>23</v>
      </c>
      <c r="B95" s="3766"/>
      <c r="C95" s="3090" t="s">
        <v>2700</v>
      </c>
      <c r="D95" s="3090" t="s">
        <v>2701</v>
      </c>
      <c r="E95" s="3116">
        <v>0.15</v>
      </c>
      <c r="F95" s="3116">
        <v>20</v>
      </c>
    </row>
    <row r="96" spans="1:6" ht="13.5">
      <c r="A96" s="3116">
        <v>24</v>
      </c>
      <c r="B96" s="3766"/>
      <c r="C96" s="3090" t="s">
        <v>2702</v>
      </c>
      <c r="D96" s="3090" t="s">
        <v>2703</v>
      </c>
      <c r="E96" s="3116">
        <v>0.1</v>
      </c>
      <c r="F96" s="3116">
        <v>15</v>
      </c>
    </row>
    <row r="97" spans="1:6" ht="13.5">
      <c r="A97" s="3116">
        <v>25</v>
      </c>
      <c r="B97" s="3766"/>
      <c r="C97" s="3090" t="s">
        <v>2704</v>
      </c>
      <c r="D97" s="3090" t="s">
        <v>2705</v>
      </c>
      <c r="E97" s="3116">
        <v>0.1</v>
      </c>
      <c r="F97" s="3116">
        <v>15</v>
      </c>
    </row>
    <row r="98" spans="1:6" ht="24">
      <c r="A98" s="3116">
        <v>26</v>
      </c>
      <c r="B98" s="3766"/>
      <c r="C98" s="3090" t="s">
        <v>2706</v>
      </c>
      <c r="D98" s="3090" t="s">
        <v>2707</v>
      </c>
      <c r="E98" s="3116">
        <v>0.1</v>
      </c>
      <c r="F98" s="3116">
        <v>15</v>
      </c>
    </row>
    <row r="99" spans="1:6" ht="24">
      <c r="A99" s="3116">
        <v>27</v>
      </c>
      <c r="B99" s="3766"/>
      <c r="C99" s="3090" t="s">
        <v>2708</v>
      </c>
      <c r="D99" s="3090" t="s">
        <v>2709</v>
      </c>
      <c r="E99" s="3116">
        <v>0.1</v>
      </c>
      <c r="F99" s="3116">
        <v>15</v>
      </c>
    </row>
    <row r="100" spans="1:6" ht="13.5">
      <c r="A100" s="3116">
        <v>28</v>
      </c>
      <c r="B100" s="3766"/>
      <c r="C100" s="3090" t="s">
        <v>2710</v>
      </c>
      <c r="D100" s="3090" t="s">
        <v>2711</v>
      </c>
      <c r="E100" s="3116">
        <v>0.1</v>
      </c>
      <c r="F100" s="3116">
        <v>15</v>
      </c>
    </row>
    <row r="101" spans="1:6" ht="13.5">
      <c r="A101" s="3116">
        <v>29</v>
      </c>
      <c r="B101" s="3766"/>
      <c r="C101" s="3090" t="s">
        <v>2712</v>
      </c>
      <c r="D101" s="3090" t="s">
        <v>2713</v>
      </c>
      <c r="E101" s="3116">
        <v>0.1</v>
      </c>
      <c r="F101" s="3116">
        <v>15</v>
      </c>
    </row>
    <row r="102" spans="1:6" ht="13.5">
      <c r="A102" s="3116">
        <v>30</v>
      </c>
      <c r="B102" s="3766"/>
      <c r="C102" s="3090" t="s">
        <v>2714</v>
      </c>
      <c r="D102" s="3090" t="s">
        <v>2715</v>
      </c>
      <c r="E102" s="3116">
        <v>0.1</v>
      </c>
      <c r="F102" s="3116">
        <v>15</v>
      </c>
    </row>
    <row r="103" spans="1:6" ht="24">
      <c r="A103" s="3116">
        <v>31</v>
      </c>
      <c r="B103" s="3766"/>
      <c r="C103" s="3090" t="s">
        <v>2716</v>
      </c>
      <c r="D103" s="3090" t="s">
        <v>2717</v>
      </c>
      <c r="E103" s="3116">
        <v>0.1</v>
      </c>
      <c r="F103" s="3116">
        <v>15</v>
      </c>
    </row>
    <row r="104" spans="1:6" ht="24">
      <c r="A104" s="3116">
        <v>32</v>
      </c>
      <c r="B104" s="3766"/>
      <c r="C104" s="3090" t="s">
        <v>2718</v>
      </c>
      <c r="D104" s="3090" t="s">
        <v>2719</v>
      </c>
      <c r="E104" s="3116">
        <v>0.1</v>
      </c>
      <c r="F104" s="3116">
        <v>15</v>
      </c>
    </row>
    <row r="105" spans="1:6" ht="24">
      <c r="A105" s="3116">
        <v>33</v>
      </c>
      <c r="B105" s="3766"/>
      <c r="C105" s="3090" t="s">
        <v>2720</v>
      </c>
      <c r="D105" s="3090" t="s">
        <v>2721</v>
      </c>
      <c r="E105" s="3116">
        <v>0.1</v>
      </c>
      <c r="F105" s="3116">
        <v>15</v>
      </c>
    </row>
    <row r="106" spans="1:6" ht="24">
      <c r="A106" s="3116">
        <v>34</v>
      </c>
      <c r="B106" s="3775"/>
      <c r="C106" s="3090" t="s">
        <v>2722</v>
      </c>
      <c r="D106" s="3090" t="s">
        <v>2723</v>
      </c>
      <c r="E106" s="3116">
        <v>0.1</v>
      </c>
      <c r="F106" s="3116">
        <v>15</v>
      </c>
    </row>
    <row r="107" spans="1:6" ht="24">
      <c r="A107" s="3116">
        <v>35</v>
      </c>
      <c r="B107" s="3771" t="s">
        <v>2724</v>
      </c>
      <c r="C107" s="3116" t="s">
        <v>2725</v>
      </c>
      <c r="D107" s="3090" t="s">
        <v>2726</v>
      </c>
      <c r="E107" s="3116">
        <v>0.15</v>
      </c>
      <c r="F107" s="3116">
        <v>20</v>
      </c>
    </row>
    <row r="108" spans="1:6" ht="13.5">
      <c r="A108" s="3116">
        <v>36</v>
      </c>
      <c r="B108" s="3766"/>
      <c r="C108" s="3116" t="s">
        <v>2727</v>
      </c>
      <c r="D108" s="3090" t="s">
        <v>2728</v>
      </c>
      <c r="E108" s="3116">
        <v>0.15</v>
      </c>
      <c r="F108" s="3116">
        <v>20</v>
      </c>
    </row>
    <row r="109" spans="1:6" ht="13.5">
      <c r="A109" s="3116">
        <v>37</v>
      </c>
      <c r="B109" s="3766"/>
      <c r="C109" s="3116" t="s">
        <v>2729</v>
      </c>
      <c r="D109" s="3090" t="s">
        <v>2730</v>
      </c>
      <c r="E109" s="3116">
        <v>0.15</v>
      </c>
      <c r="F109" s="3116">
        <v>20</v>
      </c>
    </row>
    <row r="110" spans="1:6" ht="13.5">
      <c r="A110" s="3116">
        <v>38</v>
      </c>
      <c r="B110" s="3766"/>
      <c r="C110" s="3116" t="s">
        <v>2731</v>
      </c>
      <c r="D110" s="3090" t="s">
        <v>2732</v>
      </c>
      <c r="E110" s="3116">
        <v>0.1</v>
      </c>
      <c r="F110" s="3116">
        <v>15</v>
      </c>
    </row>
    <row r="111" spans="1:6" ht="24">
      <c r="A111" s="3116">
        <v>39</v>
      </c>
      <c r="B111" s="3766"/>
      <c r="C111" s="3116" t="s">
        <v>2733</v>
      </c>
      <c r="D111" s="3090" t="s">
        <v>2734</v>
      </c>
      <c r="E111" s="3116">
        <v>0.1</v>
      </c>
      <c r="F111" s="3116">
        <v>15</v>
      </c>
    </row>
    <row r="112" spans="1:6" ht="24">
      <c r="A112" s="3116">
        <v>40</v>
      </c>
      <c r="B112" s="3775"/>
      <c r="C112" s="3116" t="s">
        <v>2735</v>
      </c>
      <c r="D112" s="3090" t="s">
        <v>2736</v>
      </c>
      <c r="E112" s="3116">
        <v>0.1</v>
      </c>
      <c r="F112" s="3116">
        <v>15</v>
      </c>
    </row>
    <row r="113" spans="1:6" ht="13.5">
      <c r="A113" s="3116">
        <v>41</v>
      </c>
      <c r="B113" s="3776" t="s">
        <v>2737</v>
      </c>
      <c r="C113" s="3116" t="s">
        <v>2738</v>
      </c>
      <c r="D113" s="3090" t="s">
        <v>2739</v>
      </c>
      <c r="E113" s="3116">
        <v>0.1</v>
      </c>
      <c r="F113" s="3116">
        <v>15</v>
      </c>
    </row>
    <row r="114" spans="1:6" ht="13.5">
      <c r="A114" s="3116">
        <v>42</v>
      </c>
      <c r="B114" s="3776"/>
      <c r="C114" s="3116" t="s">
        <v>2740</v>
      </c>
      <c r="D114" s="3090" t="s">
        <v>2741</v>
      </c>
      <c r="E114" s="3116">
        <v>0.1</v>
      </c>
      <c r="F114" s="3116">
        <v>15</v>
      </c>
    </row>
    <row r="115" spans="1:6" ht="24">
      <c r="A115" s="3116">
        <v>43</v>
      </c>
      <c r="B115" s="3776"/>
      <c r="C115" s="3116" t="s">
        <v>2742</v>
      </c>
      <c r="D115" s="3090" t="s">
        <v>2743</v>
      </c>
      <c r="E115" s="3116">
        <v>0.1</v>
      </c>
      <c r="F115" s="3116">
        <v>15</v>
      </c>
    </row>
    <row r="116" spans="1:6" ht="13.5">
      <c r="A116" s="3116">
        <v>44</v>
      </c>
      <c r="B116" s="3771" t="s">
        <v>2744</v>
      </c>
      <c r="C116" s="3116" t="s">
        <v>2745</v>
      </c>
      <c r="D116" s="3090" t="s">
        <v>2746</v>
      </c>
      <c r="E116" s="3116">
        <v>0.1</v>
      </c>
      <c r="F116" s="3116">
        <v>15</v>
      </c>
    </row>
    <row r="117" spans="1:6" ht="24">
      <c r="A117" s="3116">
        <v>45</v>
      </c>
      <c r="B117" s="3775"/>
      <c r="C117" s="3090" t="s">
        <v>2747</v>
      </c>
      <c r="D117" s="3090" t="s">
        <v>2748</v>
      </c>
      <c r="E117" s="3116">
        <v>0.1</v>
      </c>
      <c r="F117" s="3116">
        <v>15</v>
      </c>
    </row>
    <row r="118" spans="1:6" ht="24">
      <c r="A118" s="3116">
        <v>46</v>
      </c>
      <c r="B118" s="3771" t="s">
        <v>2749</v>
      </c>
      <c r="C118" s="3116" t="s">
        <v>2750</v>
      </c>
      <c r="D118" s="3090" t="s">
        <v>2751</v>
      </c>
      <c r="E118" s="3116">
        <v>0.1</v>
      </c>
      <c r="F118" s="3116">
        <v>15</v>
      </c>
    </row>
    <row r="119" spans="1:6" ht="24">
      <c r="A119" s="3116">
        <v>47</v>
      </c>
      <c r="B119" s="3775"/>
      <c r="C119" s="3116" t="s">
        <v>2752</v>
      </c>
      <c r="D119" s="3090" t="s">
        <v>2753</v>
      </c>
      <c r="E119" s="3116">
        <v>0.1</v>
      </c>
      <c r="F119" s="3116">
        <v>15</v>
      </c>
    </row>
    <row r="120" spans="1:6" ht="13.5">
      <c r="A120" s="3116">
        <v>48</v>
      </c>
      <c r="B120" s="3771" t="s">
        <v>2754</v>
      </c>
      <c r="C120" s="3116" t="s">
        <v>2755</v>
      </c>
      <c r="D120" s="3090" t="s">
        <v>2756</v>
      </c>
      <c r="E120" s="3116">
        <v>0.1</v>
      </c>
      <c r="F120" s="3116">
        <v>15</v>
      </c>
    </row>
    <row r="121" spans="1:6" ht="13.5">
      <c r="A121" s="3116">
        <v>49</v>
      </c>
      <c r="B121" s="3775"/>
      <c r="C121" s="3116" t="s">
        <v>2757</v>
      </c>
      <c r="D121" s="3090" t="s">
        <v>2758</v>
      </c>
      <c r="E121" s="3116">
        <v>0.1</v>
      </c>
      <c r="F121" s="3116">
        <v>15</v>
      </c>
    </row>
    <row r="122" spans="1:6" ht="24">
      <c r="A122" s="3116">
        <v>50</v>
      </c>
      <c r="B122" s="3776" t="s">
        <v>2759</v>
      </c>
      <c r="C122" s="3116" t="s">
        <v>2760</v>
      </c>
      <c r="D122" s="3090" t="s">
        <v>2761</v>
      </c>
      <c r="E122" s="3116">
        <v>0.1</v>
      </c>
      <c r="F122" s="3116">
        <v>15</v>
      </c>
    </row>
    <row r="123" spans="1:6" ht="24">
      <c r="A123" s="3116">
        <v>51</v>
      </c>
      <c r="B123" s="3776"/>
      <c r="C123" s="3116" t="s">
        <v>2762</v>
      </c>
      <c r="D123" s="3090" t="s">
        <v>2763</v>
      </c>
      <c r="E123" s="3116">
        <v>0.1</v>
      </c>
      <c r="F123" s="3116">
        <v>15</v>
      </c>
    </row>
    <row r="124" spans="1:6" ht="24">
      <c r="A124" s="3116">
        <v>52</v>
      </c>
      <c r="B124" s="3776" t="s">
        <v>2764</v>
      </c>
      <c r="C124" s="3116" t="s">
        <v>2765</v>
      </c>
      <c r="D124" s="3090" t="s">
        <v>2766</v>
      </c>
      <c r="E124" s="3116">
        <v>0.1</v>
      </c>
      <c r="F124" s="3116">
        <v>15</v>
      </c>
    </row>
    <row r="125" spans="1:6" ht="24">
      <c r="A125" s="3116">
        <v>53</v>
      </c>
      <c r="B125" s="3776"/>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6" t="s">
        <v>2772</v>
      </c>
      <c r="C127" s="3116" t="s">
        <v>2773</v>
      </c>
      <c r="D127" s="3090" t="s">
        <v>2774</v>
      </c>
      <c r="E127" s="3116">
        <v>0.1</v>
      </c>
      <c r="F127" s="3116">
        <v>15</v>
      </c>
    </row>
    <row r="128" spans="1:6" ht="13.5">
      <c r="A128" s="3116">
        <v>56</v>
      </c>
      <c r="B128" s="3776"/>
      <c r="C128" s="3116" t="s">
        <v>2775</v>
      </c>
      <c r="D128" s="3090" t="s">
        <v>2776</v>
      </c>
      <c r="E128" s="3116">
        <v>0.1</v>
      </c>
      <c r="F128" s="3116">
        <v>15</v>
      </c>
    </row>
    <row r="129" spans="1:6" ht="24">
      <c r="A129" s="3116">
        <v>57</v>
      </c>
      <c r="B129" s="3776"/>
      <c r="C129" s="3116" t="s">
        <v>2777</v>
      </c>
      <c r="D129" s="3090" t="s">
        <v>2778</v>
      </c>
      <c r="E129" s="3116">
        <v>0.1</v>
      </c>
      <c r="F129" s="3116">
        <v>15</v>
      </c>
    </row>
    <row r="130" spans="1:6" ht="24">
      <c r="A130" s="3116">
        <v>58</v>
      </c>
      <c r="B130" s="3776" t="s">
        <v>2779</v>
      </c>
      <c r="C130" s="3116" t="s">
        <v>2780</v>
      </c>
      <c r="D130" s="3090" t="s">
        <v>2781</v>
      </c>
      <c r="E130" s="3116">
        <v>0.1</v>
      </c>
      <c r="F130" s="3116">
        <v>15</v>
      </c>
    </row>
    <row r="131" spans="1:6" ht="13.5">
      <c r="A131" s="3116">
        <v>59</v>
      </c>
      <c r="B131" s="3776"/>
      <c r="C131" s="3116" t="s">
        <v>2782</v>
      </c>
      <c r="D131" s="3090" t="s">
        <v>2783</v>
      </c>
      <c r="E131" s="3116">
        <v>0.1</v>
      </c>
      <c r="F131" s="3116">
        <v>15</v>
      </c>
    </row>
    <row r="132" spans="1:6" ht="13.5">
      <c r="A132" s="3116">
        <v>60</v>
      </c>
      <c r="B132" s="3771" t="s">
        <v>2784</v>
      </c>
      <c r="C132" s="3116" t="s">
        <v>2785</v>
      </c>
      <c r="D132" s="3090" t="s">
        <v>2786</v>
      </c>
      <c r="E132" s="3116">
        <v>0.1</v>
      </c>
      <c r="F132" s="3116">
        <v>15</v>
      </c>
    </row>
    <row r="133" spans="1:6" ht="13.5">
      <c r="A133" s="3116">
        <v>61</v>
      </c>
      <c r="B133" s="3775"/>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6" t="s">
        <v>2792</v>
      </c>
      <c r="C135" s="3116" t="s">
        <v>2793</v>
      </c>
      <c r="D135" s="3090" t="s">
        <v>2794</v>
      </c>
      <c r="E135" s="3116">
        <v>0.1</v>
      </c>
      <c r="F135" s="3116">
        <v>15</v>
      </c>
    </row>
    <row r="136" spans="1:6" ht="13.5">
      <c r="A136" s="3116">
        <v>64</v>
      </c>
      <c r="B136" s="3776"/>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2"/>
      <c r="B4" s="3462" t="s">
        <v>917</v>
      </c>
      <c r="C4" s="3462"/>
      <c r="D4" s="3462"/>
      <c r="E4" s="1492"/>
    </row>
    <row r="5" spans="1:5" ht="16.5" thickTop="1">
      <c r="A5" s="1490"/>
      <c r="B5" s="3460" t="s">
        <v>909</v>
      </c>
      <c r="C5" s="1493" t="s">
        <v>910</v>
      </c>
      <c r="D5" s="849">
        <f ca="1">结果表!H101</f>
        <v>52822</v>
      </c>
      <c r="E5" s="1490"/>
    </row>
    <row r="6" spans="1:5" ht="15.75">
      <c r="A6" s="1490"/>
      <c r="B6" s="3460"/>
      <c r="C6" s="1493" t="s">
        <v>911</v>
      </c>
      <c r="D6" s="849" t="str">
        <f ca="1">NUMBERSTRING(INT(D5*10000),2)&amp;"元整"</f>
        <v>伍亿贰仟捌佰贰拾贰万元整</v>
      </c>
      <c r="E6" s="1490"/>
    </row>
    <row r="7" spans="1:5" ht="15.75">
      <c r="A7" s="1490"/>
      <c r="B7" s="3465"/>
      <c r="C7" s="1494" t="s">
        <v>912</v>
      </c>
      <c r="D7" s="850">
        <f ca="1">结果表!H102</f>
        <v>5850</v>
      </c>
      <c r="E7" s="1490"/>
    </row>
    <row r="8" spans="1:5" ht="15.75">
      <c r="A8" s="1490"/>
      <c r="B8" s="3466" t="str">
        <f>结果表!E103</f>
        <v>2.估价师知悉的法定优先受偿款</v>
      </c>
      <c r="C8" s="1495" t="s">
        <v>913</v>
      </c>
      <c r="D8" s="850">
        <f>结果表!H103</f>
        <v>0</v>
      </c>
      <c r="E8" s="1490"/>
    </row>
    <row r="9" spans="1:5" ht="15.75">
      <c r="A9" s="1490"/>
      <c r="B9" s="3468"/>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9" t="str">
        <f>结果表!E107</f>
        <v>3.房地产抵押价值</v>
      </c>
      <c r="C13" s="1498" t="s">
        <v>910</v>
      </c>
      <c r="D13" s="852">
        <f ca="1">结果表!H107</f>
        <v>52822</v>
      </c>
      <c r="E13" s="1490"/>
    </row>
    <row r="14" spans="1:5" ht="15.75">
      <c r="A14" s="1490"/>
      <c r="B14" s="3460"/>
      <c r="C14" s="1493" t="s">
        <v>911</v>
      </c>
      <c r="D14" s="849" t="str">
        <f ca="1">NUMBERSTRING(INT(D13*10000),2)&amp;"元整"</f>
        <v>伍亿贰仟捌佰贰拾贰万元整</v>
      </c>
      <c r="E14" s="1490"/>
    </row>
    <row r="15" spans="1:5" ht="15">
      <c r="A15" s="1490"/>
      <c r="B15" s="3465"/>
      <c r="C15" s="1494" t="s">
        <v>921</v>
      </c>
      <c r="D15" s="858">
        <f ca="1">结果表!H108</f>
        <v>5850</v>
      </c>
      <c r="E15" s="1490"/>
    </row>
    <row r="16" spans="1:5" ht="15">
      <c r="A16" s="1490"/>
      <c r="B16" s="3466" t="str">
        <f>结果表!E109</f>
        <v>——</v>
      </c>
      <c r="C16" s="1498" t="s">
        <v>922</v>
      </c>
      <c r="D16" s="1499" t="str">
        <f>结果表!H109</f>
        <v>——</v>
      </c>
      <c r="E16" s="1490"/>
    </row>
    <row r="17" spans="1:5" ht="15.75">
      <c r="A17" s="1490"/>
      <c r="B17" s="3467"/>
      <c r="C17" s="1493" t="s">
        <v>923</v>
      </c>
      <c r="D17" s="849" t="e">
        <f>NUMBERSTRING(INT(D16*10000),2)&amp;"元整"</f>
        <v>#VALUE!</v>
      </c>
      <c r="E17" s="1490"/>
    </row>
    <row r="18" spans="1:5" ht="15">
      <c r="A18" s="1490"/>
      <c r="B18" s="3468"/>
      <c r="C18" s="1494" t="s">
        <v>912</v>
      </c>
      <c r="D18" s="858" t="str">
        <f>结果表!H110</f>
        <v>——</v>
      </c>
      <c r="E18" s="1490"/>
    </row>
    <row r="19" spans="1:5" ht="15.75">
      <c r="A19" s="1490"/>
      <c r="B19" s="3459" t="str">
        <f>结果表!E111</f>
        <v>4.抵押净值</v>
      </c>
      <c r="C19" s="1498" t="s">
        <v>910</v>
      </c>
      <c r="D19" s="850">
        <f ca="1">结果表!H111</f>
        <v>22396</v>
      </c>
      <c r="E19" s="1490"/>
    </row>
    <row r="20" spans="1:5" ht="15.75">
      <c r="A20" s="1490"/>
      <c r="B20" s="3460"/>
      <c r="C20" s="1493" t="s">
        <v>923</v>
      </c>
      <c r="D20" s="849" t="str">
        <f ca="1">NUMBERSTRING(INT(D19*10000),2)&amp;"元整"</f>
        <v>贰亿贰仟叁佰玖拾陆万元整</v>
      </c>
      <c r="E20" s="1490"/>
    </row>
    <row r="21" spans="1:5" ht="15.75" thickBot="1">
      <c r="A21" s="1490"/>
      <c r="B21" s="3461"/>
      <c r="C21" s="1500" t="s">
        <v>921</v>
      </c>
      <c r="D21" s="859">
        <f ca="1">结果表!H112</f>
        <v>2480</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2801</v>
      </c>
      <c r="B1" s="3125"/>
      <c r="C1" s="3125"/>
      <c r="D1" s="3125"/>
      <c r="E1" s="3125"/>
      <c r="F1" s="3125"/>
      <c r="G1" s="3125"/>
      <c r="H1" s="3125"/>
      <c r="I1" s="3125"/>
      <c r="J1" s="3125"/>
      <c r="K1" s="3125"/>
      <c r="L1" s="3125"/>
      <c r="M1" s="3125"/>
      <c r="N1" s="748"/>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9">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9">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73900</v>
      </c>
      <c r="C2" s="2" t="s">
        <v>106</v>
      </c>
      <c r="D2" s="199"/>
      <c r="E2" s="199"/>
      <c r="F2" s="199"/>
      <c r="G2" s="199"/>
    </row>
    <row r="3" spans="1:7" s="200" customFormat="1" ht="18" customHeight="1" thickBot="1">
      <c r="A3" s="203" t="s">
        <v>58</v>
      </c>
      <c r="B3" s="204">
        <f ca="1">ROUND(B2*10000/'数据-汇总表'!E3,0)</f>
        <v>8184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948</v>
      </c>
      <c r="D10" s="844">
        <f>'数据-汇总表'!E6</f>
        <v>90300.22</v>
      </c>
      <c r="E10" s="225">
        <f>'数据-取费表'!B28</f>
        <v>105</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1625</v>
      </c>
      <c r="D19" s="848">
        <f>'数据-汇总表'!E3</f>
        <v>90300.22</v>
      </c>
      <c r="E19" s="211">
        <f>'数据-取费表'!B31</f>
        <v>180</v>
      </c>
      <c r="F19" s="231"/>
      <c r="G19" s="1" t="s">
        <v>436</v>
      </c>
    </row>
    <row r="20" spans="1:7" s="214" customFormat="1" ht="13.5" customHeight="1">
      <c r="A20" s="776" t="s">
        <v>419</v>
      </c>
      <c r="B20" s="210" t="s">
        <v>77</v>
      </c>
      <c r="C20" s="232">
        <f>ROUND((C5+C19)*F20,0)</f>
        <v>445</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1576</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114</v>
      </c>
      <c r="D24" s="238"/>
      <c r="E24" s="238"/>
      <c r="F24" s="239"/>
      <c r="G24" s="240" t="s">
        <v>82</v>
      </c>
    </row>
    <row r="25" spans="1:7" s="214" customFormat="1" ht="24">
      <c r="A25" s="779" t="s">
        <v>348</v>
      </c>
      <c r="B25" s="215" t="s">
        <v>420</v>
      </c>
      <c r="C25" s="1104">
        <f ca="1">ROUND(IF('数据-取费表'!B22&lt;=1,C20*F22*'数据-取费表'!B23/2,C20*(POWER((1+F22),'数据-取费表'!B23/2)-1)),0)</f>
        <v>15</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2268</v>
      </c>
      <c r="D27" s="235">
        <f>C29</f>
        <v>2E-3</v>
      </c>
      <c r="E27" s="236" t="s">
        <v>99</v>
      </c>
      <c r="F27" s="246">
        <f>'数据-取费表'!Q16</f>
        <v>0.1</v>
      </c>
      <c r="G27" s="247" t="s">
        <v>431</v>
      </c>
    </row>
    <row r="28" spans="1:7" s="214" customFormat="1" ht="13.5" customHeight="1">
      <c r="A28" s="779" t="s">
        <v>349</v>
      </c>
      <c r="B28" s="248" t="s">
        <v>424</v>
      </c>
      <c r="C28" s="249">
        <f>ROUND((C5+C19+C20)*F27*'数据-取费表'!B21/'数据-取费表'!B20,0)</f>
        <v>2268</v>
      </c>
      <c r="D28" s="235"/>
      <c r="E28" s="236"/>
      <c r="F28" s="246"/>
      <c r="G28" s="247"/>
    </row>
    <row r="29" spans="1:7" s="214" customFormat="1" ht="13.5" customHeight="1">
      <c r="A29" s="779" t="s">
        <v>347</v>
      </c>
      <c r="B29" s="248" t="s">
        <v>425</v>
      </c>
      <c r="C29" s="238">
        <f>ROUND(C21*F27*'数据-取费表'!B21/'数据-取费表'!B20,4)</f>
        <v>2E-3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40093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36120</v>
      </c>
      <c r="D34" s="217"/>
      <c r="E34" s="220"/>
      <c r="F34" s="257">
        <f>IF('数据-取费表'!B24=0,1,'数据-取费表'!N16)</f>
        <v>1</v>
      </c>
      <c r="G34" s="219" t="s">
        <v>89</v>
      </c>
    </row>
    <row r="35" spans="1:7" ht="13.5" customHeight="1">
      <c r="A35" s="779" t="s">
        <v>351</v>
      </c>
      <c r="B35" s="215" t="s">
        <v>33</v>
      </c>
      <c r="C35" s="220">
        <f>ROUND(C34*F35,0)</f>
        <v>1806</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1625</v>
      </c>
      <c r="D37" s="217">
        <f>'数据-汇总表'!E3</f>
        <v>90300.22</v>
      </c>
      <c r="E37" s="249">
        <f>'数据-取费表'!B35</f>
        <v>180</v>
      </c>
      <c r="F37" s="259"/>
      <c r="G37" s="261" t="s">
        <v>92</v>
      </c>
    </row>
    <row r="38" spans="1:7" ht="13.5" customHeight="1">
      <c r="A38" s="779" t="s">
        <v>354</v>
      </c>
      <c r="B38" s="215" t="s">
        <v>36</v>
      </c>
      <c r="C38" s="220">
        <f>ROUND(C34*F38,0)</f>
        <v>542</v>
      </c>
      <c r="D38" s="220"/>
      <c r="E38" s="220"/>
      <c r="F38" s="259">
        <f>'数据-取费表'!B36</f>
        <v>1.4999999999999999E-2</v>
      </c>
      <c r="G38" s="219" t="s">
        <v>90</v>
      </c>
    </row>
    <row r="39" spans="1:7" s="214" customFormat="1" ht="13.5" customHeight="1">
      <c r="A39" s="776" t="s">
        <v>338</v>
      </c>
      <c r="B39" s="210" t="s">
        <v>77</v>
      </c>
      <c r="C39" s="232">
        <f>ROUND(C33*F20,0)</f>
        <v>802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1411</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1383</v>
      </c>
      <c r="D42" s="238"/>
      <c r="E42" s="238"/>
      <c r="F42" s="239"/>
      <c r="G42" s="3641" t="s">
        <v>94</v>
      </c>
    </row>
    <row r="43" spans="1:7" ht="13.5" customHeight="1">
      <c r="A43" s="779" t="s">
        <v>347</v>
      </c>
      <c r="B43" s="215" t="s">
        <v>426</v>
      </c>
      <c r="C43" s="238">
        <f ca="1">ROUND(IF('数据-取费表'!B22&lt;=1,C39*F22*'数据-取费表'!B21/2,C39*(POWER((1+F22),'数据-取费表'!B21/2)-1)),0)</f>
        <v>28</v>
      </c>
      <c r="D43" s="238"/>
      <c r="E43" s="238"/>
      <c r="F43" s="239"/>
      <c r="G43" s="3642"/>
    </row>
    <row r="44" spans="1:7" ht="13.5" customHeight="1">
      <c r="A44" s="779" t="s">
        <v>348</v>
      </c>
      <c r="B44" s="215" t="s">
        <v>428</v>
      </c>
      <c r="C44" s="238">
        <f ca="1">ROUND(IF('数据-取费表'!B22&lt;=1,C40*F22*'数据-取费表'!B21/2,C40*(POWER((1+F22),'数据-取费表'!B21/2)-1)),4)</f>
        <v>6.9999999999999999E-4</v>
      </c>
      <c r="D44" s="238"/>
      <c r="E44" s="238"/>
      <c r="F44" s="239"/>
      <c r="G44" s="3643"/>
    </row>
    <row r="45" spans="1:7" s="214" customFormat="1" ht="13.5" customHeight="1">
      <c r="A45" s="776" t="s">
        <v>341</v>
      </c>
      <c r="B45" s="244" t="s">
        <v>85</v>
      </c>
      <c r="C45" s="245">
        <f>C46</f>
        <v>4090</v>
      </c>
      <c r="D45" s="235">
        <f>C47</f>
        <v>2E-3</v>
      </c>
      <c r="E45" s="236" t="s">
        <v>102</v>
      </c>
      <c r="F45" s="246"/>
      <c r="G45" s="247" t="s">
        <v>434</v>
      </c>
    </row>
    <row r="46" spans="1:7" s="214" customFormat="1" ht="13.5" customHeight="1">
      <c r="A46" s="779" t="s">
        <v>349</v>
      </c>
      <c r="B46" s="248" t="s">
        <v>427</v>
      </c>
      <c r="C46" s="249">
        <f>ROUND((C33+C39)*F27,0)</f>
        <v>4090</v>
      </c>
      <c r="D46" s="263"/>
      <c r="E46" s="236"/>
      <c r="F46" s="246"/>
      <c r="G46" s="247"/>
    </row>
    <row r="47" spans="1:7" s="214" customFormat="1" ht="13.5" customHeight="1">
      <c r="A47" s="779" t="s">
        <v>347</v>
      </c>
      <c r="B47" s="248" t="s">
        <v>429</v>
      </c>
      <c r="C47" s="238">
        <f>ROUND(C40*F27,4)</f>
        <v>2E-3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50214</v>
      </c>
      <c r="D49" s="232"/>
      <c r="E49" s="232"/>
      <c r="F49" s="264"/>
      <c r="G49" s="234" t="s">
        <v>435</v>
      </c>
    </row>
    <row r="50" spans="1:7" s="258" customFormat="1" ht="24">
      <c r="A50" s="776" t="s">
        <v>344</v>
      </c>
      <c r="B50" s="210" t="s">
        <v>97</v>
      </c>
      <c r="C50" s="232"/>
      <c r="D50" s="232"/>
      <c r="E50" s="232"/>
      <c r="F50" s="264">
        <f>IF('数据-取费表'!B24=0,'数据-取费表'!N16,1)</f>
        <v>0.9</v>
      </c>
      <c r="G50" s="247" t="s">
        <v>98</v>
      </c>
    </row>
    <row r="51" spans="1:7" ht="16.5" customHeight="1">
      <c r="A51" s="776" t="s">
        <v>345</v>
      </c>
      <c r="B51" s="210" t="s">
        <v>105</v>
      </c>
      <c r="C51" s="232">
        <f ca="1">ROUND(C49*F50,0)</f>
        <v>45193</v>
      </c>
      <c r="D51" s="232"/>
      <c r="E51" s="232"/>
      <c r="F51" s="264"/>
      <c r="G51" s="234" t="s">
        <v>37</v>
      </c>
    </row>
    <row r="52" spans="1:7" s="208" customFormat="1" ht="16.5" thickBot="1">
      <c r="A52" s="265" t="s">
        <v>38</v>
      </c>
      <c r="B52" s="266"/>
      <c r="C52" s="267">
        <f ca="1">C31+C51</f>
        <v>73900</v>
      </c>
      <c r="D52" s="266"/>
      <c r="E52" s="266"/>
      <c r="F52" s="266"/>
      <c r="G52" s="268"/>
    </row>
    <row r="55" spans="1:7" ht="15">
      <c r="B55" s="270" t="s">
        <v>39</v>
      </c>
      <c r="C55" s="271"/>
    </row>
    <row r="56" spans="1:7">
      <c r="B56" s="273" t="s">
        <v>40</v>
      </c>
      <c r="C56" s="274">
        <f ca="1">ROUND(C51/C52,3)</f>
        <v>0.61199999999999999</v>
      </c>
    </row>
    <row r="57" spans="1:7">
      <c r="B57" s="273" t="s">
        <v>41</v>
      </c>
      <c r="C57" s="275">
        <f ca="1">1-C56</f>
        <v>0.38800000000000001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9" t="s">
        <v>2842</v>
      </c>
      <c r="B1" s="3779"/>
      <c r="C1" s="3779"/>
      <c r="D1" s="3779"/>
      <c r="E1" s="3779"/>
      <c r="F1" s="3779"/>
      <c r="G1" s="3780"/>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7"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8"/>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1" t="s">
        <v>3184</v>
      </c>
      <c r="B1" s="3781"/>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ht="15">
      <c r="A1" s="3782" t="s">
        <v>3235</v>
      </c>
      <c r="B1" s="3782"/>
      <c r="C1" s="3782"/>
      <c r="D1" s="3782"/>
      <c r="E1" s="3782"/>
      <c r="F1" s="3783"/>
    </row>
    <row r="2" spans="1:6" ht="15">
      <c r="A2" s="3289" t="s">
        <v>3236</v>
      </c>
      <c r="B2" s="3290"/>
      <c r="C2" s="3290"/>
      <c r="D2" s="3290"/>
      <c r="E2" s="3290"/>
      <c r="F2" s="3290"/>
    </row>
    <row r="3" spans="1:6" ht="15">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20" sqref="H20"/>
    </sheetView>
  </sheetViews>
  <sheetFormatPr defaultRowHeight="13.5"/>
  <cols>
    <col min="1" max="1" width="13.875" customWidth="1"/>
    <col min="11" max="17" width="0" hidden="1" customWidth="1"/>
    <col min="25" max="30" width="0" hidden="1" customWidth="1"/>
  </cols>
  <sheetData>
    <row r="1" spans="1:30">
      <c r="A1" s="3219">
        <f>基准地价修正!G23</f>
        <v>45240</v>
      </c>
      <c r="B1" s="3208" t="s">
        <v>3375</v>
      </c>
      <c r="C1" s="3209"/>
      <c r="D1" s="3209"/>
      <c r="E1" s="3209"/>
      <c r="F1" s="3209"/>
      <c r="G1" s="3209"/>
      <c r="H1" s="3209"/>
      <c r="I1" s="3209"/>
      <c r="J1" s="3163"/>
      <c r="K1" s="3209" t="s">
        <v>454</v>
      </c>
      <c r="L1" s="3209"/>
      <c r="M1" s="3209"/>
      <c r="N1" s="3209"/>
      <c r="O1" s="3209"/>
      <c r="P1" s="3209"/>
      <c r="Q1" s="3163"/>
      <c r="R1" s="3784" t="s">
        <v>456</v>
      </c>
      <c r="S1" s="3785"/>
      <c r="T1" s="3785"/>
      <c r="U1" s="3785"/>
      <c r="V1" s="3785"/>
      <c r="W1" s="3785"/>
      <c r="X1" s="3163"/>
      <c r="Y1" s="3784" t="s">
        <v>457</v>
      </c>
      <c r="Z1" s="3785"/>
      <c r="AA1" s="3785"/>
      <c r="AB1" s="3785"/>
      <c r="AC1" s="3785"/>
      <c r="AD1" s="3785"/>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3379</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3380</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3381</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3373</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3374</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3369</v>
      </c>
    </row>
    <row r="21" spans="1:30" s="3007" customFormat="1">
      <c r="I21" s="3206" t="s">
        <v>2828</v>
      </c>
    </row>
    <row r="22" spans="1:30" s="3007" customFormat="1"/>
    <row r="23" spans="1:30" s="3207" customFormat="1" ht="12.75">
      <c r="B23" s="3208" t="s">
        <v>3376</v>
      </c>
      <c r="C23" s="3209"/>
      <c r="D23" s="3209"/>
      <c r="E23" s="3209"/>
      <c r="F23" s="3209"/>
      <c r="G23" s="3209"/>
      <c r="H23" s="3209"/>
      <c r="I23" s="3209"/>
      <c r="J23" s="3163"/>
      <c r="K23" s="3209" t="s">
        <v>2829</v>
      </c>
      <c r="L23" s="3209"/>
      <c r="M23" s="3209"/>
      <c r="N23" s="3209"/>
      <c r="O23" s="3209"/>
      <c r="P23" s="3209"/>
      <c r="Q23" s="3163"/>
      <c r="R23" s="3784" t="s">
        <v>2830</v>
      </c>
      <c r="S23" s="3785"/>
      <c r="T23" s="3785"/>
      <c r="U23" s="3785"/>
      <c r="V23" s="3785"/>
      <c r="W23" s="3785"/>
      <c r="X23" s="3163"/>
      <c r="Y23" s="3784" t="s">
        <v>2831</v>
      </c>
      <c r="Z23" s="3785"/>
      <c r="AA23" s="3785"/>
      <c r="AB23" s="3785"/>
      <c r="AC23" s="3785"/>
      <c r="AD23" s="3785"/>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3379</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3380</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3381</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3377</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1" t="s">
        <v>452</v>
      </c>
      <c r="C1" s="3791"/>
      <c r="D1" s="3791"/>
      <c r="E1" s="3791"/>
      <c r="F1" s="3791"/>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0" sqref="H20"/>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45240</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2312</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3:B84"/>
  <sheetViews>
    <sheetView workbookViewId="0">
      <selection activeCell="B84" sqref="B84"/>
    </sheetView>
  </sheetViews>
  <sheetFormatPr defaultRowHeight="13.5"/>
  <sheetData>
    <row r="83" spans="2:2">
      <c r="B83" s="3797" t="s">
        <v>3612</v>
      </c>
    </row>
    <row r="84" spans="2:2">
      <c r="B84" s="3798" t="s">
        <v>3611</v>
      </c>
    </row>
  </sheetData>
  <phoneticPr fontId="134" type="noConversion"/>
  <hyperlinks>
    <hyperlink ref="B84" r:id="rId1"/>
  </hyperlinks>
  <pageMargins left="0.7" right="0.7" top="0.75" bottom="0.75" header="0.3" footer="0.3"/>
  <pageSetup paperSize="9"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853" t="s">
        <v>925</v>
      </c>
      <c r="E3" s="853" t="s">
        <v>931</v>
      </c>
      <c r="F3" s="853" t="s">
        <v>925</v>
      </c>
      <c r="G3" s="853" t="s">
        <v>926</v>
      </c>
      <c r="H3" s="853" t="s">
        <v>925</v>
      </c>
      <c r="I3" s="853" t="s">
        <v>926</v>
      </c>
    </row>
    <row r="4" spans="1:9" ht="15">
      <c r="A4" s="1504" t="str">
        <f>项目基本情况!S2</f>
        <v>房地产</v>
      </c>
      <c r="B4" s="853">
        <f>项目基本情况!C17</f>
        <v>90300.22</v>
      </c>
      <c r="C4" s="853">
        <f>项目基本情况!C18</f>
        <v>70820.800000000003</v>
      </c>
      <c r="D4" s="853">
        <f ca="1">结果表!D118</f>
        <v>3222</v>
      </c>
      <c r="E4" s="853">
        <f ca="1">结果表!E118</f>
        <v>357</v>
      </c>
      <c r="F4" s="853">
        <f ca="1">结果表!F118</f>
        <v>49600</v>
      </c>
      <c r="G4" s="853">
        <f ca="1">结果表!G118</f>
        <v>5493</v>
      </c>
      <c r="H4" s="853">
        <f ca="1">结果表!H118</f>
        <v>52822</v>
      </c>
      <c r="I4" s="853">
        <f ca="1">结果表!I118</f>
        <v>5850</v>
      </c>
    </row>
    <row r="5" spans="1:9" ht="30" customHeight="1">
      <c r="A5" s="3471" t="s">
        <v>927</v>
      </c>
      <c r="B5" s="3471"/>
      <c r="C5" s="3471"/>
      <c r="D5" s="3471" t="str">
        <f ca="1">结果表!D119</f>
        <v>叁仟贰佰贰拾贰万元整</v>
      </c>
      <c r="E5" s="3471"/>
      <c r="F5" s="3471" t="str">
        <f ca="1">结果表!F119</f>
        <v>肆亿玖仟陆佰万元整</v>
      </c>
      <c r="G5" s="3471"/>
      <c r="H5" s="3471" t="str">
        <f ca="1">结果表!H119</f>
        <v>伍亿贰仟捌佰贰拾贰万元整</v>
      </c>
      <c r="I5" s="3471"/>
    </row>
    <row r="6" spans="1:9" ht="15.75">
      <c r="A6" s="3472" t="str">
        <f>结果表!A120</f>
        <v>估价师知悉的法定优先受偿款</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房地产抵押价值</v>
      </c>
      <c r="B8" s="3472"/>
      <c r="C8" s="3472"/>
      <c r="D8" s="3472">
        <f ca="1">结果表!D122</f>
        <v>52822</v>
      </c>
      <c r="E8" s="3472"/>
      <c r="F8" s="3472"/>
      <c r="G8" s="3472"/>
      <c r="H8" s="3472"/>
      <c r="I8" s="3472"/>
    </row>
    <row r="9" spans="1:9" ht="15">
      <c r="A9" s="3471" t="s">
        <v>927</v>
      </c>
      <c r="B9" s="3471"/>
      <c r="C9" s="3471"/>
      <c r="D9" s="3471" t="str">
        <f ca="1">结果表!D123</f>
        <v>伍亿贰仟捌佰贰拾贰万元整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抵押净值</v>
      </c>
      <c r="B12" s="3472"/>
      <c r="C12" s="3472"/>
      <c r="D12" s="3472">
        <f ca="1">结果表!D126</f>
        <v>22396</v>
      </c>
      <c r="E12" s="3472"/>
      <c r="F12" s="3472"/>
      <c r="G12" s="3472"/>
      <c r="H12" s="3472"/>
      <c r="I12" s="3472"/>
    </row>
    <row r="13" spans="1:9" ht="15.75" thickBot="1">
      <c r="A13" s="3476" t="s">
        <v>927</v>
      </c>
      <c r="B13" s="3476"/>
      <c r="C13" s="3476"/>
      <c r="D13" s="3476" t="str">
        <f ca="1">结果表!D127</f>
        <v>贰亿贰仟叁佰玖拾陆万元整</v>
      </c>
      <c r="E13" s="3476"/>
      <c r="F13" s="3476"/>
      <c r="G13" s="3476"/>
      <c r="H13" s="3476"/>
      <c r="I13" s="3476"/>
    </row>
    <row r="14" spans="1:9" ht="15" thickTop="1">
      <c r="A14" s="3477" t="s">
        <v>932</v>
      </c>
      <c r="B14" s="3477"/>
      <c r="C14" s="3477"/>
      <c r="D14" s="3477"/>
      <c r="E14" s="3477"/>
      <c r="F14" s="3477"/>
      <c r="G14" s="3477"/>
      <c r="H14" s="3477"/>
      <c r="I14" s="347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8" t="s">
        <v>949</v>
      </c>
      <c r="B1" s="3478"/>
      <c r="C1" s="3478"/>
      <c r="D1" s="3478"/>
    </row>
    <row r="2" spans="1:4" ht="18">
      <c r="A2" s="3479" t="s">
        <v>933</v>
      </c>
      <c r="B2" s="3479"/>
      <c r="C2" s="3479"/>
      <c r="D2" s="347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9" t="s">
        <v>939</v>
      </c>
      <c r="B6" s="3479"/>
      <c r="C6" s="3479"/>
      <c r="D6" s="347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81" t="str">
        <f>IF(项目基本情况!B8="抵押","4.本次评估估价师所知悉的法定优先受偿款情况说明如下：","——")</f>
        <v>4.本次评估估价师所知悉的法定优先受偿款情况说明如下：</v>
      </c>
      <c r="B14" s="3482"/>
      <c r="C14" s="3482"/>
      <c r="D14" s="3482"/>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2" t="s">
        <v>956</v>
      </c>
      <c r="B15" s="3487" t="s">
        <v>109</v>
      </c>
      <c r="C15" s="3488"/>
    </row>
    <row r="16" spans="1:7" ht="13.5">
      <c r="A16" s="3493"/>
      <c r="B16" s="3487" t="s">
        <v>42</v>
      </c>
      <c r="C16" s="3488"/>
    </row>
    <row r="17" spans="1:3" ht="13.5">
      <c r="A17" s="3493"/>
      <c r="B17" s="3490" t="s">
        <v>957</v>
      </c>
      <c r="C17" s="1531" t="s">
        <v>956</v>
      </c>
    </row>
    <row r="18" spans="1:3" ht="13.5">
      <c r="A18" s="3493"/>
      <c r="B18" s="3490"/>
      <c r="C18" s="1531" t="s">
        <v>958</v>
      </c>
    </row>
    <row r="19" spans="1:3" ht="13.5">
      <c r="A19" s="3493"/>
      <c r="B19" s="3490"/>
      <c r="C19" s="1531" t="s">
        <v>959</v>
      </c>
    </row>
    <row r="20" spans="1:3" ht="13.5">
      <c r="A20" s="3494"/>
      <c r="B20" s="3489" t="s">
        <v>960</v>
      </c>
      <c r="C20" s="3488"/>
    </row>
    <row r="21" spans="1:3" ht="13.5">
      <c r="A21" s="1532" t="s">
        <v>961</v>
      </c>
      <c r="B21" s="1533"/>
      <c r="C21" s="1534"/>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1" t="s">
        <v>967</v>
      </c>
    </row>
    <row r="26" spans="1:3" ht="13.5">
      <c r="A26" s="3491"/>
      <c r="B26" s="3490"/>
      <c r="C26" s="1531" t="s">
        <v>968</v>
      </c>
    </row>
    <row r="27" spans="1:3" ht="13.5">
      <c r="A27" s="3491"/>
      <c r="B27" s="3490"/>
      <c r="C27" s="1531" t="s">
        <v>969</v>
      </c>
    </row>
    <row r="28" spans="1:3" ht="13.5">
      <c r="A28" s="3491"/>
      <c r="B28" s="3490"/>
      <c r="C28" s="1531" t="s">
        <v>970</v>
      </c>
    </row>
    <row r="29" spans="1:3" ht="13.5">
      <c r="A29" s="3491"/>
      <c r="B29" s="3490"/>
      <c r="C29" s="1531" t="s">
        <v>971</v>
      </c>
    </row>
    <row r="30" spans="1:3" ht="13.5">
      <c r="A30" s="3491"/>
      <c r="B30" s="3490"/>
      <c r="C30" s="1531" t="s">
        <v>972</v>
      </c>
    </row>
    <row r="31" spans="1:3" ht="13.5">
      <c r="A31" s="3491"/>
      <c r="B31" s="3490"/>
      <c r="C31" s="1531" t="s">
        <v>973</v>
      </c>
    </row>
    <row r="32" spans="1:3" ht="13.5">
      <c r="A32" s="3491"/>
      <c r="B32" s="3490"/>
      <c r="C32" s="1531" t="s">
        <v>974</v>
      </c>
    </row>
    <row r="33" spans="1:3" ht="13.5">
      <c r="A33" s="3491"/>
      <c r="B33" s="349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45240</v>
      </c>
      <c r="C2" s="2338" t="s">
        <v>2139</v>
      </c>
      <c r="D2" s="2338"/>
      <c r="E2" s="2338"/>
      <c r="F2" s="2334"/>
      <c r="G2" s="2334"/>
      <c r="H2" s="2334"/>
    </row>
    <row r="3" spans="1:8" ht="24" customHeight="1">
      <c r="A3" s="2339" t="s">
        <v>2140</v>
      </c>
      <c r="B3" s="2340" t="s">
        <v>2141</v>
      </c>
      <c r="C3" s="2340" t="s">
        <v>2142</v>
      </c>
      <c r="D3" s="2341" t="s">
        <v>2143</v>
      </c>
      <c r="E3" s="2342" t="s">
        <v>2144</v>
      </c>
      <c r="F3" s="1303" t="s">
        <v>2145</v>
      </c>
      <c r="G3" s="2340" t="s">
        <v>2142</v>
      </c>
      <c r="H3" s="2341" t="s">
        <v>2146</v>
      </c>
    </row>
    <row r="4" spans="1:8" ht="24" customHeight="1">
      <c r="A4" s="1303" t="s">
        <v>2147</v>
      </c>
      <c r="B4" s="1303">
        <f ca="1">IF(C4&lt;B2,"已过期",1119970066)</f>
        <v>1119970066</v>
      </c>
      <c r="C4" s="2343">
        <v>45937</v>
      </c>
      <c r="D4" s="2344" t="str">
        <f ca="1">A4&amp;"（注册号："&amp;B4&amp;"）"</f>
        <v>梁津（注册号：1119970066）</v>
      </c>
      <c r="E4" s="2345" t="s">
        <v>2147</v>
      </c>
      <c r="F4" s="1303">
        <f ca="1">IF(G4&lt;B2,"已过期",96010014)</f>
        <v>96010014</v>
      </c>
      <c r="G4" s="2346">
        <v>47118</v>
      </c>
      <c r="H4" s="2347" t="str">
        <f ca="1">E4&amp;"（注册号："&amp;F4&amp;"）"</f>
        <v>梁津（注册号：96010014）</v>
      </c>
    </row>
    <row r="5" spans="1:8" ht="24" customHeight="1">
      <c r="A5" s="1303" t="s">
        <v>2148</v>
      </c>
      <c r="B5" s="1303">
        <f ca="1">IF(C5&lt;B2,"已过期",1119970111)</f>
        <v>1119970111</v>
      </c>
      <c r="C5" s="2343">
        <v>45937</v>
      </c>
      <c r="D5" s="2344" t="str">
        <f t="shared" ref="D5:D15" ca="1" si="0">A5&amp;"（注册号："&amp;B5&amp;"）"</f>
        <v>叶凌（注册号：1119970111）</v>
      </c>
      <c r="E5" s="2345" t="s">
        <v>2148</v>
      </c>
      <c r="F5" s="1303">
        <f ca="1">IF(G5&lt;B2,"已过期",94010078)</f>
        <v>94010078</v>
      </c>
      <c r="G5" s="2346">
        <v>46387</v>
      </c>
      <c r="H5" s="2347" t="str">
        <f t="shared" ref="H5:H16" ca="1" si="1">E5&amp;"（注册号："&amp;F5&amp;"）"</f>
        <v>叶凌（注册号：94010078）</v>
      </c>
    </row>
    <row r="6" spans="1:8" ht="24" customHeight="1">
      <c r="A6" s="1303" t="s">
        <v>2149</v>
      </c>
      <c r="B6" s="1303">
        <f ca="1">IF(C6&lt;B2,"已过期",1120050019)</f>
        <v>1120050019</v>
      </c>
      <c r="C6" s="2343">
        <v>45410</v>
      </c>
      <c r="D6" s="2344" t="str">
        <f t="shared" ca="1" si="0"/>
        <v>王鹏（注册号：1120050019）</v>
      </c>
      <c r="E6" s="2345" t="s">
        <v>2149</v>
      </c>
      <c r="F6" s="1303">
        <f ca="1">IF(G6&lt;B2,"已过期",2002110030)</f>
        <v>2002110030</v>
      </c>
      <c r="G6" s="2346">
        <v>46387</v>
      </c>
      <c r="H6" s="2347" t="str">
        <f t="shared" ca="1" si="1"/>
        <v>王鹏（注册号：2002110030）</v>
      </c>
    </row>
    <row r="7" spans="1:8" ht="24" customHeight="1">
      <c r="A7" s="1303" t="s">
        <v>2150</v>
      </c>
      <c r="B7" s="1303">
        <f ca="1">IF(C7&lt;B2,"已过期",1120000080)</f>
        <v>1120000080</v>
      </c>
      <c r="C7" s="2343">
        <v>45937</v>
      </c>
      <c r="D7" s="2344" t="str">
        <f t="shared" ca="1" si="0"/>
        <v>欧红伟（注册号：1120000080）</v>
      </c>
      <c r="E7" s="2345" t="s">
        <v>2150</v>
      </c>
      <c r="F7" s="1303">
        <f ca="1">IF(G7&lt;B2,"已过期",2000110082)</f>
        <v>2000110082</v>
      </c>
      <c r="G7" s="2346">
        <v>46387</v>
      </c>
      <c r="H7" s="2347" t="str">
        <f t="shared" ca="1" si="1"/>
        <v>欧红伟（注册号：2000110082）</v>
      </c>
    </row>
    <row r="8" spans="1:8" ht="24" customHeight="1">
      <c r="A8" s="1303" t="s">
        <v>2151</v>
      </c>
      <c r="B8" s="1303">
        <f ca="1">IF(C8&lt;B2,"已过期",1419970001)</f>
        <v>1419970001</v>
      </c>
      <c r="C8" s="2343">
        <v>45937</v>
      </c>
      <c r="D8" s="2344" t="str">
        <f t="shared" ca="1" si="0"/>
        <v>吴薇（注册号：1419970001）</v>
      </c>
      <c r="E8" s="2345" t="s">
        <v>2151</v>
      </c>
      <c r="F8" s="1303">
        <f ca="1">IF(G8&lt;B2,"已过期",2002110125)</f>
        <v>2002110125</v>
      </c>
      <c r="G8" s="2346">
        <v>47118</v>
      </c>
      <c r="H8" s="2347" t="str">
        <f t="shared" ca="1" si="1"/>
        <v>吴薇（注册号：2002110125）</v>
      </c>
    </row>
    <row r="9" spans="1:8" ht="24" customHeight="1">
      <c r="A9" s="1303" t="s">
        <v>2152</v>
      </c>
      <c r="B9" s="1303">
        <f ca="1">IF(C9&lt;B2,"已过期",1120060040)</f>
        <v>1120060040</v>
      </c>
      <c r="C9" s="2348">
        <v>45592</v>
      </c>
      <c r="D9" s="2344" t="str">
        <f t="shared" ca="1" si="0"/>
        <v>陈颖（注册号：1120060040）</v>
      </c>
      <c r="E9" s="2345" t="s">
        <v>2152</v>
      </c>
      <c r="F9" s="1303">
        <f ca="1">IF(G9&lt;B2,"已过期",2004110096)</f>
        <v>2004110096</v>
      </c>
      <c r="G9" s="2346">
        <v>47118</v>
      </c>
      <c r="H9" s="2347" t="str">
        <f t="shared" ca="1" si="1"/>
        <v>陈颖（注册号：2004110096）</v>
      </c>
    </row>
    <row r="10" spans="1:8" ht="24" customHeight="1">
      <c r="A10" s="1303" t="s">
        <v>2153</v>
      </c>
      <c r="B10" s="1303">
        <f ca="1">IF(C10&lt;B2,"已过期",1120100036)</f>
        <v>1120100036</v>
      </c>
      <c r="C10" s="2348">
        <v>45752</v>
      </c>
      <c r="D10" s="2344" t="str">
        <f t="shared" ca="1" si="0"/>
        <v>崔锴（注册号：1120100036）</v>
      </c>
      <c r="E10" s="2345" t="s">
        <v>2153</v>
      </c>
      <c r="F10" s="1303">
        <f ca="1">IF(G10&lt;B2,"已过期",2010110070)</f>
        <v>2010110070</v>
      </c>
      <c r="G10" s="2346">
        <v>47907</v>
      </c>
      <c r="H10" s="2347" t="str">
        <f t="shared" ca="1" si="1"/>
        <v>崔锴（注册号：2010110070）</v>
      </c>
    </row>
    <row r="11" spans="1:8" ht="24" customHeight="1">
      <c r="A11" s="1303" t="s">
        <v>2154</v>
      </c>
      <c r="B11" s="1303">
        <f ca="1">IF(C11&lt;B2,"已过期",1120070131)</f>
        <v>1120070131</v>
      </c>
      <c r="C11" s="2343">
        <v>45937</v>
      </c>
      <c r="D11" s="2344" t="str">
        <f t="shared" ca="1" si="0"/>
        <v>郑燚（注册号：1120070131）</v>
      </c>
      <c r="E11" s="2345" t="s">
        <v>2154</v>
      </c>
      <c r="F11" s="1303">
        <f ca="1">IF(G11&lt;B2,"已过期",2014110011)</f>
        <v>2014110011</v>
      </c>
      <c r="G11" s="2346">
        <v>49302</v>
      </c>
      <c r="H11" s="2347" t="str">
        <f t="shared" ca="1" si="1"/>
        <v>郑燚（注册号：2014110011）</v>
      </c>
    </row>
    <row r="12" spans="1:8" ht="24" customHeight="1">
      <c r="A12" s="1303" t="s">
        <v>2155</v>
      </c>
      <c r="B12" s="1303">
        <f ca="1">IF(C12&lt;B2,"已过期",1120040230)</f>
        <v>1120040230</v>
      </c>
      <c r="C12" s="2348">
        <v>45937</v>
      </c>
      <c r="D12" s="2344" t="str">
        <f t="shared" ca="1" si="0"/>
        <v>苏海（注册号：1120040230）</v>
      </c>
      <c r="E12" s="2345" t="s">
        <v>2155</v>
      </c>
      <c r="F12" s="1303">
        <f ca="1">IF(G12&lt;B2,"已过期",98030020)</f>
        <v>98030020</v>
      </c>
      <c r="G12" s="2346">
        <v>47118</v>
      </c>
      <c r="H12" s="2347" t="str">
        <f t="shared" ca="1" si="1"/>
        <v>苏海（注册号：98030020）</v>
      </c>
    </row>
    <row r="13" spans="1:8" ht="24" customHeight="1">
      <c r="A13" s="1303" t="s">
        <v>2156</v>
      </c>
      <c r="B13" s="1303">
        <f ca="1">IF(C13&lt;B2,"已过期",1120020033)</f>
        <v>1120020033</v>
      </c>
      <c r="C13" s="2343">
        <v>45375</v>
      </c>
      <c r="D13" s="2344" t="str">
        <f t="shared" ca="1" si="0"/>
        <v>刘敬东（注册号：1120020033）</v>
      </c>
      <c r="E13" s="2345" t="s">
        <v>2156</v>
      </c>
      <c r="F13" s="1303">
        <f ca="1">IF(G13&lt;B2,"已过期",2000110137)</f>
        <v>2000110137</v>
      </c>
      <c r="G13" s="2346">
        <v>46387</v>
      </c>
      <c r="H13" s="2347" t="str">
        <f t="shared" ca="1" si="1"/>
        <v>刘敬东（注册号：2000110137）</v>
      </c>
    </row>
    <row r="14" spans="1:8" ht="24" customHeight="1">
      <c r="A14" s="1303" t="s">
        <v>2157</v>
      </c>
      <c r="B14" s="1303" t="str">
        <f ca="1">IF(C14&lt;B2,"已过期",1119980106)</f>
        <v>已过期</v>
      </c>
      <c r="C14" s="2348">
        <v>44969</v>
      </c>
      <c r="D14" s="2344" t="str">
        <f t="shared" ca="1" si="0"/>
        <v>刘俊财（注册号：已过期）</v>
      </c>
      <c r="E14" s="2345" t="s">
        <v>2157</v>
      </c>
      <c r="F14" s="1303">
        <f ca="1">IF(G14&lt;B2,"已过期",96010063)</f>
        <v>96010063</v>
      </c>
      <c r="G14" s="2346">
        <v>47483</v>
      </c>
      <c r="H14" s="2347" t="str">
        <f t="shared" ca="1" si="1"/>
        <v>刘俊财（注册号：96010063）</v>
      </c>
    </row>
    <row r="15" spans="1:8" ht="24" customHeight="1">
      <c r="A15" s="1303" t="s">
        <v>2440</v>
      </c>
      <c r="B15" s="1303">
        <v>1120210056</v>
      </c>
      <c r="C15" s="2348">
        <v>45410</v>
      </c>
      <c r="D15" s="2344" t="str">
        <f t="shared" si="0"/>
        <v>宁小鳗（注册号：1120210056）</v>
      </c>
      <c r="E15" s="2345" t="s">
        <v>2158</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495" t="s">
        <v>2159</v>
      </c>
      <c r="B17" s="3495"/>
      <c r="C17" s="3495"/>
      <c r="D17" s="3495"/>
      <c r="E17" s="3495"/>
      <c r="F17" s="3495"/>
      <c r="G17" s="3495"/>
      <c r="H17" s="3495"/>
    </row>
    <row r="18" spans="1:8" ht="24" customHeight="1">
      <c r="A18" s="3496" t="s">
        <v>2160</v>
      </c>
      <c r="B18" s="3496"/>
      <c r="C18" s="3496"/>
      <c r="D18" s="2341"/>
      <c r="E18" s="3497" t="s">
        <v>2161</v>
      </c>
      <c r="F18" s="3496"/>
      <c r="G18" s="3496"/>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2023-11-10T02:59:44Z</dcterms:modified>
</cp:coreProperties>
</file>